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20 OFICIAL\"/>
    </mc:Choice>
  </mc:AlternateContent>
  <bookViews>
    <workbookView xWindow="-120" yWindow="-120" windowWidth="24240" windowHeight="13140" tabRatio="928" firstSheet="4" activeTab="6"/>
  </bookViews>
  <sheets>
    <sheet name="ESTRUCTURA PRESP." sheetId="15" r:id="rId1"/>
    <sheet name="ING. REALES" sheetId="18" r:id="rId2"/>
    <sheet name="DISTRIBUCIÓN" sheetId="23" r:id="rId3"/>
    <sheet name="PLLA MUNICIPAL HONORARIOS" sheetId="20" r:id="rId4"/>
    <sheet name="PLLA MUNICIPAL LEY SAL" sheetId="22" r:id="rId5"/>
    <sheet name="PLLA DIETAS" sheetId="21" r:id="rId6"/>
    <sheet name="egresos 25% y F.P" sheetId="4" r:id="rId7"/>
    <sheet name="AG1" sheetId="5" r:id="rId8"/>
    <sheet name="AG3" sheetId="6" r:id="rId9"/>
    <sheet name="AG4" sheetId="7" r:id="rId10"/>
    <sheet name="AG5" sheetId="8" r:id="rId11"/>
    <sheet name="CONSOLIDADO" sheetId="9" r:id="rId12"/>
    <sheet name="PRESUP.DE EGRESOS" sheetId="10" r:id="rId13"/>
    <sheet name="RESUMEN1" sheetId="11" r:id="rId14"/>
    <sheet name="RESUMEN2" sheetId="12" r:id="rId15"/>
    <sheet name="RESUMEN3" sheetId="13" r:id="rId16"/>
    <sheet name="RESUMEN4" sheetId="14" r:id="rId17"/>
    <sheet name="SEGUROS" sheetId="24" r:id="rId18"/>
  </sheets>
  <definedNames>
    <definedName name="_xlnm._FilterDatabase" localSheetId="8" hidden="1">'AG3'!$B$13:$K$183</definedName>
    <definedName name="_xlnm._FilterDatabase" localSheetId="9" hidden="1">'AG4'!$B$10:$J$84</definedName>
    <definedName name="_xlnm._FilterDatabase" localSheetId="11" hidden="1">CONSOLIDADO!$A$3:$G$163</definedName>
    <definedName name="_xlnm._FilterDatabase" localSheetId="2" hidden="1">DISTRIBUCIÓN!$A$5:$P$73</definedName>
    <definedName name="_xlnm._FilterDatabase" localSheetId="6" hidden="1">'egresos 25% y F.P'!$A$116:$G$207</definedName>
    <definedName name="_xlnm.Print_Area" localSheetId="7">'AG1'!$A$1:$H$149</definedName>
    <definedName name="_xlnm.Print_Area" localSheetId="11">CONSOLIDADO!$A$1:$AK$164</definedName>
    <definedName name="_xlnm.Print_Area" localSheetId="6">'egresos 25% y F.P'!$A$1:$G$209</definedName>
    <definedName name="_xlnm.Print_Area" localSheetId="0">'ESTRUCTURA PRESP.'!$B$1:$E$32</definedName>
    <definedName name="_xlnm.Print_Area" localSheetId="4">'PLLA MUNICIPAL LEY SAL'!$A$1:$R$89</definedName>
    <definedName name="_xlnm.Print_Area" localSheetId="12">'PRESUP.DE EGRESOS'!$A$1:$E$162</definedName>
    <definedName name="_xlnm.Print_Area" localSheetId="13">RESUMEN1!$B$1:$D$51</definedName>
    <definedName name="_xlnm.Print_Titles" localSheetId="7">'AG1'!$1:$11</definedName>
    <definedName name="_xlnm.Print_Titles" localSheetId="8">'AG3'!$2:$12</definedName>
    <definedName name="_xlnm.Print_Titles" localSheetId="9">'AG4'!$1:$11</definedName>
    <definedName name="_xlnm.Print_Titles" localSheetId="11">CONSOLIDADO!$A:$B,CONSOLIDADO!$1:$8</definedName>
    <definedName name="_xlnm.Print_Titles" localSheetId="2">DISTRIBUCIÓN!$1:$7</definedName>
    <definedName name="_xlnm.Print_Titles" localSheetId="12">'PRESUP.DE EGRESOS'!$1:$7</definedName>
  </definedNames>
  <calcPr calcId="181029"/>
</workbook>
</file>

<file path=xl/calcChain.xml><?xml version="1.0" encoding="utf-8"?>
<calcChain xmlns="http://schemas.openxmlformats.org/spreadsheetml/2006/main">
  <c r="O131" i="9" l="1"/>
  <c r="C86" i="9" l="1"/>
  <c r="C163" i="4"/>
  <c r="C68" i="4"/>
  <c r="D151" i="5" l="1"/>
  <c r="C151" i="5"/>
  <c r="F141" i="4"/>
  <c r="C33" i="4"/>
  <c r="F33" i="4"/>
  <c r="F32" i="4"/>
  <c r="C35" i="5"/>
  <c r="E40" i="6" l="1"/>
  <c r="E36" i="6"/>
  <c r="D76" i="18"/>
  <c r="I79" i="18"/>
  <c r="D150" i="5"/>
  <c r="C150" i="5"/>
  <c r="G80" i="18"/>
  <c r="S171" i="9"/>
  <c r="V171" i="9"/>
  <c r="G183" i="6"/>
  <c r="H183" i="6"/>
  <c r="I183" i="6"/>
  <c r="J183" i="6"/>
  <c r="N85" i="9"/>
  <c r="N53" i="9"/>
  <c r="N118" i="9"/>
  <c r="N144" i="9"/>
  <c r="N119" i="9"/>
  <c r="N143" i="9"/>
  <c r="E46" i="6"/>
  <c r="E90" i="6"/>
  <c r="C203" i="4" l="1"/>
  <c r="C95" i="4"/>
  <c r="C209" i="4" s="1"/>
  <c r="C211" i="4" s="1"/>
  <c r="N149" i="9" l="1"/>
  <c r="M63" i="9"/>
  <c r="E111" i="6"/>
  <c r="N63" i="9" s="1"/>
  <c r="J67" i="7"/>
  <c r="J45" i="7"/>
  <c r="J46" i="7"/>
  <c r="J47" i="7"/>
  <c r="J48" i="7"/>
  <c r="J49" i="7"/>
  <c r="J50" i="7"/>
  <c r="J51" i="7"/>
  <c r="J44" i="7"/>
  <c r="J41" i="7"/>
  <c r="K137" i="6" l="1"/>
  <c r="K166" i="6" l="1"/>
  <c r="K165" i="6" s="1"/>
  <c r="E168" i="6"/>
  <c r="K169" i="6"/>
  <c r="K168" i="6" s="1"/>
  <c r="K170" i="6"/>
  <c r="E171" i="6"/>
  <c r="K171" i="6" s="1"/>
  <c r="K51" i="6"/>
  <c r="K52" i="6"/>
  <c r="K53" i="6"/>
  <c r="K54" i="6"/>
  <c r="K55" i="6"/>
  <c r="K56" i="6"/>
  <c r="K57" i="6"/>
  <c r="K58" i="6"/>
  <c r="K66" i="6"/>
  <c r="K69" i="6"/>
  <c r="K144" i="6"/>
  <c r="K148" i="6"/>
  <c r="K149" i="6"/>
  <c r="K150" i="6"/>
  <c r="K151" i="6"/>
  <c r="K96" i="6"/>
  <c r="K97" i="6"/>
  <c r="K98" i="6"/>
  <c r="K99" i="6"/>
  <c r="K100" i="6"/>
  <c r="K79" i="6"/>
  <c r="K24" i="6"/>
  <c r="K25" i="6"/>
  <c r="K26" i="6"/>
  <c r="K27" i="6"/>
  <c r="K28" i="6"/>
  <c r="K29" i="6"/>
  <c r="K30" i="6"/>
  <c r="K31" i="6"/>
  <c r="K32" i="6"/>
  <c r="K33" i="6"/>
  <c r="K34" i="6"/>
  <c r="K35" i="6"/>
  <c r="C14" i="13" l="1"/>
  <c r="AK162" i="9"/>
  <c r="AK161" i="9"/>
  <c r="AK160" i="9"/>
  <c r="AK159" i="9"/>
  <c r="AK154" i="9"/>
  <c r="AK153" i="9"/>
  <c r="AK152" i="9"/>
  <c r="AK151" i="9"/>
  <c r="AK150" i="9"/>
  <c r="AK148" i="9"/>
  <c r="AK147" i="9"/>
  <c r="AK145" i="9"/>
  <c r="AK139" i="9"/>
  <c r="AK138" i="9"/>
  <c r="AK137" i="9"/>
  <c r="AK135" i="9"/>
  <c r="AK133" i="9"/>
  <c r="AK130" i="9"/>
  <c r="AK129" i="9"/>
  <c r="AK124" i="9"/>
  <c r="AK123" i="9"/>
  <c r="AK122" i="9"/>
  <c r="AK117" i="9"/>
  <c r="AK115" i="9"/>
  <c r="AK111" i="9"/>
  <c r="AK110" i="9"/>
  <c r="AK109" i="9"/>
  <c r="AK108" i="9"/>
  <c r="AK107" i="9"/>
  <c r="AK100" i="9"/>
  <c r="AK99" i="9"/>
  <c r="AK98" i="9"/>
  <c r="AK97" i="9"/>
  <c r="AK96" i="9"/>
  <c r="AK95" i="9"/>
  <c r="AK42" i="9"/>
  <c r="AK41" i="9"/>
  <c r="AK40" i="9"/>
  <c r="AK39" i="9"/>
  <c r="AK38" i="9"/>
  <c r="AK37" i="9"/>
  <c r="AK36" i="9"/>
  <c r="AK35" i="9"/>
  <c r="AK34" i="9"/>
  <c r="AK33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6" i="9"/>
  <c r="AK15" i="9"/>
  <c r="AK14" i="9"/>
  <c r="AK13" i="9"/>
  <c r="AK12" i="9"/>
  <c r="AK11" i="9"/>
  <c r="AK10" i="9"/>
  <c r="L171" i="9"/>
  <c r="G171" i="9"/>
  <c r="V9" i="9"/>
  <c r="V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S13" i="9"/>
  <c r="E14" i="6"/>
  <c r="K21" i="6"/>
  <c r="K18" i="6"/>
  <c r="K17" i="6"/>
  <c r="K16" i="6"/>
  <c r="K15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E174" i="6"/>
  <c r="E177" i="6"/>
  <c r="K177" i="6" s="1"/>
  <c r="E165" i="6"/>
  <c r="K14" i="6" l="1"/>
  <c r="G78" i="7"/>
  <c r="H69" i="18"/>
  <c r="F69" i="18"/>
  <c r="D69" i="18"/>
  <c r="G69" i="18" s="1"/>
  <c r="U142" i="9" l="1"/>
  <c r="V142" i="9" s="1"/>
  <c r="T143" i="9"/>
  <c r="F78" i="6"/>
  <c r="F183" i="6" s="1"/>
  <c r="F40" i="7"/>
  <c r="F53" i="7"/>
  <c r="J53" i="7" s="1"/>
  <c r="F56" i="7"/>
  <c r="F84" i="7" l="1"/>
  <c r="K78" i="6"/>
  <c r="T141" i="9"/>
  <c r="V143" i="9"/>
  <c r="U141" i="9"/>
  <c r="U120" i="9" s="1"/>
  <c r="U163" i="9" s="1"/>
  <c r="G203" i="4"/>
  <c r="G202" i="4" s="1"/>
  <c r="G201" i="4" s="1"/>
  <c r="E181" i="6"/>
  <c r="C118" i="9"/>
  <c r="H84" i="7"/>
  <c r="I84" i="7"/>
  <c r="J79" i="7"/>
  <c r="J82" i="7"/>
  <c r="E81" i="7"/>
  <c r="E80" i="7" s="1"/>
  <c r="K179" i="6"/>
  <c r="K175" i="6"/>
  <c r="K174" i="6" s="1"/>
  <c r="F139" i="4"/>
  <c r="N158" i="9" l="1"/>
  <c r="E180" i="6"/>
  <c r="T120" i="9"/>
  <c r="V141" i="9"/>
  <c r="K181" i="6"/>
  <c r="K180" i="6" s="1"/>
  <c r="O158" i="9"/>
  <c r="O156" i="9" s="1"/>
  <c r="O155" i="9" s="1"/>
  <c r="J81" i="7"/>
  <c r="T163" i="9" l="1"/>
  <c r="V120" i="9"/>
  <c r="G139" i="4"/>
  <c r="F31" i="4"/>
  <c r="G95" i="4"/>
  <c r="W157" i="9"/>
  <c r="W149" i="9"/>
  <c r="G77" i="7"/>
  <c r="V163" i="9" l="1"/>
  <c r="V172" i="9" s="1"/>
  <c r="W156" i="9"/>
  <c r="W155" i="9" s="1"/>
  <c r="W141" i="9"/>
  <c r="H77" i="7"/>
  <c r="J77" i="7" s="1"/>
  <c r="J78" i="7"/>
  <c r="G80" i="7"/>
  <c r="G84" i="7" l="1"/>
  <c r="J80" i="7"/>
  <c r="G62" i="18"/>
  <c r="G71" i="18" l="1"/>
  <c r="S149" i="9" l="1"/>
  <c r="S122" i="9"/>
  <c r="S123" i="9"/>
  <c r="S124" i="9"/>
  <c r="N50" i="9"/>
  <c r="O142" i="9"/>
  <c r="S142" i="9" s="1"/>
  <c r="AK142" i="9" s="1"/>
  <c r="J70" i="7"/>
  <c r="N58" i="9"/>
  <c r="N46" i="9"/>
  <c r="N126" i="9"/>
  <c r="M126" i="9"/>
  <c r="M125" i="9"/>
  <c r="S125" i="9" s="1"/>
  <c r="AK125" i="9" s="1"/>
  <c r="M131" i="9"/>
  <c r="C121" i="10" l="1"/>
  <c r="S145" i="9"/>
  <c r="S126" i="9" l="1"/>
  <c r="AK126" i="9" s="1"/>
  <c r="N121" i="9"/>
  <c r="S119" i="9"/>
  <c r="AK119" i="9" s="1"/>
  <c r="C122" i="10" l="1"/>
  <c r="N116" i="9"/>
  <c r="O63" i="9"/>
  <c r="O60" i="9"/>
  <c r="O53" i="9"/>
  <c r="O50" i="9"/>
  <c r="O48" i="9"/>
  <c r="O47" i="9"/>
  <c r="O18" i="9"/>
  <c r="O17" i="9" s="1"/>
  <c r="O9" i="9" s="1"/>
  <c r="N146" i="9" l="1"/>
  <c r="S143" i="9"/>
  <c r="AK143" i="9" s="1"/>
  <c r="M140" i="9"/>
  <c r="N84" i="9"/>
  <c r="N82" i="9"/>
  <c r="N74" i="9"/>
  <c r="N71" i="9"/>
  <c r="N65" i="9"/>
  <c r="N64" i="9" s="1"/>
  <c r="N61" i="9"/>
  <c r="N60" i="9"/>
  <c r="N55" i="9"/>
  <c r="N54" i="9"/>
  <c r="M136" i="9" l="1"/>
  <c r="S136" i="9" s="1"/>
  <c r="AK136" i="9" s="1"/>
  <c r="S140" i="9"/>
  <c r="AK140" i="9" s="1"/>
  <c r="N141" i="9"/>
  <c r="N48" i="9"/>
  <c r="N47" i="9"/>
  <c r="M18" i="9"/>
  <c r="M17" i="9" s="1"/>
  <c r="E106" i="6"/>
  <c r="N18" i="9" s="1"/>
  <c r="K106" i="6" l="1"/>
  <c r="M127" i="9"/>
  <c r="E23" i="6" l="1"/>
  <c r="K23" i="6" s="1"/>
  <c r="E146" i="6" l="1"/>
  <c r="E50" i="6" l="1"/>
  <c r="K50" i="6" s="1"/>
  <c r="E43" i="7" l="1"/>
  <c r="AG21" i="22" l="1"/>
  <c r="K178" i="6" l="1"/>
  <c r="K173" i="6"/>
  <c r="K172" i="6"/>
  <c r="E143" i="6"/>
  <c r="K143" i="6" s="1"/>
  <c r="E66" i="7" l="1"/>
  <c r="J66" i="7" s="1"/>
  <c r="J57" i="7"/>
  <c r="J64" i="7"/>
  <c r="J65" i="7"/>
  <c r="J60" i="7"/>
  <c r="J61" i="7"/>
  <c r="E63" i="7"/>
  <c r="J63" i="7" s="1"/>
  <c r="E20" i="6"/>
  <c r="K20" i="6" l="1"/>
  <c r="M128" i="9"/>
  <c r="M121" i="9" s="1"/>
  <c r="J56" i="7"/>
  <c r="E120" i="6" l="1"/>
  <c r="E105" i="6"/>
  <c r="K105" i="6" s="1"/>
  <c r="E95" i="6" l="1"/>
  <c r="K95" i="6" s="1"/>
  <c r="K89" i="6" l="1"/>
  <c r="K88" i="6"/>
  <c r="K87" i="6"/>
  <c r="E86" i="6"/>
  <c r="E68" i="6"/>
  <c r="K68" i="6" s="1"/>
  <c r="E65" i="6"/>
  <c r="K65" i="6" s="1"/>
  <c r="E43" i="6"/>
  <c r="K46" i="6"/>
  <c r="K86" i="6" l="1"/>
  <c r="AJ57" i="22"/>
  <c r="AG57" i="22"/>
  <c r="AL57" i="22" s="1"/>
  <c r="AA57" i="22"/>
  <c r="J57" i="22"/>
  <c r="AI57" i="22" s="1"/>
  <c r="H57" i="22"/>
  <c r="L57" i="22" s="1"/>
  <c r="AD57" i="22" s="1"/>
  <c r="I57" i="22" l="1"/>
  <c r="W57" i="22"/>
  <c r="AH57" i="22"/>
  <c r="O57" i="22" l="1"/>
  <c r="M57" i="22"/>
  <c r="P57" i="22"/>
  <c r="F102" i="9"/>
  <c r="F101" i="9" s="1"/>
  <c r="D81" i="9"/>
  <c r="D146" i="4"/>
  <c r="C12" i="4"/>
  <c r="G141" i="4"/>
  <c r="AG67" i="22"/>
  <c r="AG68" i="22"/>
  <c r="AG69" i="22"/>
  <c r="AG70" i="22"/>
  <c r="AG71" i="22"/>
  <c r="AG72" i="22"/>
  <c r="AG73" i="22"/>
  <c r="AG74" i="22"/>
  <c r="AG75" i="22"/>
  <c r="AG53" i="22"/>
  <c r="AG54" i="22"/>
  <c r="AG55" i="22"/>
  <c r="AG56" i="22"/>
  <c r="AG58" i="22"/>
  <c r="AG59" i="22"/>
  <c r="AG60" i="22"/>
  <c r="AG18" i="22"/>
  <c r="AM57" i="22" l="1"/>
  <c r="AB57" i="22"/>
  <c r="AR57" i="22" s="1"/>
  <c r="Q57" i="22"/>
  <c r="R57" i="22" s="1"/>
  <c r="AK57" i="22"/>
  <c r="Z57" i="22"/>
  <c r="AC57" i="22"/>
  <c r="AN57" i="22"/>
  <c r="D187" i="4"/>
  <c r="F140" i="4"/>
  <c r="F120" i="4"/>
  <c r="E120" i="4"/>
  <c r="D163" i="4"/>
  <c r="D120" i="4"/>
  <c r="C120" i="4"/>
  <c r="C146" i="4"/>
  <c r="D30" i="4"/>
  <c r="F37" i="4"/>
  <c r="C88" i="4"/>
  <c r="AE57" i="22" l="1"/>
  <c r="AP57" i="22"/>
  <c r="H71" i="18"/>
  <c r="H37" i="18" l="1"/>
  <c r="H29" i="18" l="1"/>
  <c r="H23" i="18"/>
  <c r="AJ16" i="22" l="1"/>
  <c r="AG17" i="22"/>
  <c r="AL17" i="22" s="1"/>
  <c r="AA17" i="22"/>
  <c r="J17" i="22"/>
  <c r="AI17" i="22" s="1"/>
  <c r="H17" i="22"/>
  <c r="P17" i="22" s="1"/>
  <c r="K68" i="22"/>
  <c r="AJ68" i="22" s="1"/>
  <c r="AL58" i="22"/>
  <c r="AA58" i="22"/>
  <c r="J58" i="22"/>
  <c r="AI58" i="22" s="1"/>
  <c r="H58" i="22"/>
  <c r="P58" i="22" s="1"/>
  <c r="AL59" i="22"/>
  <c r="AA59" i="22"/>
  <c r="J59" i="22"/>
  <c r="AI59" i="22" s="1"/>
  <c r="H59" i="22"/>
  <c r="P59" i="22" s="1"/>
  <c r="AG22" i="22"/>
  <c r="AL22" i="22" s="1"/>
  <c r="AA22" i="22"/>
  <c r="J22" i="22"/>
  <c r="AI22" i="22" s="1"/>
  <c r="H22" i="22"/>
  <c r="P22" i="22" s="1"/>
  <c r="AG16" i="22"/>
  <c r="AL16" i="22" s="1"/>
  <c r="AA16" i="22"/>
  <c r="J16" i="22"/>
  <c r="AI16" i="22" s="1"/>
  <c r="H16" i="22"/>
  <c r="P16" i="22" s="1"/>
  <c r="H22" i="18"/>
  <c r="H16" i="18"/>
  <c r="H15" i="18"/>
  <c r="H13" i="18"/>
  <c r="H12" i="18"/>
  <c r="H11" i="18"/>
  <c r="H10" i="18"/>
  <c r="E62" i="18"/>
  <c r="E61" i="18" s="1"/>
  <c r="E60" i="18" s="1"/>
  <c r="D62" i="18"/>
  <c r="G61" i="18" s="1"/>
  <c r="G60" i="18" s="1"/>
  <c r="E70" i="18"/>
  <c r="E67" i="18"/>
  <c r="E64" i="18"/>
  <c r="E63" i="18" s="1"/>
  <c r="E53" i="18"/>
  <c r="E52" i="18" s="1"/>
  <c r="E48" i="18" s="1"/>
  <c r="E50" i="18"/>
  <c r="E42" i="18"/>
  <c r="E40" i="18"/>
  <c r="E39" i="18" s="1"/>
  <c r="E35" i="18"/>
  <c r="E32" i="18"/>
  <c r="E19" i="18"/>
  <c r="E9" i="18"/>
  <c r="E8" i="18" s="1"/>
  <c r="C54" i="18"/>
  <c r="I12" i="5" s="1"/>
  <c r="C67" i="18"/>
  <c r="E18" i="18" l="1"/>
  <c r="AN17" i="22"/>
  <c r="AC17" i="22"/>
  <c r="I17" i="22"/>
  <c r="L17" i="22"/>
  <c r="AD17" i="22" s="1"/>
  <c r="O17" i="22"/>
  <c r="W17" i="22"/>
  <c r="AH17" i="22"/>
  <c r="AN58" i="22"/>
  <c r="AC58" i="22"/>
  <c r="I58" i="22"/>
  <c r="L58" i="22"/>
  <c r="AD58" i="22" s="1"/>
  <c r="O58" i="22"/>
  <c r="W58" i="22"/>
  <c r="AH58" i="22"/>
  <c r="AN59" i="22"/>
  <c r="AC59" i="22"/>
  <c r="I59" i="22"/>
  <c r="L59" i="22"/>
  <c r="AD59" i="22" s="1"/>
  <c r="O59" i="22"/>
  <c r="W59" i="22"/>
  <c r="AH59" i="22"/>
  <c r="AN22" i="22"/>
  <c r="AC22" i="22"/>
  <c r="I22" i="22"/>
  <c r="L22" i="22"/>
  <c r="AD22" i="22" s="1"/>
  <c r="O22" i="22"/>
  <c r="W22" i="22"/>
  <c r="AH22" i="22"/>
  <c r="O16" i="22"/>
  <c r="Z16" i="22" s="1"/>
  <c r="AH16" i="22"/>
  <c r="I16" i="22"/>
  <c r="M16" i="22" s="1"/>
  <c r="L16" i="22"/>
  <c r="AD16" i="22" s="1"/>
  <c r="W16" i="22"/>
  <c r="AN16" i="22"/>
  <c r="AC16" i="22"/>
  <c r="E66" i="18"/>
  <c r="E72" i="18" s="1"/>
  <c r="E73" i="18" s="1"/>
  <c r="K147" i="6"/>
  <c r="K146" i="6"/>
  <c r="Z17" i="22" l="1"/>
  <c r="AK17" i="22"/>
  <c r="M17" i="22"/>
  <c r="Z58" i="22"/>
  <c r="AK58" i="22"/>
  <c r="M58" i="22"/>
  <c r="Z59" i="22"/>
  <c r="AK59" i="22"/>
  <c r="M59" i="22"/>
  <c r="Z22" i="22"/>
  <c r="AK22" i="22"/>
  <c r="M22" i="22"/>
  <c r="AK16" i="22"/>
  <c r="AB16" i="22"/>
  <c r="AM16" i="22"/>
  <c r="Q16" i="22"/>
  <c r="R16" i="22" s="1"/>
  <c r="AB17" i="22" l="1"/>
  <c r="AM17" i="22"/>
  <c r="AP17" i="22" s="1"/>
  <c r="Q17" i="22"/>
  <c r="R17" i="22" s="1"/>
  <c r="AB58" i="22"/>
  <c r="AM58" i="22"/>
  <c r="AP58" i="22" s="1"/>
  <c r="Q58" i="22"/>
  <c r="R58" i="22" s="1"/>
  <c r="AB59" i="22"/>
  <c r="AM59" i="22"/>
  <c r="AP59" i="22" s="1"/>
  <c r="Q59" i="22"/>
  <c r="R59" i="22" s="1"/>
  <c r="AB22" i="22"/>
  <c r="AM22" i="22"/>
  <c r="AP22" i="22" s="1"/>
  <c r="Q22" i="22"/>
  <c r="R22" i="22" s="1"/>
  <c r="AP16" i="22"/>
  <c r="AR16" i="22"/>
  <c r="AE16" i="22"/>
  <c r="AR22" i="22" l="1"/>
  <c r="AR17" i="22"/>
  <c r="AE17" i="22"/>
  <c r="AR58" i="22"/>
  <c r="AE58" i="22"/>
  <c r="AR59" i="22"/>
  <c r="AE59" i="22"/>
  <c r="AE22" i="22"/>
  <c r="X156" i="9"/>
  <c r="X155" i="9" s="1"/>
  <c r="O44" i="9"/>
  <c r="O43" i="9" s="1"/>
  <c r="N156" i="9"/>
  <c r="N155" i="9" s="1"/>
  <c r="N75" i="9" l="1"/>
  <c r="E37" i="7"/>
  <c r="K83" i="6"/>
  <c r="K103" i="6"/>
  <c r="K93" i="6"/>
  <c r="K126" i="6"/>
  <c r="K127" i="6"/>
  <c r="K128" i="6"/>
  <c r="K129" i="6"/>
  <c r="K125" i="6"/>
  <c r="K124" i="6"/>
  <c r="K123" i="6"/>
  <c r="K122" i="6"/>
  <c r="K121" i="6"/>
  <c r="E82" i="6"/>
  <c r="N70" i="9" l="1"/>
  <c r="N44" i="9"/>
  <c r="K90" i="6"/>
  <c r="E131" i="6"/>
  <c r="K136" i="6"/>
  <c r="K135" i="6"/>
  <c r="K134" i="6"/>
  <c r="K133" i="6"/>
  <c r="K92" i="6"/>
  <c r="K91" i="6"/>
  <c r="Z158" i="9"/>
  <c r="M158" i="9"/>
  <c r="S158" i="9" s="1"/>
  <c r="N43" i="9" l="1"/>
  <c r="K120" i="6"/>
  <c r="J74" i="7" l="1"/>
  <c r="G186" i="4" l="1"/>
  <c r="D111" i="5" s="1"/>
  <c r="G185" i="4"/>
  <c r="D110" i="5" s="1"/>
  <c r="G187" i="4"/>
  <c r="D112" i="5" s="1"/>
  <c r="C105" i="9"/>
  <c r="G105" i="9" s="1"/>
  <c r="D104" i="9"/>
  <c r="G104" i="9" s="1"/>
  <c r="D85" i="9"/>
  <c r="E85" i="9"/>
  <c r="G162" i="4"/>
  <c r="Z157" i="9"/>
  <c r="Z150" i="9"/>
  <c r="Z155" i="9" l="1"/>
  <c r="Z156" i="9" l="1"/>
  <c r="E102" i="6" l="1"/>
  <c r="N17" i="9"/>
  <c r="E59" i="7" l="1"/>
  <c r="S128" i="9"/>
  <c r="J54" i="7"/>
  <c r="J43" i="7"/>
  <c r="K163" i="6"/>
  <c r="E162" i="6"/>
  <c r="K162" i="6" s="1"/>
  <c r="K76" i="6"/>
  <c r="E75" i="6"/>
  <c r="K75" i="6" s="1"/>
  <c r="J59" i="7" l="1"/>
  <c r="F161" i="4"/>
  <c r="F146" i="4" s="1"/>
  <c r="AP90" i="22" l="1"/>
  <c r="AP88" i="22"/>
  <c r="J75" i="22" l="1"/>
  <c r="H74" i="22"/>
  <c r="I74" i="22" s="1"/>
  <c r="H18" i="22"/>
  <c r="O18" i="22" s="1"/>
  <c r="D79" i="22"/>
  <c r="D61" i="22"/>
  <c r="AL21" i="22"/>
  <c r="AA21" i="22"/>
  <c r="J21" i="22"/>
  <c r="AI21" i="22" s="1"/>
  <c r="H21" i="22"/>
  <c r="O21" i="22" s="1"/>
  <c r="AI73" i="22"/>
  <c r="AL73" i="22"/>
  <c r="AA73" i="22"/>
  <c r="H73" i="22"/>
  <c r="O73" i="22" s="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H15" i="21" s="1"/>
  <c r="F15" i="21"/>
  <c r="E16" i="21"/>
  <c r="F16" i="21"/>
  <c r="D80" i="22" l="1"/>
  <c r="P18" i="22"/>
  <c r="I73" i="22"/>
  <c r="P73" i="22" s="1"/>
  <c r="P21" i="22"/>
  <c r="L21" i="22"/>
  <c r="AD21" i="22" s="1"/>
  <c r="AK21" i="22"/>
  <c r="Z21" i="22"/>
  <c r="I21" i="22"/>
  <c r="W21" i="22"/>
  <c r="AH21" i="22"/>
  <c r="L73" i="22"/>
  <c r="AD73" i="22" s="1"/>
  <c r="AK73" i="22"/>
  <c r="Z73" i="22"/>
  <c r="W73" i="22"/>
  <c r="AH73" i="22"/>
  <c r="M21" i="22" l="1"/>
  <c r="M73" i="22"/>
  <c r="AM21" i="22" l="1"/>
  <c r="AB21" i="22"/>
  <c r="Q21" i="22"/>
  <c r="R21" i="22" s="1"/>
  <c r="AN21" i="22"/>
  <c r="AC21" i="22"/>
  <c r="AC73" i="22"/>
  <c r="AN73" i="22"/>
  <c r="AM73" i="22"/>
  <c r="AB73" i="22"/>
  <c r="Q73" i="22"/>
  <c r="R73" i="22" s="1"/>
  <c r="AP21" i="22" l="1"/>
  <c r="AR21" i="22"/>
  <c r="AE21" i="22"/>
  <c r="AP73" i="22"/>
  <c r="AR73" i="22"/>
  <c r="AE73" i="22"/>
  <c r="H28" i="18" l="1"/>
  <c r="AE94" i="22" l="1"/>
  <c r="E73" i="7" l="1"/>
  <c r="J73" i="7" s="1"/>
  <c r="I67" i="18" l="1"/>
  <c r="G68" i="18"/>
  <c r="K68" i="18" s="1"/>
  <c r="J67" i="18" l="1"/>
  <c r="F67" i="18" l="1"/>
  <c r="Y149" i="9" l="1"/>
  <c r="X141" i="9" l="1"/>
  <c r="Y141" i="9" l="1"/>
  <c r="M150" i="9" l="1"/>
  <c r="J33" i="7"/>
  <c r="J30" i="7"/>
  <c r="J26" i="7"/>
  <c r="J23" i="7"/>
  <c r="J20" i="7"/>
  <c r="J17" i="7"/>
  <c r="J14" i="7"/>
  <c r="J38" i="7"/>
  <c r="E32" i="7"/>
  <c r="J32" i="7" s="1"/>
  <c r="E29" i="7"/>
  <c r="J29" i="7" s="1"/>
  <c r="E25" i="7"/>
  <c r="E22" i="7"/>
  <c r="J22" i="7" s="1"/>
  <c r="E19" i="7"/>
  <c r="J19" i="7" s="1"/>
  <c r="E16" i="7"/>
  <c r="J16" i="7" s="1"/>
  <c r="E13" i="7"/>
  <c r="E84" i="7" s="1"/>
  <c r="J40" i="7"/>
  <c r="J25" i="7" l="1"/>
  <c r="O141" i="9"/>
  <c r="S141" i="9" s="1"/>
  <c r="J13" i="7"/>
  <c r="J37" i="7"/>
  <c r="J84" i="7" l="1"/>
  <c r="K158" i="6"/>
  <c r="K154" i="6"/>
  <c r="K141" i="6"/>
  <c r="K132" i="6"/>
  <c r="K73" i="6"/>
  <c r="K63" i="6"/>
  <c r="K44" i="6"/>
  <c r="K41" i="6"/>
  <c r="K37" i="6"/>
  <c r="E157" i="6"/>
  <c r="E153" i="6"/>
  <c r="K153" i="6" s="1"/>
  <c r="E140" i="6"/>
  <c r="K140" i="6" s="1"/>
  <c r="K131" i="6"/>
  <c r="K102" i="6"/>
  <c r="E72" i="6"/>
  <c r="K72" i="6" s="1"/>
  <c r="E62" i="6"/>
  <c r="K43" i="6"/>
  <c r="K40" i="6"/>
  <c r="K62" i="6" l="1"/>
  <c r="E183" i="6"/>
  <c r="K82" i="6"/>
  <c r="K157" i="6"/>
  <c r="K36" i="6"/>
  <c r="K183" i="6" s="1"/>
  <c r="M156" i="9"/>
  <c r="M155" i="9" s="1"/>
  <c r="D67" i="18" l="1"/>
  <c r="D70" i="18"/>
  <c r="H67" i="18"/>
  <c r="D66" i="18" l="1"/>
  <c r="C184" i="4"/>
  <c r="D17" i="24"/>
  <c r="E17" i="24" s="1"/>
  <c r="F17" i="24" s="1"/>
  <c r="D12" i="24"/>
  <c r="E12" i="24" s="1"/>
  <c r="D8" i="24"/>
  <c r="E8" i="24" s="1"/>
  <c r="D4" i="24"/>
  <c r="E4" i="24" s="1"/>
  <c r="D5" i="24"/>
  <c r="E5" i="24" s="1"/>
  <c r="E21" i="24" l="1"/>
  <c r="F12" i="24"/>
  <c r="O70" i="23"/>
  <c r="O69" i="23" s="1"/>
  <c r="N70" i="23"/>
  <c r="N69" i="23" s="1"/>
  <c r="M70" i="23"/>
  <c r="M69" i="23" s="1"/>
  <c r="L70" i="23"/>
  <c r="K70" i="23"/>
  <c r="K69" i="23" s="1"/>
  <c r="J70" i="23"/>
  <c r="J69" i="23" s="1"/>
  <c r="I70" i="23"/>
  <c r="I69" i="23" s="1"/>
  <c r="H70" i="23"/>
  <c r="H69" i="23" s="1"/>
  <c r="G70" i="23"/>
  <c r="G69" i="23" s="1"/>
  <c r="F70" i="23"/>
  <c r="F69" i="23" s="1"/>
  <c r="E70" i="23"/>
  <c r="E69" i="23" s="1"/>
  <c r="L69" i="23"/>
  <c r="O68" i="23"/>
  <c r="O67" i="23" s="1"/>
  <c r="N68" i="23"/>
  <c r="N67" i="23" s="1"/>
  <c r="M68" i="23"/>
  <c r="M67" i="23" s="1"/>
  <c r="L68" i="23"/>
  <c r="L67" i="23" s="1"/>
  <c r="K68" i="23"/>
  <c r="K67" i="23" s="1"/>
  <c r="J68" i="23"/>
  <c r="J67" i="23" s="1"/>
  <c r="I68" i="23"/>
  <c r="I67" i="23" s="1"/>
  <c r="H68" i="23"/>
  <c r="H67" i="23" s="1"/>
  <c r="G68" i="23"/>
  <c r="G67" i="23" s="1"/>
  <c r="F68" i="23"/>
  <c r="F67" i="23" s="1"/>
  <c r="E68" i="23"/>
  <c r="E67" i="23" s="1"/>
  <c r="O63" i="23"/>
  <c r="N63" i="23"/>
  <c r="M63" i="23"/>
  <c r="L63" i="23"/>
  <c r="K63" i="23"/>
  <c r="J63" i="23"/>
  <c r="I63" i="23"/>
  <c r="H63" i="23"/>
  <c r="G63" i="23"/>
  <c r="F63" i="23"/>
  <c r="E63" i="23"/>
  <c r="O62" i="23"/>
  <c r="O61" i="23" s="1"/>
  <c r="O60" i="23" s="1"/>
  <c r="N62" i="23"/>
  <c r="N61" i="23" s="1"/>
  <c r="N60" i="23" s="1"/>
  <c r="M62" i="23"/>
  <c r="M61" i="23" s="1"/>
  <c r="M60" i="23" s="1"/>
  <c r="L62" i="23"/>
  <c r="L61" i="23" s="1"/>
  <c r="L60" i="23" s="1"/>
  <c r="K62" i="23"/>
  <c r="K61" i="23" s="1"/>
  <c r="K60" i="23" s="1"/>
  <c r="J62" i="23"/>
  <c r="J61" i="23" s="1"/>
  <c r="J60" i="23" s="1"/>
  <c r="I62" i="23"/>
  <c r="I61" i="23" s="1"/>
  <c r="I60" i="23" s="1"/>
  <c r="H62" i="23"/>
  <c r="H61" i="23" s="1"/>
  <c r="H60" i="23" s="1"/>
  <c r="G62" i="23"/>
  <c r="G61" i="23" s="1"/>
  <c r="G60" i="23" s="1"/>
  <c r="F62" i="23"/>
  <c r="F61" i="23" s="1"/>
  <c r="F60" i="23" s="1"/>
  <c r="E62" i="23"/>
  <c r="E61" i="23" s="1"/>
  <c r="E60" i="23" s="1"/>
  <c r="O54" i="23"/>
  <c r="O53" i="23" s="1"/>
  <c r="O52" i="23" s="1"/>
  <c r="N54" i="23"/>
  <c r="N53" i="23" s="1"/>
  <c r="N52" i="23" s="1"/>
  <c r="M54" i="23"/>
  <c r="M53" i="23" s="1"/>
  <c r="M52" i="23" s="1"/>
  <c r="L54" i="23"/>
  <c r="L53" i="23" s="1"/>
  <c r="L52" i="23" s="1"/>
  <c r="K54" i="23"/>
  <c r="K53" i="23" s="1"/>
  <c r="K52" i="23" s="1"/>
  <c r="J54" i="23"/>
  <c r="J53" i="23" s="1"/>
  <c r="J52" i="23" s="1"/>
  <c r="I54" i="23"/>
  <c r="I53" i="23" s="1"/>
  <c r="I52" i="23" s="1"/>
  <c r="H54" i="23"/>
  <c r="H53" i="23" s="1"/>
  <c r="H52" i="23" s="1"/>
  <c r="G54" i="23"/>
  <c r="G53" i="23" s="1"/>
  <c r="G52" i="23" s="1"/>
  <c r="F54" i="23"/>
  <c r="F53" i="23" s="1"/>
  <c r="F52" i="23" s="1"/>
  <c r="E54" i="23"/>
  <c r="E53" i="23" s="1"/>
  <c r="E52" i="23" s="1"/>
  <c r="O51" i="23"/>
  <c r="N51" i="23"/>
  <c r="M51" i="23"/>
  <c r="L51" i="23"/>
  <c r="K51" i="23"/>
  <c r="J51" i="23"/>
  <c r="I51" i="23"/>
  <c r="H51" i="23"/>
  <c r="G51" i="23"/>
  <c r="F51" i="23"/>
  <c r="E51" i="23"/>
  <c r="O49" i="23"/>
  <c r="N49" i="23"/>
  <c r="M49" i="23"/>
  <c r="L49" i="23"/>
  <c r="K49" i="23"/>
  <c r="J49" i="23"/>
  <c r="I49" i="23"/>
  <c r="H49" i="23"/>
  <c r="G49" i="23"/>
  <c r="F49" i="23"/>
  <c r="E49" i="23"/>
  <c r="O48" i="23"/>
  <c r="N48" i="23"/>
  <c r="M48" i="23"/>
  <c r="L48" i="23"/>
  <c r="K48" i="23"/>
  <c r="J48" i="23"/>
  <c r="I48" i="23"/>
  <c r="H48" i="23"/>
  <c r="G48" i="23"/>
  <c r="F48" i="23"/>
  <c r="E48" i="23"/>
  <c r="O47" i="23"/>
  <c r="N47" i="23"/>
  <c r="M47" i="23"/>
  <c r="L47" i="23"/>
  <c r="K47" i="23"/>
  <c r="J47" i="23"/>
  <c r="I47" i="23"/>
  <c r="H47" i="23"/>
  <c r="G47" i="23"/>
  <c r="F47" i="23"/>
  <c r="E47" i="23"/>
  <c r="O46" i="23"/>
  <c r="N46" i="23"/>
  <c r="M46" i="23"/>
  <c r="L46" i="23"/>
  <c r="K46" i="23"/>
  <c r="J46" i="23"/>
  <c r="I46" i="23"/>
  <c r="H46" i="23"/>
  <c r="G46" i="23"/>
  <c r="F46" i="23"/>
  <c r="E46" i="23"/>
  <c r="O45" i="23"/>
  <c r="N45" i="23"/>
  <c r="M45" i="23"/>
  <c r="L45" i="23"/>
  <c r="K45" i="23"/>
  <c r="J45" i="23"/>
  <c r="I45" i="23"/>
  <c r="H45" i="23"/>
  <c r="G45" i="23"/>
  <c r="F45" i="23"/>
  <c r="E45" i="23"/>
  <c r="O44" i="23"/>
  <c r="N44" i="23"/>
  <c r="M44" i="23"/>
  <c r="L44" i="23"/>
  <c r="K44" i="23"/>
  <c r="J44" i="23"/>
  <c r="I44" i="23"/>
  <c r="H44" i="23"/>
  <c r="G44" i="23"/>
  <c r="F44" i="23"/>
  <c r="E44" i="23"/>
  <c r="O43" i="23"/>
  <c r="N43" i="23"/>
  <c r="M43" i="23"/>
  <c r="L43" i="23"/>
  <c r="K43" i="23"/>
  <c r="J43" i="23"/>
  <c r="I43" i="23"/>
  <c r="H43" i="23"/>
  <c r="G43" i="23"/>
  <c r="F43" i="23"/>
  <c r="E43" i="23"/>
  <c r="O38" i="23"/>
  <c r="N38" i="23"/>
  <c r="M38" i="23"/>
  <c r="L38" i="23"/>
  <c r="K38" i="23"/>
  <c r="J38" i="23"/>
  <c r="I38" i="23"/>
  <c r="H38" i="23"/>
  <c r="G38" i="23"/>
  <c r="F38" i="23"/>
  <c r="E38" i="23"/>
  <c r="O37" i="23"/>
  <c r="N37" i="23"/>
  <c r="M37" i="23"/>
  <c r="L37" i="23"/>
  <c r="K37" i="23"/>
  <c r="J37" i="23"/>
  <c r="I37" i="23"/>
  <c r="H37" i="23"/>
  <c r="G37" i="23"/>
  <c r="F37" i="23"/>
  <c r="E37" i="23"/>
  <c r="O34" i="23"/>
  <c r="N34" i="23"/>
  <c r="M34" i="23"/>
  <c r="L34" i="23"/>
  <c r="K34" i="23"/>
  <c r="J34" i="23"/>
  <c r="I34" i="23"/>
  <c r="H34" i="23"/>
  <c r="G34" i="23"/>
  <c r="F34" i="23"/>
  <c r="E34" i="23"/>
  <c r="O33" i="23"/>
  <c r="N33" i="23"/>
  <c r="M33" i="23"/>
  <c r="L33" i="23"/>
  <c r="K33" i="23"/>
  <c r="J33" i="23"/>
  <c r="I33" i="23"/>
  <c r="H33" i="23"/>
  <c r="G33" i="23"/>
  <c r="F33" i="23"/>
  <c r="F32" i="23" s="1"/>
  <c r="E33" i="23"/>
  <c r="O31" i="23"/>
  <c r="N31" i="23"/>
  <c r="M31" i="23"/>
  <c r="L31" i="23"/>
  <c r="K31" i="23"/>
  <c r="J31" i="23"/>
  <c r="I31" i="23"/>
  <c r="H31" i="23"/>
  <c r="G31" i="23"/>
  <c r="F31" i="23"/>
  <c r="E31" i="23"/>
  <c r="O30" i="23"/>
  <c r="N30" i="23"/>
  <c r="M30" i="23"/>
  <c r="L30" i="23"/>
  <c r="K30" i="23"/>
  <c r="J30" i="23"/>
  <c r="I30" i="23"/>
  <c r="H30" i="23"/>
  <c r="G30" i="23"/>
  <c r="F30" i="23"/>
  <c r="E30" i="23"/>
  <c r="O29" i="23"/>
  <c r="N29" i="23"/>
  <c r="M29" i="23"/>
  <c r="L29" i="23"/>
  <c r="K29" i="23"/>
  <c r="J29" i="23"/>
  <c r="I29" i="23"/>
  <c r="H29" i="23"/>
  <c r="G29" i="23"/>
  <c r="F29" i="23"/>
  <c r="E29" i="23"/>
  <c r="O28" i="23"/>
  <c r="N28" i="23"/>
  <c r="M28" i="23"/>
  <c r="L28" i="23"/>
  <c r="K28" i="23"/>
  <c r="J28" i="23"/>
  <c r="I28" i="23"/>
  <c r="H28" i="23"/>
  <c r="G28" i="23"/>
  <c r="F28" i="23"/>
  <c r="E28" i="23"/>
  <c r="O27" i="23"/>
  <c r="N27" i="23"/>
  <c r="M27" i="23"/>
  <c r="L27" i="23"/>
  <c r="K27" i="23"/>
  <c r="J27" i="23"/>
  <c r="I27" i="23"/>
  <c r="H27" i="23"/>
  <c r="G27" i="23"/>
  <c r="F27" i="23"/>
  <c r="E27" i="23"/>
  <c r="O26" i="23"/>
  <c r="N26" i="23"/>
  <c r="M26" i="23"/>
  <c r="L26" i="23"/>
  <c r="K26" i="23"/>
  <c r="J26" i="23"/>
  <c r="I26" i="23"/>
  <c r="H26" i="23"/>
  <c r="G26" i="23"/>
  <c r="F26" i="23"/>
  <c r="E26" i="23"/>
  <c r="O25" i="23"/>
  <c r="N25" i="23"/>
  <c r="M25" i="23"/>
  <c r="L25" i="23"/>
  <c r="K25" i="23"/>
  <c r="J25" i="23"/>
  <c r="I25" i="23"/>
  <c r="H25" i="23"/>
  <c r="G25" i="23"/>
  <c r="F25" i="23"/>
  <c r="E25" i="23"/>
  <c r="O24" i="23"/>
  <c r="N24" i="23"/>
  <c r="M24" i="23"/>
  <c r="L24" i="23"/>
  <c r="K24" i="23"/>
  <c r="J24" i="23"/>
  <c r="I24" i="23"/>
  <c r="H24" i="23"/>
  <c r="G24" i="23"/>
  <c r="F24" i="23"/>
  <c r="E24" i="23"/>
  <c r="O23" i="23"/>
  <c r="N23" i="23"/>
  <c r="M23" i="23"/>
  <c r="L23" i="23"/>
  <c r="K23" i="23"/>
  <c r="J23" i="23"/>
  <c r="I23" i="23"/>
  <c r="H23" i="23"/>
  <c r="G23" i="23"/>
  <c r="F23" i="23"/>
  <c r="E23" i="23"/>
  <c r="O22" i="23"/>
  <c r="N22" i="23"/>
  <c r="M22" i="23"/>
  <c r="L22" i="23"/>
  <c r="K22" i="23"/>
  <c r="J22" i="23"/>
  <c r="I22" i="23"/>
  <c r="H22" i="23"/>
  <c r="G22" i="23"/>
  <c r="F22" i="23"/>
  <c r="E22" i="23"/>
  <c r="O21" i="23"/>
  <c r="N21" i="23"/>
  <c r="M21" i="23"/>
  <c r="L21" i="23"/>
  <c r="K21" i="23"/>
  <c r="J21" i="23"/>
  <c r="I21" i="23"/>
  <c r="H21" i="23"/>
  <c r="G21" i="23"/>
  <c r="F21" i="23"/>
  <c r="E21" i="23"/>
  <c r="O20" i="23"/>
  <c r="N20" i="23"/>
  <c r="M20" i="23"/>
  <c r="L20" i="23"/>
  <c r="K20" i="23"/>
  <c r="J20" i="23"/>
  <c r="I20" i="23"/>
  <c r="H20" i="23"/>
  <c r="G20" i="23"/>
  <c r="F20" i="23"/>
  <c r="E20" i="23"/>
  <c r="O17" i="23"/>
  <c r="N17" i="23"/>
  <c r="M17" i="23"/>
  <c r="L17" i="23"/>
  <c r="K17" i="23"/>
  <c r="J17" i="23"/>
  <c r="I17" i="23"/>
  <c r="H17" i="23"/>
  <c r="G17" i="23"/>
  <c r="F17" i="23"/>
  <c r="E17" i="23"/>
  <c r="O16" i="23"/>
  <c r="N16" i="23"/>
  <c r="M16" i="23"/>
  <c r="L16" i="23"/>
  <c r="K16" i="23"/>
  <c r="J16" i="23"/>
  <c r="I16" i="23"/>
  <c r="H16" i="23"/>
  <c r="G16" i="23"/>
  <c r="F16" i="23"/>
  <c r="E16" i="23"/>
  <c r="O15" i="23"/>
  <c r="N15" i="23"/>
  <c r="M15" i="23"/>
  <c r="L15" i="23"/>
  <c r="K15" i="23"/>
  <c r="J15" i="23"/>
  <c r="I15" i="23"/>
  <c r="H15" i="23"/>
  <c r="G15" i="23"/>
  <c r="F15" i="23"/>
  <c r="E15" i="23"/>
  <c r="O14" i="23"/>
  <c r="N14" i="23"/>
  <c r="M14" i="23"/>
  <c r="L14" i="23"/>
  <c r="K14" i="23"/>
  <c r="J14" i="23"/>
  <c r="I14" i="23"/>
  <c r="H14" i="23"/>
  <c r="G14" i="23"/>
  <c r="F14" i="23"/>
  <c r="E14" i="23"/>
  <c r="O13" i="23"/>
  <c r="N13" i="23"/>
  <c r="M13" i="23"/>
  <c r="L13" i="23"/>
  <c r="K13" i="23"/>
  <c r="J13" i="23"/>
  <c r="I13" i="23"/>
  <c r="H13" i="23"/>
  <c r="G13" i="23"/>
  <c r="F13" i="23"/>
  <c r="E13" i="23"/>
  <c r="O12" i="23"/>
  <c r="N12" i="23"/>
  <c r="M12" i="23"/>
  <c r="L12" i="23"/>
  <c r="K12" i="23"/>
  <c r="J12" i="23"/>
  <c r="I12" i="23"/>
  <c r="H12" i="23"/>
  <c r="G12" i="23"/>
  <c r="F12" i="23"/>
  <c r="E12" i="23"/>
  <c r="O11" i="23"/>
  <c r="N11" i="23"/>
  <c r="M11" i="23"/>
  <c r="L11" i="23"/>
  <c r="K11" i="23"/>
  <c r="J11" i="23"/>
  <c r="I11" i="23"/>
  <c r="H11" i="23"/>
  <c r="G11" i="23"/>
  <c r="F11" i="23"/>
  <c r="E11" i="23"/>
  <c r="O10" i="23"/>
  <c r="N10" i="23"/>
  <c r="M10" i="23"/>
  <c r="L10" i="23"/>
  <c r="K10" i="23"/>
  <c r="J10" i="23"/>
  <c r="I10" i="23"/>
  <c r="H10" i="23"/>
  <c r="G10" i="23"/>
  <c r="F10" i="23"/>
  <c r="E10" i="23"/>
  <c r="D70" i="23"/>
  <c r="D69" i="23" s="1"/>
  <c r="D68" i="23"/>
  <c r="D67" i="23" s="1"/>
  <c r="D63" i="23"/>
  <c r="D62" i="23"/>
  <c r="D61" i="23" s="1"/>
  <c r="D60" i="23" s="1"/>
  <c r="D54" i="23"/>
  <c r="D53" i="23" s="1"/>
  <c r="D52" i="23" s="1"/>
  <c r="D51" i="23"/>
  <c r="D49" i="23"/>
  <c r="D48" i="23"/>
  <c r="D47" i="23"/>
  <c r="D46" i="23"/>
  <c r="D45" i="23"/>
  <c r="D44" i="23"/>
  <c r="D43" i="23"/>
  <c r="D38" i="23"/>
  <c r="D37" i="23"/>
  <c r="D34" i="23"/>
  <c r="D33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7" i="23"/>
  <c r="D16" i="23"/>
  <c r="D15" i="23"/>
  <c r="D14" i="23"/>
  <c r="D13" i="23"/>
  <c r="D12" i="23"/>
  <c r="D11" i="23"/>
  <c r="D10" i="23"/>
  <c r="C63" i="23"/>
  <c r="C47" i="23"/>
  <c r="AC163" i="9"/>
  <c r="AD163" i="9"/>
  <c r="AE163" i="9"/>
  <c r="AF163" i="9"/>
  <c r="AG163" i="9"/>
  <c r="AH163" i="9"/>
  <c r="AI163" i="9"/>
  <c r="E35" i="9"/>
  <c r="G35" i="9" s="1"/>
  <c r="J16" i="9"/>
  <c r="I16" i="9"/>
  <c r="H16" i="9"/>
  <c r="N32" i="23" l="1"/>
  <c r="G66" i="23"/>
  <c r="O66" i="23"/>
  <c r="J66" i="23"/>
  <c r="M36" i="23"/>
  <c r="M35" i="23" s="1"/>
  <c r="L32" i="23"/>
  <c r="J36" i="23"/>
  <c r="J35" i="23" s="1"/>
  <c r="F36" i="23"/>
  <c r="F35" i="23" s="1"/>
  <c r="E32" i="23"/>
  <c r="E36" i="23"/>
  <c r="E35" i="23" s="1"/>
  <c r="F66" i="23"/>
  <c r="K66" i="23"/>
  <c r="I36" i="23"/>
  <c r="I35" i="23" s="1"/>
  <c r="D42" i="23"/>
  <c r="D39" i="23" s="1"/>
  <c r="M66" i="23"/>
  <c r="H36" i="23"/>
  <c r="H35" i="23" s="1"/>
  <c r="D32" i="23"/>
  <c r="M32" i="23"/>
  <c r="L19" i="23"/>
  <c r="H32" i="23"/>
  <c r="G36" i="23"/>
  <c r="G35" i="23" s="1"/>
  <c r="O36" i="23"/>
  <c r="O35" i="23" s="1"/>
  <c r="I32" i="23"/>
  <c r="J9" i="23"/>
  <c r="J8" i="23" s="1"/>
  <c r="K32" i="23"/>
  <c r="N36" i="23"/>
  <c r="N35" i="23" s="1"/>
  <c r="N66" i="23"/>
  <c r="H19" i="23"/>
  <c r="H18" i="23" s="1"/>
  <c r="E19" i="23"/>
  <c r="M19" i="23"/>
  <c r="J32" i="23"/>
  <c r="G32" i="23"/>
  <c r="O32" i="23"/>
  <c r="E66" i="23"/>
  <c r="D36" i="23"/>
  <c r="D35" i="23" s="1"/>
  <c r="K42" i="23"/>
  <c r="K39" i="23" s="1"/>
  <c r="E42" i="23"/>
  <c r="E39" i="23" s="1"/>
  <c r="M42" i="23"/>
  <c r="M39" i="23" s="1"/>
  <c r="D9" i="23"/>
  <c r="D8" i="23" s="1"/>
  <c r="E73" i="23"/>
  <c r="I73" i="23"/>
  <c r="M73" i="23"/>
  <c r="D66" i="23"/>
  <c r="F73" i="23"/>
  <c r="J73" i="23"/>
  <c r="N73" i="23"/>
  <c r="I19" i="23"/>
  <c r="I18" i="23" s="1"/>
  <c r="F19" i="23"/>
  <c r="F18" i="23" s="1"/>
  <c r="N19" i="23"/>
  <c r="N18" i="23" s="1"/>
  <c r="K19" i="23"/>
  <c r="J19" i="23"/>
  <c r="L36" i="23"/>
  <c r="L35" i="23" s="1"/>
  <c r="H42" i="23"/>
  <c r="H39" i="23" s="1"/>
  <c r="H66" i="23"/>
  <c r="G73" i="23"/>
  <c r="K73" i="23"/>
  <c r="O73" i="23"/>
  <c r="L9" i="23"/>
  <c r="L8" i="23" s="1"/>
  <c r="I9" i="23"/>
  <c r="I8" i="23" s="1"/>
  <c r="F9" i="23"/>
  <c r="K9" i="23"/>
  <c r="K8" i="23" s="1"/>
  <c r="H9" i="23"/>
  <c r="E9" i="23"/>
  <c r="M9" i="23"/>
  <c r="M8" i="23" s="1"/>
  <c r="L66" i="23"/>
  <c r="I66" i="23"/>
  <c r="D73" i="23"/>
  <c r="D19" i="23"/>
  <c r="L73" i="23"/>
  <c r="G19" i="23"/>
  <c r="O19" i="23"/>
  <c r="K36" i="23"/>
  <c r="K35" i="23" s="1"/>
  <c r="J42" i="23"/>
  <c r="J39" i="23" s="1"/>
  <c r="G42" i="23"/>
  <c r="G39" i="23" s="1"/>
  <c r="O42" i="23"/>
  <c r="O39" i="23" s="1"/>
  <c r="L42" i="23"/>
  <c r="L39" i="23" s="1"/>
  <c r="I42" i="23"/>
  <c r="I39" i="23" s="1"/>
  <c r="F42" i="23"/>
  <c r="F39" i="23" s="1"/>
  <c r="N42" i="23"/>
  <c r="N39" i="23" s="1"/>
  <c r="H73" i="23"/>
  <c r="N9" i="23"/>
  <c r="G9" i="23"/>
  <c r="O9" i="23"/>
  <c r="L18" i="23" l="1"/>
  <c r="L71" i="23" s="1"/>
  <c r="D18" i="23"/>
  <c r="D71" i="23" s="1"/>
  <c r="E18" i="23"/>
  <c r="O18" i="23"/>
  <c r="M18" i="23"/>
  <c r="M71" i="23" s="1"/>
  <c r="I72" i="23"/>
  <c r="H72" i="23"/>
  <c r="H8" i="23"/>
  <c r="H71" i="23" s="1"/>
  <c r="E72" i="23"/>
  <c r="K18" i="23"/>
  <c r="K71" i="23" s="1"/>
  <c r="J18" i="23"/>
  <c r="J71" i="23" s="1"/>
  <c r="G18" i="23"/>
  <c r="F72" i="23"/>
  <c r="J72" i="23"/>
  <c r="E8" i="23"/>
  <c r="I71" i="23"/>
  <c r="K72" i="23"/>
  <c r="L72" i="23"/>
  <c r="M72" i="23"/>
  <c r="D72" i="23"/>
  <c r="F8" i="23"/>
  <c r="F71" i="23" s="1"/>
  <c r="N72" i="23"/>
  <c r="N8" i="23"/>
  <c r="N71" i="23" s="1"/>
  <c r="O72" i="23"/>
  <c r="O8" i="23"/>
  <c r="O71" i="23" s="1"/>
  <c r="G72" i="23"/>
  <c r="G8" i="23"/>
  <c r="E71" i="23" l="1"/>
  <c r="G71" i="23"/>
  <c r="H36" i="18" l="1"/>
  <c r="K36" i="18" s="1"/>
  <c r="AA68" i="22" l="1"/>
  <c r="D25" i="5" l="1"/>
  <c r="X79" i="22"/>
  <c r="X80" i="22" s="1"/>
  <c r="X82" i="22" s="1"/>
  <c r="C25" i="5"/>
  <c r="AE89" i="22"/>
  <c r="AE88" i="22"/>
  <c r="AD37" i="22"/>
  <c r="AD29" i="22"/>
  <c r="AL70" i="22"/>
  <c r="AA70" i="22"/>
  <c r="J70" i="22"/>
  <c r="AI70" i="22" s="1"/>
  <c r="H70" i="22"/>
  <c r="W70" i="22" s="1"/>
  <c r="H25" i="5" l="1"/>
  <c r="L70" i="22"/>
  <c r="AD70" i="22" s="1"/>
  <c r="AH70" i="22"/>
  <c r="I70" i="22"/>
  <c r="P70" i="22" s="1"/>
  <c r="M70" i="22" l="1"/>
  <c r="O70" i="22"/>
  <c r="Q70" i="22" l="1"/>
  <c r="R70" i="22" s="1"/>
  <c r="AC70" i="22"/>
  <c r="AN70" i="22"/>
  <c r="AK70" i="22"/>
  <c r="Z70" i="22"/>
  <c r="AB70" i="22"/>
  <c r="AM70" i="22"/>
  <c r="AP70" i="22" l="1"/>
  <c r="AR70" i="22"/>
  <c r="AE70" i="22"/>
  <c r="H14" i="18" l="1"/>
  <c r="H26" i="18" l="1"/>
  <c r="K35" i="9"/>
  <c r="L35" i="9" s="1"/>
  <c r="L12" i="9"/>
  <c r="C58" i="9"/>
  <c r="F49" i="9"/>
  <c r="F23" i="9"/>
  <c r="L34" i="9" l="1"/>
  <c r="G122" i="4"/>
  <c r="G123" i="4"/>
  <c r="G124" i="4"/>
  <c r="G125" i="4"/>
  <c r="D51" i="5" s="1"/>
  <c r="H51" i="5" s="1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21" i="4"/>
  <c r="G120" i="4" l="1"/>
  <c r="AG11" i="22" l="1"/>
  <c r="AG12" i="22"/>
  <c r="AG13" i="22"/>
  <c r="AL13" i="22" s="1"/>
  <c r="AG14" i="22"/>
  <c r="AL14" i="22" s="1"/>
  <c r="AG15" i="22"/>
  <c r="AL15" i="22" s="1"/>
  <c r="AL18" i="22"/>
  <c r="AL75" i="22"/>
  <c r="AL74" i="22"/>
  <c r="AL72" i="22"/>
  <c r="AL71" i="22"/>
  <c r="AL69" i="22"/>
  <c r="AL68" i="22"/>
  <c r="AL60" i="22"/>
  <c r="AL56" i="22"/>
  <c r="AL54" i="22"/>
  <c r="AL53" i="22"/>
  <c r="AG27" i="22"/>
  <c r="AL27" i="22" s="1"/>
  <c r="AG26" i="22"/>
  <c r="AL26" i="22" s="1"/>
  <c r="AG25" i="22"/>
  <c r="AG24" i="22"/>
  <c r="AL24" i="22" s="1"/>
  <c r="AG23" i="22"/>
  <c r="AL23" i="22" s="1"/>
  <c r="AG20" i="22"/>
  <c r="AL20" i="22" s="1"/>
  <c r="AM78" i="22"/>
  <c r="AL78" i="22"/>
  <c r="AM77" i="22"/>
  <c r="AL77" i="22"/>
  <c r="AM76" i="22"/>
  <c r="AL76" i="22"/>
  <c r="AM66" i="22"/>
  <c r="AL66" i="22"/>
  <c r="AM65" i="22"/>
  <c r="AL65" i="22"/>
  <c r="AM64" i="22"/>
  <c r="AL64" i="22"/>
  <c r="AM63" i="22"/>
  <c r="AL63" i="22"/>
  <c r="AM62" i="22"/>
  <c r="AL62" i="22"/>
  <c r="AM52" i="22"/>
  <c r="AL52" i="22"/>
  <c r="AM51" i="22"/>
  <c r="AL51" i="22"/>
  <c r="AM50" i="22"/>
  <c r="AL50" i="22"/>
  <c r="AM49" i="22"/>
  <c r="AL49" i="22"/>
  <c r="AM48" i="22"/>
  <c r="AL48" i="22"/>
  <c r="AM47" i="22"/>
  <c r="AL47" i="22"/>
  <c r="AM46" i="22"/>
  <c r="AL46" i="22"/>
  <c r="AM45" i="22"/>
  <c r="AL45" i="22"/>
  <c r="AM44" i="22"/>
  <c r="AL44" i="22"/>
  <c r="AM43" i="22"/>
  <c r="AL43" i="22"/>
  <c r="AM42" i="22"/>
  <c r="AL42" i="22"/>
  <c r="AM41" i="22"/>
  <c r="AL41" i="22"/>
  <c r="AM40" i="22"/>
  <c r="AL40" i="22"/>
  <c r="AM39" i="22"/>
  <c r="AL39" i="22"/>
  <c r="AM37" i="22"/>
  <c r="AL37" i="22"/>
  <c r="AM36" i="22"/>
  <c r="AL36" i="22"/>
  <c r="AM35" i="22"/>
  <c r="AL35" i="22"/>
  <c r="AM34" i="22"/>
  <c r="AL34" i="22"/>
  <c r="AM33" i="22"/>
  <c r="AL33" i="22"/>
  <c r="AM32" i="22"/>
  <c r="AL32" i="22"/>
  <c r="AM31" i="22"/>
  <c r="AL31" i="22"/>
  <c r="AM30" i="22"/>
  <c r="AL30" i="22"/>
  <c r="AM29" i="22"/>
  <c r="AL29" i="22"/>
  <c r="AC29" i="22"/>
  <c r="AC30" i="22"/>
  <c r="AC31" i="22"/>
  <c r="AC32" i="22"/>
  <c r="AC33" i="22"/>
  <c r="AC34" i="22"/>
  <c r="AC35" i="22"/>
  <c r="AC37" i="22"/>
  <c r="AC39" i="22"/>
  <c r="AC40" i="22"/>
  <c r="AC41" i="22"/>
  <c r="AC42" i="22"/>
  <c r="AC43" i="22"/>
  <c r="AC45" i="22"/>
  <c r="AC46" i="22"/>
  <c r="AC47" i="22"/>
  <c r="AC49" i="22"/>
  <c r="AC50" i="22"/>
  <c r="AC51" i="22"/>
  <c r="AC62" i="22"/>
  <c r="AC63" i="22"/>
  <c r="AC64" i="22"/>
  <c r="AC65" i="22"/>
  <c r="AA11" i="22"/>
  <c r="AB29" i="22"/>
  <c r="AB37" i="22"/>
  <c r="AB39" i="22"/>
  <c r="AB45" i="22"/>
  <c r="AB49" i="22"/>
  <c r="AB62" i="22"/>
  <c r="AA12" i="22"/>
  <c r="AA13" i="22"/>
  <c r="AA14" i="22"/>
  <c r="AA15" i="22"/>
  <c r="AA18" i="22"/>
  <c r="AA20" i="22"/>
  <c r="AA23" i="22"/>
  <c r="AA24" i="22"/>
  <c r="AA25" i="22"/>
  <c r="AA26" i="22"/>
  <c r="AA27" i="22"/>
  <c r="AA29" i="22"/>
  <c r="AA30" i="22"/>
  <c r="AA31" i="22"/>
  <c r="AA32" i="22"/>
  <c r="AA33" i="22"/>
  <c r="AA34" i="22"/>
  <c r="AA35" i="22"/>
  <c r="AA37" i="22"/>
  <c r="AA39" i="22"/>
  <c r="AA40" i="22"/>
  <c r="AA41" i="22"/>
  <c r="AA42" i="22"/>
  <c r="AA43" i="22"/>
  <c r="AA45" i="22"/>
  <c r="AA46" i="22"/>
  <c r="AA47" i="22"/>
  <c r="AA49" i="22"/>
  <c r="AA50" i="22"/>
  <c r="AA51" i="22"/>
  <c r="AA53" i="22"/>
  <c r="AA54" i="22"/>
  <c r="AA56" i="22"/>
  <c r="AA60" i="22"/>
  <c r="AA62" i="22"/>
  <c r="AA63" i="22"/>
  <c r="AA64" i="22"/>
  <c r="AA65" i="22"/>
  <c r="AA69" i="22"/>
  <c r="AA71" i="22"/>
  <c r="AA72" i="22"/>
  <c r="AA74" i="22"/>
  <c r="AA75" i="22"/>
  <c r="AA76" i="22"/>
  <c r="AA77" i="22"/>
  <c r="AA78" i="22"/>
  <c r="AL12" i="22" l="1"/>
  <c r="AL25" i="22"/>
  <c r="AL28" i="22" s="1"/>
  <c r="AL11" i="22"/>
  <c r="AN37" i="22"/>
  <c r="AR37" i="22"/>
  <c r="AN49" i="22"/>
  <c r="AR49" i="22"/>
  <c r="AN29" i="22"/>
  <c r="AR29" i="22"/>
  <c r="AN45" i="22"/>
  <c r="AR45" i="22"/>
  <c r="AN39" i="22"/>
  <c r="AR39" i="22"/>
  <c r="AN62" i="22"/>
  <c r="AR62" i="22"/>
  <c r="AA28" i="22"/>
  <c r="AA19" i="22"/>
  <c r="AL19" i="22" l="1"/>
  <c r="AL38" i="22" s="1"/>
  <c r="AA38" i="22"/>
  <c r="J55" i="22" l="1"/>
  <c r="AI55" i="22" s="1"/>
  <c r="H55" i="22"/>
  <c r="O55" i="22" l="1"/>
  <c r="AK55" i="22" s="1"/>
  <c r="P55" i="22"/>
  <c r="W55" i="22"/>
  <c r="AH55" i="22"/>
  <c r="L55" i="22"/>
  <c r="AD55" i="22" s="1"/>
  <c r="I55" i="22"/>
  <c r="Z55" i="22" l="1"/>
  <c r="N55" i="22"/>
  <c r="M55" i="22"/>
  <c r="Q55" i="22" l="1"/>
  <c r="R55" i="22" s="1"/>
  <c r="AL55" i="22"/>
  <c r="AL61" i="22" s="1"/>
  <c r="AA55" i="22"/>
  <c r="AA61" i="22" s="1"/>
  <c r="AB55" i="22"/>
  <c r="AM55" i="22"/>
  <c r="AC55" i="22"/>
  <c r="AN55" i="22"/>
  <c r="AE55" i="22" l="1"/>
  <c r="AP55" i="22"/>
  <c r="AR55" i="22"/>
  <c r="K14" i="18"/>
  <c r="C14" i="23" s="1"/>
  <c r="P10" i="9" l="1"/>
  <c r="Q10" i="9"/>
  <c r="R10" i="9"/>
  <c r="M10" i="9"/>
  <c r="N10" i="9"/>
  <c r="P17" i="9"/>
  <c r="Q17" i="9"/>
  <c r="R17" i="9"/>
  <c r="S10" i="9" l="1"/>
  <c r="W128" i="9" l="1"/>
  <c r="AK128" i="9" s="1"/>
  <c r="O116" i="9" l="1"/>
  <c r="M116" i="9"/>
  <c r="M112" i="9" s="1"/>
  <c r="K116" i="9"/>
  <c r="M39" i="9"/>
  <c r="M44" i="9"/>
  <c r="M43" i="9" s="1"/>
  <c r="M9" i="9"/>
  <c r="L18" i="9"/>
  <c r="L19" i="9"/>
  <c r="L20" i="9"/>
  <c r="L21" i="9"/>
  <c r="S17" i="9" l="1"/>
  <c r="AK17" i="9" s="1"/>
  <c r="M141" i="9"/>
  <c r="AB141" i="9" s="1"/>
  <c r="N39" i="9"/>
  <c r="N9" i="9" s="1"/>
  <c r="S9" i="9" s="1"/>
  <c r="N112" i="9" l="1"/>
  <c r="K23" i="9" l="1"/>
  <c r="L23" i="9" s="1"/>
  <c r="D28" i="22" l="1"/>
  <c r="D19" i="22"/>
  <c r="D38" i="22" l="1"/>
  <c r="D82" i="22" s="1"/>
  <c r="C26" i="8"/>
  <c r="K40" i="9"/>
  <c r="F40" i="9"/>
  <c r="C17" i="8" l="1"/>
  <c r="K156" i="9" l="1"/>
  <c r="K155" i="9" s="1"/>
  <c r="J156" i="9"/>
  <c r="J155" i="9" s="1"/>
  <c r="I156" i="9"/>
  <c r="I155" i="9" s="1"/>
  <c r="H157" i="9"/>
  <c r="H156" i="9" s="1"/>
  <c r="H155" i="9" s="1"/>
  <c r="G94" i="4"/>
  <c r="G93" i="4" s="1"/>
  <c r="C141" i="5" s="1"/>
  <c r="C140" i="5" s="1"/>
  <c r="C139" i="5" s="1"/>
  <c r="F94" i="4"/>
  <c r="F93" i="4" s="1"/>
  <c r="E94" i="4"/>
  <c r="E93" i="4" s="1"/>
  <c r="D94" i="4"/>
  <c r="D93" i="4" s="1"/>
  <c r="C94" i="4"/>
  <c r="C93" i="4" s="1"/>
  <c r="D156" i="9"/>
  <c r="D155" i="9" s="1"/>
  <c r="E156" i="9"/>
  <c r="E155" i="9" s="1"/>
  <c r="F156" i="9"/>
  <c r="F155" i="9" s="1"/>
  <c r="C157" i="9"/>
  <c r="C156" i="9" s="1"/>
  <c r="D202" i="4"/>
  <c r="D201" i="4" s="1"/>
  <c r="E202" i="4"/>
  <c r="E201" i="4" s="1"/>
  <c r="F202" i="4"/>
  <c r="F201" i="4" s="1"/>
  <c r="C202" i="4"/>
  <c r="C201" i="4" s="1"/>
  <c r="L155" i="9" l="1"/>
  <c r="D141" i="5"/>
  <c r="D140" i="5" s="1"/>
  <c r="D139" i="5" s="1"/>
  <c r="I139" i="5" s="1"/>
  <c r="G157" i="9"/>
  <c r="L156" i="9"/>
  <c r="G156" i="9"/>
  <c r="C155" i="9"/>
  <c r="G155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10" i="5" s="1"/>
  <c r="G77" i="4"/>
  <c r="C111" i="5" s="1"/>
  <c r="S147" i="9" l="1"/>
  <c r="S139" i="9"/>
  <c r="S138" i="9"/>
  <c r="S137" i="9"/>
  <c r="S135" i="9"/>
  <c r="S133" i="9"/>
  <c r="S130" i="9"/>
  <c r="S129" i="9"/>
  <c r="S118" i="9"/>
  <c r="S117" i="9"/>
  <c r="S115" i="9"/>
  <c r="S114" i="9"/>
  <c r="S102" i="9"/>
  <c r="Q151" i="9"/>
  <c r="Q150" i="9" s="1"/>
  <c r="Q103" i="9"/>
  <c r="F55" i="9" l="1"/>
  <c r="F54" i="9"/>
  <c r="K75" i="22"/>
  <c r="AJ75" i="22" s="1"/>
  <c r="K74" i="22"/>
  <c r="K72" i="22"/>
  <c r="AJ72" i="22" s="1"/>
  <c r="K71" i="22"/>
  <c r="AJ71" i="22" s="1"/>
  <c r="K69" i="22"/>
  <c r="AJ69" i="22" s="1"/>
  <c r="AJ74" i="22" l="1"/>
  <c r="AJ79" i="22" s="1"/>
  <c r="AJ80" i="22" s="1"/>
  <c r="AJ82" i="22" s="1"/>
  <c r="P74" i="22"/>
  <c r="Y79" i="22"/>
  <c r="Y80" i="22" s="1"/>
  <c r="Y82" i="22" s="1"/>
  <c r="AI75" i="22"/>
  <c r="J74" i="22"/>
  <c r="AI74" i="22" s="1"/>
  <c r="J72" i="22"/>
  <c r="AI72" i="22" s="1"/>
  <c r="J71" i="22"/>
  <c r="AI71" i="22" s="1"/>
  <c r="J69" i="22"/>
  <c r="AI69" i="22" s="1"/>
  <c r="J68" i="22"/>
  <c r="AI68" i="22" s="1"/>
  <c r="AI67" i="22"/>
  <c r="J60" i="22"/>
  <c r="AI60" i="22" s="1"/>
  <c r="J56" i="22"/>
  <c r="AI56" i="22" s="1"/>
  <c r="J54" i="22"/>
  <c r="AI54" i="22" s="1"/>
  <c r="J53" i="22"/>
  <c r="AI53" i="22" s="1"/>
  <c r="J27" i="22"/>
  <c r="AI27" i="22" s="1"/>
  <c r="J26" i="22"/>
  <c r="AI26" i="22" s="1"/>
  <c r="J25" i="22"/>
  <c r="AI25" i="22" s="1"/>
  <c r="J24" i="22"/>
  <c r="AI24" i="22" s="1"/>
  <c r="J23" i="22"/>
  <c r="AI23" i="22" s="1"/>
  <c r="J20" i="22"/>
  <c r="AI20" i="22" s="1"/>
  <c r="AI18" i="22"/>
  <c r="J15" i="22"/>
  <c r="AI15" i="22" s="1"/>
  <c r="J14" i="22"/>
  <c r="AI14" i="22" s="1"/>
  <c r="J13" i="22"/>
  <c r="AI13" i="22" s="1"/>
  <c r="J12" i="22"/>
  <c r="AI12" i="22" s="1"/>
  <c r="J11" i="22"/>
  <c r="AI11" i="22" s="1"/>
  <c r="E89" i="4"/>
  <c r="F89" i="4"/>
  <c r="C19" i="5" l="1"/>
  <c r="K16" i="9"/>
  <c r="L16" i="9" s="1"/>
  <c r="AI79" i="22"/>
  <c r="F16" i="9" s="1"/>
  <c r="AI19" i="22"/>
  <c r="AI61" i="22"/>
  <c r="AI28" i="22"/>
  <c r="J79" i="22"/>
  <c r="J28" i="22"/>
  <c r="D16" i="9" s="1"/>
  <c r="J61" i="22"/>
  <c r="E16" i="9" s="1"/>
  <c r="J19" i="22"/>
  <c r="AI80" i="22" l="1"/>
  <c r="AI38" i="22"/>
  <c r="J80" i="22"/>
  <c r="AI82" i="22" l="1"/>
  <c r="C34" i="5"/>
  <c r="H32" i="9" l="1"/>
  <c r="L32" i="9" s="1"/>
  <c r="H75" i="22"/>
  <c r="H72" i="22"/>
  <c r="I72" i="22" s="1"/>
  <c r="P72" i="22" s="1"/>
  <c r="H71" i="22"/>
  <c r="H69" i="22"/>
  <c r="H68" i="22"/>
  <c r="I68" i="22" s="1"/>
  <c r="P68" i="22" s="1"/>
  <c r="H67" i="22"/>
  <c r="H60" i="22"/>
  <c r="P60" i="22" s="1"/>
  <c r="H56" i="22"/>
  <c r="H54" i="22"/>
  <c r="H53" i="22"/>
  <c r="H20" i="22"/>
  <c r="H27" i="22"/>
  <c r="H26" i="22"/>
  <c r="H25" i="22"/>
  <c r="H24" i="22"/>
  <c r="H23" i="22"/>
  <c r="H15" i="22"/>
  <c r="H14" i="22"/>
  <c r="H13" i="22"/>
  <c r="H12" i="22"/>
  <c r="H11" i="22"/>
  <c r="W11" i="22" s="1"/>
  <c r="G18" i="21"/>
  <c r="P12" i="22" l="1"/>
  <c r="O12" i="22"/>
  <c r="AK12" i="22" s="1"/>
  <c r="O25" i="22"/>
  <c r="AK25" i="22" s="1"/>
  <c r="P25" i="22"/>
  <c r="O26" i="22"/>
  <c r="AK26" i="22" s="1"/>
  <c r="P26" i="22"/>
  <c r="O20" i="22"/>
  <c r="AK20" i="22" s="1"/>
  <c r="P20" i="22"/>
  <c r="O53" i="22"/>
  <c r="AK53" i="22" s="1"/>
  <c r="P53" i="22"/>
  <c r="O11" i="22"/>
  <c r="Z11" i="22" s="1"/>
  <c r="P11" i="22"/>
  <c r="O27" i="22"/>
  <c r="Z27" i="22" s="1"/>
  <c r="P27" i="22"/>
  <c r="P13" i="22"/>
  <c r="O13" i="22"/>
  <c r="AK13" i="22" s="1"/>
  <c r="O14" i="22"/>
  <c r="AK14" i="22" s="1"/>
  <c r="P14" i="22"/>
  <c r="O15" i="22"/>
  <c r="AK15" i="22" s="1"/>
  <c r="P15" i="22"/>
  <c r="O54" i="22"/>
  <c r="AK54" i="22" s="1"/>
  <c r="P54" i="22"/>
  <c r="O23" i="22"/>
  <c r="AK23" i="22" s="1"/>
  <c r="P23" i="22"/>
  <c r="O56" i="22"/>
  <c r="Z56" i="22" s="1"/>
  <c r="P56" i="22"/>
  <c r="O24" i="22"/>
  <c r="Z24" i="22" s="1"/>
  <c r="P24" i="22"/>
  <c r="W67" i="22"/>
  <c r="I67" i="22"/>
  <c r="P67" i="22" s="1"/>
  <c r="Z15" i="22"/>
  <c r="Z18" i="22"/>
  <c r="AK18" i="22"/>
  <c r="Z25" i="22"/>
  <c r="AH60" i="22"/>
  <c r="O60" i="22"/>
  <c r="Z14" i="22"/>
  <c r="O68" i="22"/>
  <c r="M68" i="22"/>
  <c r="W53" i="22"/>
  <c r="AH53" i="22"/>
  <c r="W69" i="22"/>
  <c r="AH69" i="22"/>
  <c r="W12" i="22"/>
  <c r="AH12" i="22"/>
  <c r="W26" i="22"/>
  <c r="AH26" i="22"/>
  <c r="W54" i="22"/>
  <c r="AH54" i="22"/>
  <c r="W13" i="22"/>
  <c r="AH13" i="22"/>
  <c r="W23" i="22"/>
  <c r="AH23" i="22"/>
  <c r="W27" i="22"/>
  <c r="AH27" i="22"/>
  <c r="AH11" i="22"/>
  <c r="W14" i="22"/>
  <c r="AH14" i="22"/>
  <c r="W24" i="22"/>
  <c r="AH24" i="22"/>
  <c r="W20" i="22"/>
  <c r="AH20" i="22"/>
  <c r="W56" i="22"/>
  <c r="AH56" i="22"/>
  <c r="W68" i="22"/>
  <c r="AH68" i="22"/>
  <c r="W71" i="22"/>
  <c r="AH71" i="22"/>
  <c r="W75" i="22"/>
  <c r="AH75" i="22"/>
  <c r="W15" i="22"/>
  <c r="AH15" i="22"/>
  <c r="W25" i="22"/>
  <c r="AH25" i="22"/>
  <c r="W72" i="22"/>
  <c r="AH72" i="22"/>
  <c r="W18" i="22"/>
  <c r="AH18" i="22"/>
  <c r="AH67" i="22"/>
  <c r="W74" i="22"/>
  <c r="AH74" i="22"/>
  <c r="H61" i="22"/>
  <c r="W60" i="22"/>
  <c r="L11" i="22"/>
  <c r="AD11" i="22" s="1"/>
  <c r="I11" i="22"/>
  <c r="M11" i="22" s="1"/>
  <c r="H79" i="22"/>
  <c r="Z20" i="22" l="1"/>
  <c r="Z53" i="22"/>
  <c r="Z13" i="22"/>
  <c r="AK56" i="22"/>
  <c r="Z54" i="22"/>
  <c r="AK27" i="22"/>
  <c r="Z26" i="22"/>
  <c r="Z12" i="22"/>
  <c r="AK24" i="22"/>
  <c r="AK11" i="22"/>
  <c r="Z23" i="22"/>
  <c r="AC11" i="22"/>
  <c r="AN11" i="22"/>
  <c r="AC25" i="22"/>
  <c r="AN25" i="22"/>
  <c r="AB11" i="22"/>
  <c r="AM11" i="22"/>
  <c r="Z68" i="22"/>
  <c r="AK68" i="22"/>
  <c r="AM68" i="22"/>
  <c r="AB68" i="22"/>
  <c r="AN68" i="22"/>
  <c r="AC68" i="22"/>
  <c r="Z60" i="22"/>
  <c r="AK60" i="22"/>
  <c r="W19" i="22"/>
  <c r="H11" i="9" s="1"/>
  <c r="W28" i="22"/>
  <c r="W61" i="22"/>
  <c r="J11" i="9" s="1"/>
  <c r="W79" i="22"/>
  <c r="K11" i="9" s="1"/>
  <c r="AH79" i="22"/>
  <c r="F11" i="9" s="1"/>
  <c r="AH28" i="22"/>
  <c r="D11" i="9" s="1"/>
  <c r="AH61" i="22"/>
  <c r="E11" i="9" s="1"/>
  <c r="AH19" i="22"/>
  <c r="C11" i="9" s="1"/>
  <c r="W38" i="22" l="1"/>
  <c r="I11" i="9"/>
  <c r="W80" i="22"/>
  <c r="AH38" i="22"/>
  <c r="AH80" i="22"/>
  <c r="W82" i="22" l="1"/>
  <c r="C14" i="5" s="1"/>
  <c r="AH82" i="22"/>
  <c r="D14" i="5" s="1"/>
  <c r="H14" i="5" l="1"/>
  <c r="AR68" i="22"/>
  <c r="H19" i="8"/>
  <c r="R96" i="9" s="1"/>
  <c r="J25" i="20"/>
  <c r="I25" i="20"/>
  <c r="G25" i="20"/>
  <c r="J20" i="20"/>
  <c r="I20" i="20"/>
  <c r="G20" i="20"/>
  <c r="I15" i="22" l="1"/>
  <c r="K61" i="22"/>
  <c r="K28" i="22"/>
  <c r="K19" i="22"/>
  <c r="M15" i="22" l="1"/>
  <c r="K79" i="22"/>
  <c r="AN15" i="22" l="1"/>
  <c r="AC15" i="22"/>
  <c r="AM15" i="22"/>
  <c r="AB15" i="22"/>
  <c r="K80" i="22"/>
  <c r="I54" i="22"/>
  <c r="A10" i="21"/>
  <c r="A11" i="21" s="1"/>
  <c r="A12" i="21" s="1"/>
  <c r="A13" i="21" s="1"/>
  <c r="A14" i="21" s="1"/>
  <c r="A15" i="21" s="1"/>
  <c r="A16" i="21" s="1"/>
  <c r="A17" i="21" s="1"/>
  <c r="M54" i="22" l="1"/>
  <c r="AM54" i="22" l="1"/>
  <c r="AB54" i="22"/>
  <c r="AC54" i="22"/>
  <c r="AN54" i="22"/>
  <c r="Q40" i="23"/>
  <c r="Q55" i="23"/>
  <c r="Q56" i="23"/>
  <c r="Q57" i="23"/>
  <c r="Q58" i="23"/>
  <c r="Q64" i="23"/>
  <c r="P39" i="23"/>
  <c r="P67" i="23"/>
  <c r="P66" i="23" s="1"/>
  <c r="P50" i="23"/>
  <c r="Q50" i="23" s="1"/>
  <c r="P45" i="23"/>
  <c r="P44" i="23"/>
  <c r="P33" i="23"/>
  <c r="P32" i="23"/>
  <c r="P28" i="23"/>
  <c r="Q47" i="23"/>
  <c r="P61" i="23" l="1"/>
  <c r="P60" i="23" s="1"/>
  <c r="P59" i="23" s="1"/>
  <c r="P21" i="23"/>
  <c r="P37" i="23"/>
  <c r="P53" i="23"/>
  <c r="P19" i="23"/>
  <c r="P23" i="23"/>
  <c r="P27" i="23"/>
  <c r="P30" i="23"/>
  <c r="P36" i="23"/>
  <c r="P42" i="23"/>
  <c r="P43" i="23"/>
  <c r="P29" i="23"/>
  <c r="P20" i="23"/>
  <c r="P22" i="23"/>
  <c r="P24" i="23"/>
  <c r="P26" i="23"/>
  <c r="P31" i="23"/>
  <c r="P35" i="23" l="1"/>
  <c r="P34" i="23" s="1"/>
  <c r="P41" i="23"/>
  <c r="P68" i="23"/>
  <c r="P65" i="23" s="1"/>
  <c r="Q65" i="23" s="1"/>
  <c r="P15" i="23"/>
  <c r="P13" i="23"/>
  <c r="P11" i="23"/>
  <c r="P25" i="23"/>
  <c r="P14" i="23"/>
  <c r="Q14" i="23" s="1"/>
  <c r="P12" i="23"/>
  <c r="P10" i="23"/>
  <c r="Q41" i="23" l="1"/>
  <c r="P18" i="23"/>
  <c r="P17" i="23" l="1"/>
  <c r="P63" i="23"/>
  <c r="P62" i="23" s="1"/>
  <c r="P52" i="23"/>
  <c r="P51" i="23" s="1"/>
  <c r="P49" i="23"/>
  <c r="P9" i="23"/>
  <c r="P8" i="23" l="1"/>
  <c r="Q59" i="23"/>
  <c r="P38" i="23"/>
  <c r="Q63" i="23"/>
  <c r="P71" i="23" l="1"/>
  <c r="L15" i="22"/>
  <c r="AD15" i="22" s="1"/>
  <c r="P73" i="23" l="1"/>
  <c r="M67" i="22" l="1"/>
  <c r="O67" i="22"/>
  <c r="N67" i="22"/>
  <c r="AP15" i="22"/>
  <c r="AL67" i="22" l="1"/>
  <c r="AL79" i="22" s="1"/>
  <c r="AL80" i="22" s="1"/>
  <c r="AL82" i="22" s="1"/>
  <c r="AA67" i="22"/>
  <c r="AA79" i="22" s="1"/>
  <c r="AA80" i="22" s="1"/>
  <c r="AA82" i="22" s="1"/>
  <c r="AC67" i="22"/>
  <c r="AN67" i="22"/>
  <c r="Z67" i="22"/>
  <c r="AK67" i="22"/>
  <c r="AB67" i="22"/>
  <c r="AM67" i="22"/>
  <c r="Q15" i="22"/>
  <c r="AE15" i="22"/>
  <c r="I9" i="20"/>
  <c r="G9" i="20"/>
  <c r="AR67" i="22" l="1"/>
  <c r="AR15" i="22"/>
  <c r="AP67" i="22"/>
  <c r="R15" i="22"/>
  <c r="G164" i="4"/>
  <c r="S127" i="9" l="1"/>
  <c r="AK127" i="9" s="1"/>
  <c r="K102" i="9" l="1"/>
  <c r="K101" i="9" s="1"/>
  <c r="J102" i="9"/>
  <c r="J101" i="9" s="1"/>
  <c r="I102" i="9"/>
  <c r="I101" i="9" s="1"/>
  <c r="H102" i="9"/>
  <c r="H101" i="9" s="1"/>
  <c r="L102" i="9" l="1"/>
  <c r="H7" i="20"/>
  <c r="L101" i="9" l="1"/>
  <c r="L74" i="22"/>
  <c r="AD74" i="22" s="1"/>
  <c r="J7" i="20"/>
  <c r="C43" i="5" s="1"/>
  <c r="H9" i="20"/>
  <c r="D43" i="5" l="1"/>
  <c r="M74" i="22"/>
  <c r="O74" i="22"/>
  <c r="J9" i="20"/>
  <c r="AC74" i="22" l="1"/>
  <c r="AN74" i="22"/>
  <c r="AK74" i="22"/>
  <c r="Z74" i="22"/>
  <c r="AB74" i="22"/>
  <c r="AM74" i="22"/>
  <c r="H40" i="9"/>
  <c r="C40" i="9"/>
  <c r="G40" i="9" s="1"/>
  <c r="Q74" i="22"/>
  <c r="L40" i="9" l="1"/>
  <c r="AE74" i="22"/>
  <c r="AP74" i="22"/>
  <c r="AR74" i="22"/>
  <c r="R74" i="22"/>
  <c r="L39" i="9" l="1"/>
  <c r="G70" i="18"/>
  <c r="F70" i="18"/>
  <c r="P97" i="9" l="1"/>
  <c r="S97" i="9" s="1"/>
  <c r="L96" i="9"/>
  <c r="L97" i="9"/>
  <c r="H20" i="8"/>
  <c r="H21" i="8"/>
  <c r="Q98" i="9" s="1"/>
  <c r="S96" i="9"/>
  <c r="Q95" i="9" l="1"/>
  <c r="Q94" i="9" s="1"/>
  <c r="Q163" i="9" s="1"/>
  <c r="F26" i="12" s="1"/>
  <c r="D27" i="14" s="1"/>
  <c r="I27" i="14" s="1"/>
  <c r="S98" i="9"/>
  <c r="C95" i="10"/>
  <c r="R95" i="9"/>
  <c r="C61" i="9"/>
  <c r="K66" i="9"/>
  <c r="G74" i="4"/>
  <c r="F73" i="4"/>
  <c r="D73" i="4"/>
  <c r="E73" i="4"/>
  <c r="E68" i="4" s="1"/>
  <c r="C73" i="4"/>
  <c r="G73" i="4" l="1"/>
  <c r="C108" i="5"/>
  <c r="C107" i="5" s="1"/>
  <c r="F66" i="9"/>
  <c r="C45" i="9" l="1"/>
  <c r="F84" i="9" l="1"/>
  <c r="D86" i="5"/>
  <c r="H50" i="18" l="1"/>
  <c r="H42" i="18"/>
  <c r="H32" i="18"/>
  <c r="G67" i="18" l="1"/>
  <c r="K69" i="18" l="1"/>
  <c r="G66" i="18"/>
  <c r="H70" i="18"/>
  <c r="K71" i="18"/>
  <c r="C70" i="23" s="1"/>
  <c r="C69" i="23" s="1"/>
  <c r="H35" i="18"/>
  <c r="C68" i="23" l="1"/>
  <c r="C67" i="23" s="1"/>
  <c r="K67" i="18"/>
  <c r="L78" i="22"/>
  <c r="L76" i="22"/>
  <c r="I27" i="22"/>
  <c r="I26" i="22"/>
  <c r="L23" i="22"/>
  <c r="AD23" i="22" s="1"/>
  <c r="I14" i="22"/>
  <c r="I13" i="22"/>
  <c r="L68" i="22"/>
  <c r="AD68" i="22" s="1"/>
  <c r="L77" i="22"/>
  <c r="I77" i="22"/>
  <c r="I78" i="22"/>
  <c r="M78" i="22" s="1"/>
  <c r="AB78" i="22" s="1"/>
  <c r="AR78" i="22" s="1"/>
  <c r="O78" i="22"/>
  <c r="O77" i="22"/>
  <c r="L27" i="22"/>
  <c r="AD27" i="22" s="1"/>
  <c r="L20" i="22"/>
  <c r="AD20" i="22" s="1"/>
  <c r="I20" i="22"/>
  <c r="Q68" i="23" l="1"/>
  <c r="M13" i="22"/>
  <c r="M20" i="22"/>
  <c r="M14" i="22"/>
  <c r="M27" i="22"/>
  <c r="M26" i="22"/>
  <c r="C66" i="23"/>
  <c r="Q66" i="23" s="1"/>
  <c r="Q67" i="23"/>
  <c r="AE68" i="22"/>
  <c r="AP68" i="22"/>
  <c r="L25" i="22"/>
  <c r="AD25" i="22" s="1"/>
  <c r="L75" i="22"/>
  <c r="AD75" i="22" s="1"/>
  <c r="H19" i="22"/>
  <c r="L71" i="22"/>
  <c r="AD71" i="22" s="1"/>
  <c r="L72" i="22"/>
  <c r="AD72" i="22" s="1"/>
  <c r="L24" i="22"/>
  <c r="AD24" i="22" s="1"/>
  <c r="I69" i="22"/>
  <c r="P69" i="22" s="1"/>
  <c r="L60" i="22"/>
  <c r="AD60" i="22" s="1"/>
  <c r="I56" i="22"/>
  <c r="I18" i="22"/>
  <c r="I12" i="22"/>
  <c r="M12" i="22" s="1"/>
  <c r="I53" i="22"/>
  <c r="L67" i="22"/>
  <c r="AD67" i="22" s="1"/>
  <c r="L56" i="22"/>
  <c r="AD56" i="22" s="1"/>
  <c r="L69" i="22"/>
  <c r="AD69" i="22" s="1"/>
  <c r="L54" i="22"/>
  <c r="AD54" i="22" s="1"/>
  <c r="I75" i="22"/>
  <c r="P75" i="22" s="1"/>
  <c r="I24" i="22"/>
  <c r="I25" i="22"/>
  <c r="M25" i="22" s="1"/>
  <c r="I60" i="22"/>
  <c r="I23" i="22"/>
  <c r="H19" i="18"/>
  <c r="H18" i="18" s="1"/>
  <c r="H9" i="18"/>
  <c r="H8" i="18" s="1"/>
  <c r="Q78" i="22"/>
  <c r="M77" i="22"/>
  <c r="O76" i="22"/>
  <c r="I76" i="22"/>
  <c r="M76" i="22" s="1"/>
  <c r="AB76" i="22" s="1"/>
  <c r="AR76" i="22" s="1"/>
  <c r="I71" i="22"/>
  <c r="P71" i="22" s="1"/>
  <c r="L53" i="22"/>
  <c r="AD53" i="22" s="1"/>
  <c r="L26" i="22"/>
  <c r="AD26" i="22" s="1"/>
  <c r="R78" i="22"/>
  <c r="AB12" i="22" l="1"/>
  <c r="AM12" i="22"/>
  <c r="AD61" i="22"/>
  <c r="AB20" i="22"/>
  <c r="AM20" i="22"/>
  <c r="M24" i="22"/>
  <c r="M18" i="22"/>
  <c r="AC26" i="22"/>
  <c r="AN26" i="22"/>
  <c r="AC20" i="22"/>
  <c r="AN20" i="22"/>
  <c r="AC12" i="22"/>
  <c r="AN12" i="22"/>
  <c r="O71" i="22"/>
  <c r="M71" i="22"/>
  <c r="M23" i="22"/>
  <c r="O75" i="22"/>
  <c r="M75" i="22"/>
  <c r="M56" i="22"/>
  <c r="AB27" i="22"/>
  <c r="AM27" i="22"/>
  <c r="AB14" i="22"/>
  <c r="AM14" i="22"/>
  <c r="AB13" i="22"/>
  <c r="AM13" i="22"/>
  <c r="AM25" i="22"/>
  <c r="AB25" i="22"/>
  <c r="O69" i="22"/>
  <c r="M69" i="22"/>
  <c r="AB26" i="22"/>
  <c r="AM26" i="22"/>
  <c r="M72" i="22"/>
  <c r="O72" i="22"/>
  <c r="M60" i="22"/>
  <c r="M53" i="22"/>
  <c r="AC27" i="22"/>
  <c r="AN27" i="22"/>
  <c r="AC14" i="22"/>
  <c r="AN14" i="22"/>
  <c r="AC13" i="22"/>
  <c r="AN13" i="22"/>
  <c r="AD28" i="22"/>
  <c r="AD79" i="22"/>
  <c r="AE67" i="22"/>
  <c r="Z61" i="22"/>
  <c r="AK61" i="22"/>
  <c r="R77" i="22"/>
  <c r="AB77" i="22"/>
  <c r="AR77" i="22" s="1"/>
  <c r="AE78" i="22"/>
  <c r="AP78" i="22" s="1"/>
  <c r="I79" i="22"/>
  <c r="O19" i="22"/>
  <c r="I19" i="22"/>
  <c r="L61" i="22"/>
  <c r="J13" i="9" s="1"/>
  <c r="L79" i="22"/>
  <c r="K13" i="9" s="1"/>
  <c r="Q77" i="22"/>
  <c r="R76" i="22"/>
  <c r="Q76" i="22"/>
  <c r="AR12" i="22" l="1"/>
  <c r="AR13" i="22"/>
  <c r="AD80" i="22"/>
  <c r="AC72" i="22"/>
  <c r="AN72" i="22"/>
  <c r="AM24" i="22"/>
  <c r="AB24" i="22"/>
  <c r="AM60" i="22"/>
  <c r="AB60" i="22"/>
  <c r="AB72" i="22"/>
  <c r="AM72" i="22"/>
  <c r="AM69" i="22"/>
  <c r="AB69" i="22"/>
  <c r="Z75" i="22"/>
  <c r="AK75" i="22"/>
  <c r="AM71" i="22"/>
  <c r="AB71" i="22"/>
  <c r="AN24" i="22"/>
  <c r="AC24" i="22"/>
  <c r="AM53" i="22"/>
  <c r="AB53" i="22"/>
  <c r="AM75" i="22"/>
  <c r="AB75" i="22"/>
  <c r="AC60" i="22"/>
  <c r="AN60" i="22"/>
  <c r="Z69" i="22"/>
  <c r="AK69" i="22"/>
  <c r="AM56" i="22"/>
  <c r="AB56" i="22"/>
  <c r="AN75" i="22"/>
  <c r="AC75" i="22"/>
  <c r="AC71" i="22"/>
  <c r="AN71" i="22"/>
  <c r="AM18" i="22"/>
  <c r="AB18" i="22"/>
  <c r="AC69" i="22"/>
  <c r="AN69" i="22"/>
  <c r="AC23" i="22"/>
  <c r="AN23" i="22"/>
  <c r="AN53" i="22"/>
  <c r="AC53" i="22"/>
  <c r="Z72" i="22"/>
  <c r="AK72" i="22"/>
  <c r="AN56" i="22"/>
  <c r="AC56" i="22"/>
  <c r="AB23" i="22"/>
  <c r="AM23" i="22"/>
  <c r="Z71" i="22"/>
  <c r="AK71" i="22"/>
  <c r="AC18" i="22"/>
  <c r="AN18" i="22"/>
  <c r="AE77" i="22"/>
  <c r="AP77" i="22" s="1"/>
  <c r="Z19" i="22"/>
  <c r="AK19" i="22"/>
  <c r="AP12" i="22"/>
  <c r="AK28" i="22"/>
  <c r="Z28" i="22"/>
  <c r="AE76" i="22"/>
  <c r="AP76" i="22" s="1"/>
  <c r="P61" i="22"/>
  <c r="P19" i="22"/>
  <c r="P28" i="22"/>
  <c r="P79" i="22"/>
  <c r="L80" i="22"/>
  <c r="Q12" i="22"/>
  <c r="Q71" i="22"/>
  <c r="S134" i="9"/>
  <c r="AK134" i="9" s="1"/>
  <c r="W93" i="9"/>
  <c r="AK93" i="9" s="1"/>
  <c r="AA141" i="9"/>
  <c r="AA120" i="9" s="1"/>
  <c r="AA163" i="9" s="1"/>
  <c r="H19" i="14" s="1"/>
  <c r="H17" i="14" s="1"/>
  <c r="H16" i="14" s="1"/>
  <c r="O121" i="9"/>
  <c r="O120" i="9" s="1"/>
  <c r="E71" i="9"/>
  <c r="E70" i="9" s="1"/>
  <c r="D71" i="9"/>
  <c r="G33" i="4"/>
  <c r="C67" i="5" s="1"/>
  <c r="C102" i="9"/>
  <c r="G102" i="9" s="1"/>
  <c r="AK102" i="9" s="1"/>
  <c r="F85" i="9"/>
  <c r="S148" i="9"/>
  <c r="H118" i="9"/>
  <c r="H116" i="9" s="1"/>
  <c r="K12" i="18"/>
  <c r="C12" i="23" s="1"/>
  <c r="Q12" i="23" s="1"/>
  <c r="K11" i="18"/>
  <c r="C11" i="23" s="1"/>
  <c r="Q11" i="23" s="1"/>
  <c r="C188" i="4"/>
  <c r="E188" i="4"/>
  <c r="F188" i="4"/>
  <c r="F107" i="5"/>
  <c r="E107" i="5"/>
  <c r="G183" i="4"/>
  <c r="D108" i="5" s="1"/>
  <c r="D182" i="4"/>
  <c r="E182" i="4"/>
  <c r="E177" i="4" s="1"/>
  <c r="F182" i="4"/>
  <c r="F177" i="4" s="1"/>
  <c r="C182" i="4"/>
  <c r="G78" i="4"/>
  <c r="C112" i="5" s="1"/>
  <c r="C109" i="5" s="1"/>
  <c r="C102" i="5" s="1"/>
  <c r="G55" i="4"/>
  <c r="C89" i="5" s="1"/>
  <c r="K23" i="18"/>
  <c r="C23" i="23" s="1"/>
  <c r="Q23" i="23" s="1"/>
  <c r="K26" i="18"/>
  <c r="C26" i="23" s="1"/>
  <c r="Q26" i="23" s="1"/>
  <c r="D18" i="21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4" i="9"/>
  <c r="Z95" i="9"/>
  <c r="Z97" i="9"/>
  <c r="Z103" i="9"/>
  <c r="Z104" i="9"/>
  <c r="Z105" i="9"/>
  <c r="Z106" i="9"/>
  <c r="Z107" i="9"/>
  <c r="Z108" i="9"/>
  <c r="Z109" i="9"/>
  <c r="Z110" i="9"/>
  <c r="Z111" i="9"/>
  <c r="Z112" i="9"/>
  <c r="Z113" i="9"/>
  <c r="Z114" i="9"/>
  <c r="Z115" i="9"/>
  <c r="Z116" i="9"/>
  <c r="Z117" i="9"/>
  <c r="Z118" i="9"/>
  <c r="Z119" i="9"/>
  <c r="Z121" i="9"/>
  <c r="Z122" i="9"/>
  <c r="Z123" i="9"/>
  <c r="Z124" i="9"/>
  <c r="Z127" i="9"/>
  <c r="Z128" i="9"/>
  <c r="Z129" i="9"/>
  <c r="Z130" i="9"/>
  <c r="Z131" i="9"/>
  <c r="Z132" i="9"/>
  <c r="Z133" i="9"/>
  <c r="Z134" i="9"/>
  <c r="Z135" i="9"/>
  <c r="Z136" i="9"/>
  <c r="Z137" i="9"/>
  <c r="Z138" i="9"/>
  <c r="Z139" i="9"/>
  <c r="Z140" i="9"/>
  <c r="Z143" i="9"/>
  <c r="Z145" i="9"/>
  <c r="Z146" i="9"/>
  <c r="Z147" i="9"/>
  <c r="Z148" i="9"/>
  <c r="Z149" i="9"/>
  <c r="AK149" i="9" s="1"/>
  <c r="Z151" i="9"/>
  <c r="Z152" i="9"/>
  <c r="Z153" i="9"/>
  <c r="Z9" i="9"/>
  <c r="S74" i="9"/>
  <c r="S152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S39" i="9"/>
  <c r="S32" i="9"/>
  <c r="S31" i="9"/>
  <c r="S29" i="9"/>
  <c r="S28" i="9"/>
  <c r="S26" i="9"/>
  <c r="S25" i="9"/>
  <c r="S23" i="9"/>
  <c r="S11" i="9"/>
  <c r="S12" i="9"/>
  <c r="S14" i="9"/>
  <c r="S15" i="9"/>
  <c r="S16" i="9"/>
  <c r="N132" i="9"/>
  <c r="N120" i="9" s="1"/>
  <c r="N163" i="9" s="1"/>
  <c r="S61" i="9"/>
  <c r="S54" i="9"/>
  <c r="S53" i="9"/>
  <c r="S52" i="9"/>
  <c r="S48" i="9"/>
  <c r="S47" i="9"/>
  <c r="S70" i="9"/>
  <c r="R151" i="9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7" i="21"/>
  <c r="C48" i="18"/>
  <c r="K10" i="18"/>
  <c r="C10" i="23" s="1"/>
  <c r="H92" i="9"/>
  <c r="H91" i="9" s="1"/>
  <c r="L14" i="9"/>
  <c r="F71" i="9"/>
  <c r="E48" i="9"/>
  <c r="D48" i="9"/>
  <c r="C92" i="9"/>
  <c r="C91" i="9" s="1"/>
  <c r="C48" i="9"/>
  <c r="C95" i="5"/>
  <c r="C93" i="5" s="1"/>
  <c r="C38" i="4"/>
  <c r="C32" i="4"/>
  <c r="C59" i="4"/>
  <c r="C54" i="4"/>
  <c r="G13" i="4"/>
  <c r="C48" i="5" s="1"/>
  <c r="H48" i="18"/>
  <c r="H39" i="18" s="1"/>
  <c r="H24" i="8"/>
  <c r="R106" i="9"/>
  <c r="I47" i="9"/>
  <c r="K21" i="18"/>
  <c r="C21" i="23" s="1"/>
  <c r="Q21" i="23" s="1"/>
  <c r="AP13" i="22"/>
  <c r="L13" i="22"/>
  <c r="AD13" i="22" s="1"/>
  <c r="L18" i="22"/>
  <c r="AD18" i="22" s="1"/>
  <c r="G54" i="18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Z67" i="9"/>
  <c r="K56" i="9"/>
  <c r="K57" i="9"/>
  <c r="K58" i="9"/>
  <c r="K59" i="9"/>
  <c r="K60" i="9"/>
  <c r="K61" i="9"/>
  <c r="K63" i="9"/>
  <c r="K67" i="9"/>
  <c r="K69" i="9"/>
  <c r="L69" i="9" s="1"/>
  <c r="AK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G103" i="9" s="1"/>
  <c r="D107" i="9"/>
  <c r="D95" i="9"/>
  <c r="F103" i="9"/>
  <c r="I113" i="9"/>
  <c r="I116" i="9"/>
  <c r="C116" i="9"/>
  <c r="D113" i="9"/>
  <c r="D116" i="9"/>
  <c r="L143" i="9"/>
  <c r="G141" i="9"/>
  <c r="G120" i="9" s="1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G35" i="4"/>
  <c r="C69" i="5" s="1"/>
  <c r="G34" i="4"/>
  <c r="C68" i="5" s="1"/>
  <c r="G37" i="4"/>
  <c r="C71" i="5" s="1"/>
  <c r="G20" i="4"/>
  <c r="C54" i="5" s="1"/>
  <c r="G21" i="4"/>
  <c r="C55" i="5" s="1"/>
  <c r="G15" i="4"/>
  <c r="C49" i="5" s="1"/>
  <c r="G16" i="4"/>
  <c r="C50" i="5" s="1"/>
  <c r="G18" i="4"/>
  <c r="C52" i="5" s="1"/>
  <c r="G24" i="4"/>
  <c r="C58" i="5" s="1"/>
  <c r="G25" i="4"/>
  <c r="C59" i="5" s="1"/>
  <c r="G26" i="4"/>
  <c r="C60" i="5" s="1"/>
  <c r="G28" i="4"/>
  <c r="C62" i="5" s="1"/>
  <c r="G29" i="4"/>
  <c r="C63" i="5" s="1"/>
  <c r="G30" i="4"/>
  <c r="C64" i="5" s="1"/>
  <c r="H64" i="5" s="1"/>
  <c r="G31" i="4"/>
  <c r="C65" i="5" s="1"/>
  <c r="G39" i="4"/>
  <c r="C73" i="5" s="1"/>
  <c r="G40" i="4"/>
  <c r="C74" i="5" s="1"/>
  <c r="G41" i="4"/>
  <c r="C75" i="5" s="1"/>
  <c r="G42" i="4"/>
  <c r="C76" i="5" s="1"/>
  <c r="G43" i="4"/>
  <c r="C77" i="5" s="1"/>
  <c r="G45" i="4"/>
  <c r="C79" i="5" s="1"/>
  <c r="G50" i="4"/>
  <c r="C84" i="5" s="1"/>
  <c r="G51" i="4"/>
  <c r="C85" i="5" s="1"/>
  <c r="H85" i="5" s="1"/>
  <c r="G52" i="4"/>
  <c r="C86" i="5" s="1"/>
  <c r="G53" i="4"/>
  <c r="C87" i="5" s="1"/>
  <c r="G56" i="4"/>
  <c r="C90" i="5" s="1"/>
  <c r="G57" i="4"/>
  <c r="C91" i="5" s="1"/>
  <c r="G58" i="4"/>
  <c r="C92" i="5" s="1"/>
  <c r="H98" i="5"/>
  <c r="G91" i="4"/>
  <c r="C125" i="5" s="1"/>
  <c r="H111" i="5"/>
  <c r="F22" i="9"/>
  <c r="C37" i="5"/>
  <c r="C40" i="5"/>
  <c r="G142" i="4"/>
  <c r="D68" i="5" s="1"/>
  <c r="G143" i="4"/>
  <c r="D69" i="5" s="1"/>
  <c r="G145" i="4"/>
  <c r="D71" i="5" s="1"/>
  <c r="G159" i="4"/>
  <c r="D84" i="5" s="1"/>
  <c r="G148" i="4"/>
  <c r="D74" i="5" s="1"/>
  <c r="G150" i="4"/>
  <c r="D76" i="5" s="1"/>
  <c r="G151" i="4"/>
  <c r="D87" i="5"/>
  <c r="D54" i="5"/>
  <c r="D58" i="5"/>
  <c r="D48" i="5"/>
  <c r="D49" i="5"/>
  <c r="D50" i="5"/>
  <c r="D52" i="5"/>
  <c r="D55" i="5"/>
  <c r="D59" i="5"/>
  <c r="D60" i="5"/>
  <c r="D62" i="5"/>
  <c r="D63" i="5"/>
  <c r="D65" i="5"/>
  <c r="D89" i="5"/>
  <c r="G165" i="4"/>
  <c r="D90" i="5" s="1"/>
  <c r="G166" i="4"/>
  <c r="D91" i="5" s="1"/>
  <c r="G167" i="4"/>
  <c r="D92" i="5" s="1"/>
  <c r="H94" i="5"/>
  <c r="H99" i="5"/>
  <c r="G206" i="4"/>
  <c r="D128" i="5" s="1"/>
  <c r="G199" i="4"/>
  <c r="H104" i="5"/>
  <c r="H114" i="5"/>
  <c r="H115" i="5"/>
  <c r="H26" i="5"/>
  <c r="D37" i="5"/>
  <c r="D40" i="5"/>
  <c r="H143" i="5"/>
  <c r="H139" i="5"/>
  <c r="G73" i="9"/>
  <c r="G83" i="9"/>
  <c r="C103" i="9"/>
  <c r="G110" i="9"/>
  <c r="G12" i="9"/>
  <c r="C197" i="4"/>
  <c r="G197" i="4" s="1"/>
  <c r="D184" i="4"/>
  <c r="G184" i="4" s="1"/>
  <c r="D188" i="4"/>
  <c r="G144" i="4"/>
  <c r="E163" i="4"/>
  <c r="F163" i="4"/>
  <c r="G147" i="4"/>
  <c r="D73" i="5" s="1"/>
  <c r="G149" i="4"/>
  <c r="D75" i="5" s="1"/>
  <c r="G152" i="4"/>
  <c r="G153" i="4"/>
  <c r="G154" i="4"/>
  <c r="D80" i="5" s="1"/>
  <c r="H80" i="5" s="1"/>
  <c r="G155" i="4"/>
  <c r="D81" i="5" s="1"/>
  <c r="H81" i="5" s="1"/>
  <c r="G156" i="4"/>
  <c r="D82" i="5" s="1"/>
  <c r="H82" i="5" s="1"/>
  <c r="G157" i="4"/>
  <c r="D83" i="5" s="1"/>
  <c r="H83" i="5" s="1"/>
  <c r="G158" i="4"/>
  <c r="D79" i="5" s="1"/>
  <c r="G160" i="4"/>
  <c r="G161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3" i="5"/>
  <c r="H106" i="5"/>
  <c r="C113" i="5"/>
  <c r="I30" i="22"/>
  <c r="J30" i="22" s="1"/>
  <c r="L30" i="22"/>
  <c r="O30" i="22"/>
  <c r="I31" i="22"/>
  <c r="J31" i="22" s="1"/>
  <c r="L31" i="22"/>
  <c r="O31" i="22"/>
  <c r="Q31" i="22" s="1"/>
  <c r="AD31" i="22" s="1"/>
  <c r="I32" i="22"/>
  <c r="L32" i="22"/>
  <c r="O32" i="22"/>
  <c r="Q32" i="22" s="1"/>
  <c r="AD32" i="22" s="1"/>
  <c r="I33" i="22"/>
  <c r="J33" i="22" s="1"/>
  <c r="L33" i="22"/>
  <c r="O33" i="22"/>
  <c r="Q33" i="22" s="1"/>
  <c r="AD33" i="22" s="1"/>
  <c r="I34" i="22"/>
  <c r="J34" i="22" s="1"/>
  <c r="L34" i="22"/>
  <c r="O34" i="22"/>
  <c r="Q34" i="22" s="1"/>
  <c r="AD34" i="22" s="1"/>
  <c r="I35" i="22"/>
  <c r="J35" i="22" s="1"/>
  <c r="L35" i="22"/>
  <c r="O35" i="22"/>
  <c r="Q35" i="22" s="1"/>
  <c r="AD35" i="22" s="1"/>
  <c r="L12" i="22"/>
  <c r="AD12" i="22" s="1"/>
  <c r="AP14" i="22"/>
  <c r="L14" i="22"/>
  <c r="AD14" i="22" s="1"/>
  <c r="J53" i="18"/>
  <c r="J52" i="18" s="1"/>
  <c r="J48" i="18" s="1"/>
  <c r="I53" i="18"/>
  <c r="I52" i="18" s="1"/>
  <c r="I48" i="18" s="1"/>
  <c r="F53" i="18"/>
  <c r="F52" i="18" s="1"/>
  <c r="F48" i="18" s="1"/>
  <c r="D53" i="18"/>
  <c r="D52" i="18" s="1"/>
  <c r="D48" i="18" s="1"/>
  <c r="K62" i="18"/>
  <c r="C62" i="23" s="1"/>
  <c r="I9" i="18"/>
  <c r="I8" i="18" s="1"/>
  <c r="I19" i="18"/>
  <c r="I32" i="18"/>
  <c r="I35" i="18"/>
  <c r="I40" i="18"/>
  <c r="I39" i="18" s="1"/>
  <c r="I61" i="18"/>
  <c r="I60" i="18" s="1"/>
  <c r="I64" i="18"/>
  <c r="I63" i="18" s="1"/>
  <c r="I66" i="18"/>
  <c r="I70" i="18"/>
  <c r="I50" i="18"/>
  <c r="I42" i="18"/>
  <c r="F112" i="9"/>
  <c r="G49" i="9"/>
  <c r="G51" i="9"/>
  <c r="G54" i="9"/>
  <c r="G55" i="9"/>
  <c r="G58" i="9"/>
  <c r="G59" i="9"/>
  <c r="G61" i="9"/>
  <c r="G62" i="9"/>
  <c r="G46" i="9"/>
  <c r="J70" i="18"/>
  <c r="H40" i="18"/>
  <c r="J9" i="18"/>
  <c r="J8" i="18" s="1"/>
  <c r="J19" i="18"/>
  <c r="J32" i="18"/>
  <c r="K32" i="18" s="1"/>
  <c r="J35" i="18"/>
  <c r="K35" i="18" s="1"/>
  <c r="J40" i="18"/>
  <c r="H53" i="18"/>
  <c r="H52" i="18" s="1"/>
  <c r="J61" i="18"/>
  <c r="H61" i="18"/>
  <c r="H60" i="18" s="1"/>
  <c r="C19" i="18"/>
  <c r="C32" i="18"/>
  <c r="C40" i="18"/>
  <c r="C39" i="18" s="1"/>
  <c r="C9" i="18"/>
  <c r="C8" i="18" s="1"/>
  <c r="C35" i="18"/>
  <c r="C61" i="18"/>
  <c r="C60" i="18" s="1"/>
  <c r="C64" i="18"/>
  <c r="C63" i="18" s="1"/>
  <c r="D61" i="18"/>
  <c r="D60" i="18" s="1"/>
  <c r="D19" i="18"/>
  <c r="D32" i="18"/>
  <c r="D40" i="18"/>
  <c r="D39" i="18" s="1"/>
  <c r="D9" i="18"/>
  <c r="D8" i="18" s="1"/>
  <c r="D35" i="18"/>
  <c r="D64" i="18"/>
  <c r="D63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J66" i="18"/>
  <c r="J64" i="18"/>
  <c r="G14" i="9"/>
  <c r="G18" i="9"/>
  <c r="G17" i="9" s="1"/>
  <c r="G37" i="9"/>
  <c r="H64" i="18"/>
  <c r="H63" i="18" s="1"/>
  <c r="K63" i="18" s="1"/>
  <c r="D23" i="11" s="1"/>
  <c r="L134" i="9"/>
  <c r="L127" i="9"/>
  <c r="L68" i="9"/>
  <c r="AK68" i="9" s="1"/>
  <c r="G68" i="9"/>
  <c r="L73" i="9"/>
  <c r="AK73" i="9" s="1"/>
  <c r="L88" i="9"/>
  <c r="AK88" i="9" s="1"/>
  <c r="G88" i="9"/>
  <c r="I90" i="9"/>
  <c r="J90" i="9"/>
  <c r="S18" i="9"/>
  <c r="AK18" i="9" s="1"/>
  <c r="D36" i="10"/>
  <c r="L150" i="9"/>
  <c r="F97" i="4"/>
  <c r="F96" i="4" s="1"/>
  <c r="E97" i="4"/>
  <c r="E96" i="4" s="1"/>
  <c r="D97" i="4"/>
  <c r="D96" i="4" s="1"/>
  <c r="K90" i="9"/>
  <c r="F205" i="4"/>
  <c r="F204" i="4" s="1"/>
  <c r="E205" i="4"/>
  <c r="E204" i="4" s="1"/>
  <c r="D205" i="4"/>
  <c r="D204" i="4" s="1"/>
  <c r="C205" i="4"/>
  <c r="C204" i="4" s="1"/>
  <c r="C158" i="9" s="1"/>
  <c r="G158" i="9" s="1"/>
  <c r="C25" i="8"/>
  <c r="F168" i="4"/>
  <c r="C168" i="4"/>
  <c r="F68" i="4"/>
  <c r="C97" i="4"/>
  <c r="C96" i="4" s="1"/>
  <c r="H158" i="9" s="1"/>
  <c r="L158" i="9" s="1"/>
  <c r="N19" i="22"/>
  <c r="H28" i="22"/>
  <c r="N28" i="22"/>
  <c r="D36" i="22"/>
  <c r="H36" i="22"/>
  <c r="N36" i="22"/>
  <c r="AA36" i="22" s="1"/>
  <c r="P36" i="22"/>
  <c r="AC36" i="22" s="1"/>
  <c r="I40" i="22"/>
  <c r="M40" i="22" s="1"/>
  <c r="AB40" i="22" s="1"/>
  <c r="L40" i="22"/>
  <c r="O40" i="22"/>
  <c r="Q40" i="22" s="1"/>
  <c r="I41" i="22"/>
  <c r="M41" i="22" s="1"/>
  <c r="AB41" i="22" s="1"/>
  <c r="L41" i="22"/>
  <c r="O41" i="22"/>
  <c r="Q41" i="22" s="1"/>
  <c r="I42" i="22"/>
  <c r="M42" i="22" s="1"/>
  <c r="AB42" i="22" s="1"/>
  <c r="L42" i="22"/>
  <c r="O42" i="22"/>
  <c r="Q42" i="22" s="1"/>
  <c r="I43" i="22"/>
  <c r="M43" i="22" s="1"/>
  <c r="AB43" i="22" s="1"/>
  <c r="L43" i="22"/>
  <c r="O43" i="22"/>
  <c r="Q43" i="22" s="1"/>
  <c r="D44" i="22"/>
  <c r="H44" i="22"/>
  <c r="N44" i="22"/>
  <c r="AA44" i="22" s="1"/>
  <c r="P44" i="22"/>
  <c r="AC44" i="22" s="1"/>
  <c r="I46" i="22"/>
  <c r="M46" i="22" s="1"/>
  <c r="AB46" i="22" s="1"/>
  <c r="L46" i="22"/>
  <c r="O46" i="22"/>
  <c r="Q46" i="22" s="1"/>
  <c r="I47" i="22"/>
  <c r="M47" i="22" s="1"/>
  <c r="AB47" i="22" s="1"/>
  <c r="L47" i="22"/>
  <c r="O47" i="22"/>
  <c r="Q47" i="22" s="1"/>
  <c r="D48" i="22"/>
  <c r="H48" i="22"/>
  <c r="N48" i="22"/>
  <c r="AA48" i="22" s="1"/>
  <c r="P48" i="22"/>
  <c r="AC48" i="22" s="1"/>
  <c r="I50" i="22"/>
  <c r="L50" i="22"/>
  <c r="O50" i="22"/>
  <c r="Q50" i="22" s="1"/>
  <c r="I51" i="22"/>
  <c r="M51" i="22" s="1"/>
  <c r="AB51" i="22" s="1"/>
  <c r="L51" i="22"/>
  <c r="O51" i="22"/>
  <c r="Q51" i="22" s="1"/>
  <c r="D52" i="22"/>
  <c r="H52" i="22"/>
  <c r="N52" i="22"/>
  <c r="AA52" i="22" s="1"/>
  <c r="P52" i="22"/>
  <c r="AC52" i="22" s="1"/>
  <c r="N61" i="22"/>
  <c r="I63" i="22"/>
  <c r="M63" i="22" s="1"/>
  <c r="AB63" i="22" s="1"/>
  <c r="L63" i="22"/>
  <c r="O63" i="22"/>
  <c r="Q63" i="22" s="1"/>
  <c r="I64" i="22"/>
  <c r="M64" i="22" s="1"/>
  <c r="AB64" i="22" s="1"/>
  <c r="L64" i="22"/>
  <c r="O64" i="22"/>
  <c r="Q64" i="22" s="1"/>
  <c r="I65" i="22"/>
  <c r="M65" i="22" s="1"/>
  <c r="AB65" i="22" s="1"/>
  <c r="L65" i="22"/>
  <c r="O65" i="22"/>
  <c r="Q65" i="22" s="1"/>
  <c r="D66" i="22"/>
  <c r="H66" i="22"/>
  <c r="N66" i="22"/>
  <c r="AA66" i="22" s="1"/>
  <c r="P66" i="22"/>
  <c r="AC66" i="22" s="1"/>
  <c r="F17" i="21"/>
  <c r="K9" i="20"/>
  <c r="L9" i="20"/>
  <c r="N9" i="20"/>
  <c r="P9" i="20"/>
  <c r="Q9" i="20"/>
  <c r="H10" i="20"/>
  <c r="P10" i="20" s="1"/>
  <c r="O10" i="20"/>
  <c r="H11" i="20"/>
  <c r="P11" i="20" s="1"/>
  <c r="O11" i="20"/>
  <c r="H12" i="20"/>
  <c r="P12" i="20" s="1"/>
  <c r="O12" i="20"/>
  <c r="H13" i="20"/>
  <c r="P13" i="20" s="1"/>
  <c r="O13" i="20"/>
  <c r="H14" i="20"/>
  <c r="P14" i="20" s="1"/>
  <c r="O14" i="20"/>
  <c r="H15" i="20"/>
  <c r="P15" i="20" s="1"/>
  <c r="O15" i="20"/>
  <c r="H16" i="20"/>
  <c r="P16" i="20" s="1"/>
  <c r="O16" i="20"/>
  <c r="H17" i="20"/>
  <c r="P17" i="20" s="1"/>
  <c r="O17" i="20"/>
  <c r="G18" i="20"/>
  <c r="G26" i="20" s="1"/>
  <c r="I18" i="20"/>
  <c r="I26" i="20" s="1"/>
  <c r="J18" i="20"/>
  <c r="J26" i="20" s="1"/>
  <c r="AP87" i="22" s="1"/>
  <c r="K18" i="20"/>
  <c r="L18" i="20"/>
  <c r="M18" i="20"/>
  <c r="N18" i="20"/>
  <c r="Q18" i="20"/>
  <c r="H19" i="20"/>
  <c r="H20" i="20" s="1"/>
  <c r="O19" i="20"/>
  <c r="O20" i="20" s="1"/>
  <c r="K20" i="20"/>
  <c r="L20" i="20"/>
  <c r="M20" i="20"/>
  <c r="N20" i="20"/>
  <c r="Q20" i="20"/>
  <c r="H21" i="20"/>
  <c r="P21" i="20" s="1"/>
  <c r="O21" i="20"/>
  <c r="H22" i="20"/>
  <c r="P22" i="20" s="1"/>
  <c r="O22" i="20"/>
  <c r="H23" i="20"/>
  <c r="P23" i="20" s="1"/>
  <c r="O23" i="20"/>
  <c r="H24" i="20"/>
  <c r="O24" i="20"/>
  <c r="K25" i="20"/>
  <c r="L25" i="20"/>
  <c r="M25" i="20"/>
  <c r="N25" i="20"/>
  <c r="Q25" i="20"/>
  <c r="F9" i="18"/>
  <c r="F8" i="18" s="1"/>
  <c r="K13" i="18"/>
  <c r="C13" i="23" s="1"/>
  <c r="Q13" i="23" s="1"/>
  <c r="K15" i="18"/>
  <c r="C15" i="23" s="1"/>
  <c r="Q15" i="23" s="1"/>
  <c r="K17" i="18"/>
  <c r="C17" i="23" s="1"/>
  <c r="Q17" i="23" s="1"/>
  <c r="F19" i="18"/>
  <c r="F32" i="18"/>
  <c r="K20" i="18"/>
  <c r="C20" i="23" s="1"/>
  <c r="K22" i="18"/>
  <c r="C22" i="23" s="1"/>
  <c r="Q22" i="23" s="1"/>
  <c r="K24" i="18"/>
  <c r="C24" i="23" s="1"/>
  <c r="Q24" i="23" s="1"/>
  <c r="K25" i="18"/>
  <c r="C25" i="23" s="1"/>
  <c r="Q25" i="23" s="1"/>
  <c r="K27" i="18"/>
  <c r="C27" i="23" s="1"/>
  <c r="Q27" i="23" s="1"/>
  <c r="K28" i="18"/>
  <c r="C28" i="23" s="1"/>
  <c r="Q28" i="23" s="1"/>
  <c r="K29" i="18"/>
  <c r="C29" i="23" s="1"/>
  <c r="Q29" i="23" s="1"/>
  <c r="K30" i="18"/>
  <c r="C30" i="23" s="1"/>
  <c r="Q30" i="23" s="1"/>
  <c r="K31" i="18"/>
  <c r="C31" i="23" s="1"/>
  <c r="Q31" i="23" s="1"/>
  <c r="K33" i="18"/>
  <c r="C33" i="23" s="1"/>
  <c r="K34" i="18"/>
  <c r="C34" i="23" s="1"/>
  <c r="Q34" i="23" s="1"/>
  <c r="F35" i="18"/>
  <c r="K38" i="18"/>
  <c r="C38" i="23" s="1"/>
  <c r="Q38" i="23" s="1"/>
  <c r="F40" i="18"/>
  <c r="K41" i="18"/>
  <c r="C42" i="18"/>
  <c r="D42" i="18"/>
  <c r="F42" i="18"/>
  <c r="J42" i="18"/>
  <c r="K42" i="18" s="1"/>
  <c r="K43" i="18"/>
  <c r="C43" i="23" s="1"/>
  <c r="K44" i="18"/>
  <c r="C44" i="23" s="1"/>
  <c r="Q44" i="23" s="1"/>
  <c r="K45" i="18"/>
  <c r="C45" i="23" s="1"/>
  <c r="Q45" i="23" s="1"/>
  <c r="K46" i="18"/>
  <c r="C46" i="23" s="1"/>
  <c r="Q46" i="23" s="1"/>
  <c r="C50" i="18"/>
  <c r="D50" i="18"/>
  <c r="F50" i="18"/>
  <c r="J50" i="18"/>
  <c r="K51" i="18"/>
  <c r="C51" i="23" s="1"/>
  <c r="Q51" i="23" s="1"/>
  <c r="H57" i="18"/>
  <c r="F61" i="18"/>
  <c r="F60" i="18" s="1"/>
  <c r="F64" i="18"/>
  <c r="F63" i="18" s="1"/>
  <c r="F66" i="18"/>
  <c r="C70" i="18"/>
  <c r="C66" i="18" s="1"/>
  <c r="G25" i="14"/>
  <c r="G24" i="14" s="1"/>
  <c r="E17" i="14"/>
  <c r="E16" i="14" s="1"/>
  <c r="E21" i="14"/>
  <c r="E20" i="14" s="1"/>
  <c r="E25" i="14"/>
  <c r="E24" i="14" s="1"/>
  <c r="H25" i="14"/>
  <c r="H24" i="14" s="1"/>
  <c r="F25" i="14"/>
  <c r="F24" i="14" s="1"/>
  <c r="H21" i="14"/>
  <c r="H20" i="14" s="1"/>
  <c r="F21" i="14"/>
  <c r="F20" i="14" s="1"/>
  <c r="F17" i="14"/>
  <c r="F16" i="14" s="1"/>
  <c r="D160" i="10"/>
  <c r="E159" i="10" s="1"/>
  <c r="H20" i="5"/>
  <c r="AJ163" i="9"/>
  <c r="L162" i="9"/>
  <c r="S162" i="9"/>
  <c r="L161" i="9"/>
  <c r="S161" i="9"/>
  <c r="L160" i="9"/>
  <c r="S160" i="9"/>
  <c r="L159" i="9"/>
  <c r="S159" i="9"/>
  <c r="L157" i="9"/>
  <c r="AK157" i="9" s="1"/>
  <c r="S157" i="9"/>
  <c r="S156" i="9"/>
  <c r="AK156" i="9" s="1"/>
  <c r="S155" i="9"/>
  <c r="AK155" i="9" s="1"/>
  <c r="L154" i="9"/>
  <c r="L153" i="9"/>
  <c r="L152" i="9"/>
  <c r="L151" i="9"/>
  <c r="L149" i="9"/>
  <c r="L148" i="9"/>
  <c r="L147" i="9"/>
  <c r="L146" i="9"/>
  <c r="L145" i="9"/>
  <c r="L144" i="9"/>
  <c r="L142" i="9"/>
  <c r="L140" i="9"/>
  <c r="L139" i="9"/>
  <c r="L138" i="9"/>
  <c r="L137" i="9"/>
  <c r="L136" i="9"/>
  <c r="L135" i="9"/>
  <c r="L133" i="9"/>
  <c r="L132" i="9"/>
  <c r="L131" i="9"/>
  <c r="L130" i="9"/>
  <c r="L129" i="9"/>
  <c r="L128" i="9"/>
  <c r="L124" i="9"/>
  <c r="L123" i="9"/>
  <c r="L122" i="9"/>
  <c r="L121" i="9"/>
  <c r="L119" i="9"/>
  <c r="G119" i="9"/>
  <c r="G117" i="9"/>
  <c r="G115" i="9"/>
  <c r="L111" i="9"/>
  <c r="L110" i="9"/>
  <c r="L109" i="9"/>
  <c r="L105" i="9"/>
  <c r="AK105" i="9" s="1"/>
  <c r="L104" i="9"/>
  <c r="AK104" i="9" s="1"/>
  <c r="L98" i="9"/>
  <c r="S42" i="9"/>
  <c r="S41" i="9"/>
  <c r="S38" i="9"/>
  <c r="S37" i="9"/>
  <c r="S36" i="9"/>
  <c r="S35" i="9"/>
  <c r="S34" i="9"/>
  <c r="S33" i="9"/>
  <c r="S30" i="9"/>
  <c r="S27" i="9"/>
  <c r="S24" i="9"/>
  <c r="S22" i="9"/>
  <c r="S21" i="9"/>
  <c r="S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P153" i="9" s="1"/>
  <c r="H27" i="8"/>
  <c r="H18" i="8"/>
  <c r="C140" i="4"/>
  <c r="D140" i="4"/>
  <c r="D194" i="4"/>
  <c r="D197" i="4"/>
  <c r="E146" i="4"/>
  <c r="E140" i="4"/>
  <c r="D57" i="5"/>
  <c r="D56" i="5"/>
  <c r="F38" i="4"/>
  <c r="F54" i="4"/>
  <c r="E38" i="4"/>
  <c r="E54" i="4"/>
  <c r="D38" i="4"/>
  <c r="D54" i="4"/>
  <c r="D86" i="4"/>
  <c r="D89" i="4"/>
  <c r="G36" i="4"/>
  <c r="G27" i="4"/>
  <c r="G23" i="4"/>
  <c r="C57" i="5" s="1"/>
  <c r="G22" i="4"/>
  <c r="C56" i="5" s="1"/>
  <c r="G19" i="4"/>
  <c r="G17" i="4"/>
  <c r="D79" i="4"/>
  <c r="G79" i="4" s="1"/>
  <c r="G146" i="5"/>
  <c r="F146" i="5"/>
  <c r="E146" i="5"/>
  <c r="H145" i="5"/>
  <c r="H144" i="5"/>
  <c r="H141" i="5"/>
  <c r="H140" i="5"/>
  <c r="H138" i="5"/>
  <c r="H137" i="5"/>
  <c r="H136" i="5"/>
  <c r="H135" i="5"/>
  <c r="H134" i="5"/>
  <c r="H133" i="5"/>
  <c r="H132" i="5"/>
  <c r="H131" i="5"/>
  <c r="H130" i="5"/>
  <c r="H116" i="5"/>
  <c r="H110" i="5"/>
  <c r="H100" i="5"/>
  <c r="H97" i="5"/>
  <c r="H96" i="5"/>
  <c r="H78" i="5"/>
  <c r="H70" i="5"/>
  <c r="H61" i="5"/>
  <c r="H53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8" i="4"/>
  <c r="G198" i="4"/>
  <c r="G195" i="4"/>
  <c r="G191" i="4"/>
  <c r="G190" i="4"/>
  <c r="G189" i="4"/>
  <c r="G181" i="4"/>
  <c r="G180" i="4"/>
  <c r="G179" i="4"/>
  <c r="G175" i="4"/>
  <c r="G174" i="4"/>
  <c r="G173" i="4"/>
  <c r="G172" i="4"/>
  <c r="G171" i="4"/>
  <c r="G170" i="4"/>
  <c r="D95" i="5" s="1"/>
  <c r="D93" i="5" s="1"/>
  <c r="G169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S154" i="9"/>
  <c r="C152" i="10"/>
  <c r="D106" i="10"/>
  <c r="F95" i="9"/>
  <c r="F94" i="9" s="1"/>
  <c r="K107" i="9"/>
  <c r="J107" i="9"/>
  <c r="J22" i="9"/>
  <c r="E22" i="9"/>
  <c r="I22" i="9"/>
  <c r="C53" i="18"/>
  <c r="C52" i="18" s="1"/>
  <c r="K49" i="18"/>
  <c r="C49" i="23" s="1"/>
  <c r="Q49" i="23" s="1"/>
  <c r="D113" i="5"/>
  <c r="L99" i="9"/>
  <c r="L117" i="9"/>
  <c r="C107" i="9"/>
  <c r="K95" i="9"/>
  <c r="C95" i="9"/>
  <c r="F85" i="4"/>
  <c r="K16" i="18"/>
  <c r="C16" i="23" s="1"/>
  <c r="Q16" i="23" s="1"/>
  <c r="D22" i="9"/>
  <c r="S131" i="9"/>
  <c r="AK131" i="9" s="1"/>
  <c r="D103" i="5"/>
  <c r="H105" i="5"/>
  <c r="H124" i="5"/>
  <c r="G178" i="4"/>
  <c r="L141" i="9"/>
  <c r="G23" i="9"/>
  <c r="G22" i="9" s="1"/>
  <c r="L28" i="22"/>
  <c r="I28" i="22"/>
  <c r="K37" i="18"/>
  <c r="C37" i="23" s="1"/>
  <c r="F141" i="9"/>
  <c r="F120" i="9" s="1"/>
  <c r="C23" i="8"/>
  <c r="F65" i="9"/>
  <c r="C89" i="4"/>
  <c r="G89" i="4" s="1"/>
  <c r="H66" i="18"/>
  <c r="O9" i="20"/>
  <c r="M9" i="20"/>
  <c r="S55" i="9"/>
  <c r="S51" i="9"/>
  <c r="K65" i="9"/>
  <c r="S44" i="9"/>
  <c r="S72" i="9"/>
  <c r="S116" i="9"/>
  <c r="S112" i="9"/>
  <c r="S19" i="9"/>
  <c r="S43" i="9"/>
  <c r="S144" i="9"/>
  <c r="AK144" i="9" s="1"/>
  <c r="K120" i="9"/>
  <c r="AK62" i="9" l="1"/>
  <c r="AK158" i="9"/>
  <c r="C157" i="10" s="1"/>
  <c r="AK66" i="9"/>
  <c r="C65" i="10" s="1"/>
  <c r="AK58" i="9"/>
  <c r="C92" i="10"/>
  <c r="C101" i="10"/>
  <c r="D100" i="10" s="1"/>
  <c r="C156" i="10"/>
  <c r="D19" i="14"/>
  <c r="F18" i="12"/>
  <c r="O163" i="9"/>
  <c r="K8" i="18"/>
  <c r="D11" i="11" s="1"/>
  <c r="J60" i="18"/>
  <c r="K61" i="18"/>
  <c r="K60" i="18" s="1"/>
  <c r="K70" i="18"/>
  <c r="K66" i="18" s="1"/>
  <c r="R150" i="9"/>
  <c r="E94" i="9"/>
  <c r="C72" i="5"/>
  <c r="C11" i="4"/>
  <c r="S121" i="9"/>
  <c r="D125" i="5"/>
  <c r="D123" i="5" s="1"/>
  <c r="AR53" i="22"/>
  <c r="C18" i="10"/>
  <c r="D72" i="5"/>
  <c r="C70" i="9"/>
  <c r="Z79" i="22"/>
  <c r="Z80" i="22" s="1"/>
  <c r="C40" i="10"/>
  <c r="AK79" i="22"/>
  <c r="AK80" i="22" s="1"/>
  <c r="D15" i="11"/>
  <c r="H9" i="21"/>
  <c r="I9" i="21"/>
  <c r="I15" i="21"/>
  <c r="I11" i="21"/>
  <c r="H11" i="21"/>
  <c r="D19" i="21"/>
  <c r="C16" i="9"/>
  <c r="Q43" i="23"/>
  <c r="C61" i="23"/>
  <c r="Q62" i="23"/>
  <c r="H10" i="21"/>
  <c r="I10" i="21"/>
  <c r="C32" i="23"/>
  <c r="Q32" i="23" s="1"/>
  <c r="Q33" i="23"/>
  <c r="I17" i="21"/>
  <c r="H17" i="21"/>
  <c r="C19" i="23"/>
  <c r="Q20" i="23"/>
  <c r="C9" i="23"/>
  <c r="Q10" i="23"/>
  <c r="H37" i="5"/>
  <c r="C36" i="23"/>
  <c r="Q37" i="23"/>
  <c r="C61" i="10"/>
  <c r="C17" i="10"/>
  <c r="C22" i="10"/>
  <c r="D21" i="10" s="1"/>
  <c r="AE69" i="22"/>
  <c r="AP71" i="22"/>
  <c r="AE71" i="22"/>
  <c r="F39" i="18"/>
  <c r="AE60" i="22"/>
  <c r="AE87" i="22"/>
  <c r="AD19" i="22"/>
  <c r="AD38" i="22" s="1"/>
  <c r="AD82" i="22" s="1"/>
  <c r="AP69" i="22"/>
  <c r="AP11" i="22"/>
  <c r="AE12" i="22"/>
  <c r="AE75" i="22"/>
  <c r="AE72" i="22"/>
  <c r="AE56" i="22"/>
  <c r="AC28" i="22"/>
  <c r="AP60" i="22"/>
  <c r="AP18" i="22"/>
  <c r="AB79" i="22"/>
  <c r="AN63" i="22"/>
  <c r="AR63" i="22"/>
  <c r="AN51" i="22"/>
  <c r="AR51" i="22"/>
  <c r="AN43" i="22"/>
  <c r="AR43" i="22"/>
  <c r="AR71" i="22"/>
  <c r="AR56" i="22"/>
  <c r="AN64" i="22"/>
  <c r="AR64" i="22"/>
  <c r="AN46" i="22"/>
  <c r="AR46" i="22"/>
  <c r="AN40" i="22"/>
  <c r="AR40" i="22"/>
  <c r="AR72" i="22"/>
  <c r="AN65" i="22"/>
  <c r="AR65" i="22"/>
  <c r="AN47" i="22"/>
  <c r="AR47" i="22"/>
  <c r="AN41" i="22"/>
  <c r="AR41" i="22"/>
  <c r="AR69" i="22"/>
  <c r="AR60" i="22"/>
  <c r="H35" i="5"/>
  <c r="C32" i="9"/>
  <c r="AN42" i="22"/>
  <c r="AR42" i="22"/>
  <c r="D88" i="5"/>
  <c r="AR75" i="22"/>
  <c r="D67" i="5"/>
  <c r="G140" i="4"/>
  <c r="D47" i="5"/>
  <c r="I47" i="5" s="1"/>
  <c r="K94" i="9"/>
  <c r="Z38" i="22"/>
  <c r="AK38" i="22"/>
  <c r="AP72" i="22"/>
  <c r="AC19" i="22"/>
  <c r="AP56" i="22"/>
  <c r="AC79" i="22"/>
  <c r="AP75" i="22"/>
  <c r="AN79" i="22"/>
  <c r="AE24" i="22"/>
  <c r="AP24" i="22"/>
  <c r="AE27" i="22"/>
  <c r="AP27" i="22"/>
  <c r="AE23" i="22"/>
  <c r="AP23" i="22"/>
  <c r="AE54" i="22"/>
  <c r="AP54" i="22"/>
  <c r="AE26" i="22"/>
  <c r="AP26" i="22"/>
  <c r="AE20" i="22"/>
  <c r="AP20" i="22"/>
  <c r="AE53" i="22"/>
  <c r="AE25" i="22"/>
  <c r="AP25" i="22"/>
  <c r="AM79" i="22"/>
  <c r="AN61" i="22"/>
  <c r="AC61" i="22"/>
  <c r="AN28" i="22"/>
  <c r="Q11" i="22"/>
  <c r="Q13" i="22"/>
  <c r="R13" i="22" s="1"/>
  <c r="AE13" i="22"/>
  <c r="Q14" i="22"/>
  <c r="R14" i="22" s="1"/>
  <c r="AE14" i="22"/>
  <c r="R71" i="22"/>
  <c r="Q18" i="22"/>
  <c r="R18" i="22" s="1"/>
  <c r="AE18" i="22"/>
  <c r="C119" i="4"/>
  <c r="K50" i="18"/>
  <c r="J39" i="18"/>
  <c r="C44" i="9"/>
  <c r="L103" i="9"/>
  <c r="AK103" i="9" s="1"/>
  <c r="H94" i="9"/>
  <c r="L17" i="9"/>
  <c r="P38" i="22"/>
  <c r="L116" i="9"/>
  <c r="L22" i="9"/>
  <c r="W121" i="9"/>
  <c r="H113" i="5"/>
  <c r="C140" i="10"/>
  <c r="H17" i="8"/>
  <c r="G34" i="9"/>
  <c r="H80" i="22"/>
  <c r="I13" i="9"/>
  <c r="K32" i="22"/>
  <c r="J32" i="22"/>
  <c r="J36" i="22" s="1"/>
  <c r="J38" i="22" s="1"/>
  <c r="J82" i="22" s="1"/>
  <c r="L19" i="22"/>
  <c r="H13" i="9" s="1"/>
  <c r="R12" i="22"/>
  <c r="P80" i="22"/>
  <c r="H57" i="5"/>
  <c r="C146" i="10"/>
  <c r="J112" i="9"/>
  <c r="P151" i="9"/>
  <c r="S151" i="9" s="1"/>
  <c r="S153" i="9"/>
  <c r="L118" i="9"/>
  <c r="R103" i="9"/>
  <c r="R94" i="9" s="1"/>
  <c r="S106" i="9"/>
  <c r="H56" i="5"/>
  <c r="L52" i="9"/>
  <c r="L48" i="9"/>
  <c r="L51" i="9"/>
  <c r="AK51" i="9" s="1"/>
  <c r="L50" i="9"/>
  <c r="AK50" i="9" s="1"/>
  <c r="D11" i="4"/>
  <c r="M19" i="22"/>
  <c r="M34" i="22"/>
  <c r="AB34" i="22" s="1"/>
  <c r="K34" i="22"/>
  <c r="M30" i="22"/>
  <c r="AB30" i="22" s="1"/>
  <c r="K30" i="22"/>
  <c r="M35" i="22"/>
  <c r="AB35" i="22" s="1"/>
  <c r="K35" i="22"/>
  <c r="M31" i="22"/>
  <c r="AB31" i="22" s="1"/>
  <c r="K31" i="22"/>
  <c r="M33" i="22"/>
  <c r="AB33" i="22" s="1"/>
  <c r="K33" i="22"/>
  <c r="K54" i="18"/>
  <c r="K53" i="18" s="1"/>
  <c r="C87" i="10"/>
  <c r="L54" i="9"/>
  <c r="AK54" i="9" s="1"/>
  <c r="P24" i="20"/>
  <c r="P25" i="20" s="1"/>
  <c r="H25" i="20"/>
  <c r="J86" i="9"/>
  <c r="H31" i="9"/>
  <c r="D34" i="5"/>
  <c r="H34" i="5" s="1"/>
  <c r="C101" i="9"/>
  <c r="J94" i="9"/>
  <c r="C144" i="10"/>
  <c r="F18" i="21"/>
  <c r="F19" i="21" s="1"/>
  <c r="D19" i="5" s="1"/>
  <c r="K40" i="18"/>
  <c r="D177" i="4"/>
  <c r="L47" i="9"/>
  <c r="AK47" i="9" s="1"/>
  <c r="I86" i="9"/>
  <c r="L46" i="9"/>
  <c r="AK46" i="9" s="1"/>
  <c r="Q60" i="22"/>
  <c r="J18" i="18"/>
  <c r="K18" i="18" s="1"/>
  <c r="C124" i="10"/>
  <c r="D193" i="4"/>
  <c r="F18" i="18"/>
  <c r="G71" i="9"/>
  <c r="C117" i="10"/>
  <c r="C128" i="5"/>
  <c r="C127" i="5" s="1"/>
  <c r="C126" i="5" s="1"/>
  <c r="Q48" i="22"/>
  <c r="K86" i="9"/>
  <c r="L67" i="9"/>
  <c r="H60" i="5"/>
  <c r="D85" i="4"/>
  <c r="L84" i="9"/>
  <c r="AK84" i="9" s="1"/>
  <c r="L80" i="9"/>
  <c r="AK80" i="9" s="1"/>
  <c r="L83" i="9"/>
  <c r="AK83" i="9" s="1"/>
  <c r="L79" i="9"/>
  <c r="AK79" i="9" s="1"/>
  <c r="L75" i="9"/>
  <c r="H86" i="9"/>
  <c r="G108" i="5"/>
  <c r="D107" i="5"/>
  <c r="G75" i="9"/>
  <c r="AK75" i="9" s="1"/>
  <c r="C67" i="10"/>
  <c r="L52" i="22"/>
  <c r="L55" i="9"/>
  <c r="AK55" i="9" s="1"/>
  <c r="L120" i="9"/>
  <c r="W91" i="9"/>
  <c r="C104" i="10"/>
  <c r="C103" i="10"/>
  <c r="L89" i="9"/>
  <c r="L107" i="9"/>
  <c r="L95" i="9"/>
  <c r="L49" i="9"/>
  <c r="AK49" i="9" s="1"/>
  <c r="L58" i="9"/>
  <c r="I94" i="9"/>
  <c r="H64" i="9"/>
  <c r="L53" i="9"/>
  <c r="H71" i="5"/>
  <c r="L63" i="9"/>
  <c r="L60" i="9"/>
  <c r="AK60" i="9" s="1"/>
  <c r="L56" i="9"/>
  <c r="R65" i="22"/>
  <c r="AE65" i="22" s="1"/>
  <c r="AP65" i="22" s="1"/>
  <c r="M61" i="22"/>
  <c r="H18" i="20"/>
  <c r="O18" i="20"/>
  <c r="O25" i="20"/>
  <c r="K26" i="20"/>
  <c r="R47" i="22"/>
  <c r="AE47" i="22" s="1"/>
  <c r="AP47" i="22" s="1"/>
  <c r="L36" i="22"/>
  <c r="I52" i="22"/>
  <c r="Q56" i="22"/>
  <c r="I48" i="22"/>
  <c r="M44" i="22"/>
  <c r="AB44" i="22" s="1"/>
  <c r="I66" i="22"/>
  <c r="R42" i="22"/>
  <c r="AE42" i="22" s="1"/>
  <c r="AP42" i="22" s="1"/>
  <c r="O44" i="22"/>
  <c r="M50" i="22"/>
  <c r="O48" i="22"/>
  <c r="Q66" i="22"/>
  <c r="L66" i="22"/>
  <c r="Q44" i="22"/>
  <c r="Q25" i="22"/>
  <c r="Q54" i="22"/>
  <c r="O52" i="22"/>
  <c r="M48" i="22"/>
  <c r="AB48" i="22" s="1"/>
  <c r="O61" i="22"/>
  <c r="R41" i="22"/>
  <c r="AE41" i="22" s="1"/>
  <c r="AP41" i="22" s="1"/>
  <c r="Q69" i="22"/>
  <c r="N79" i="22"/>
  <c r="N80" i="22" s="1"/>
  <c r="M66" i="22"/>
  <c r="AB66" i="22" s="1"/>
  <c r="N38" i="22"/>
  <c r="R64" i="22"/>
  <c r="AE64" i="22" s="1"/>
  <c r="AP64" i="22" s="1"/>
  <c r="O66" i="22"/>
  <c r="Q72" i="22"/>
  <c r="Q24" i="22"/>
  <c r="Q26" i="22"/>
  <c r="Q23" i="22"/>
  <c r="O28" i="22"/>
  <c r="H54" i="5"/>
  <c r="G32" i="4"/>
  <c r="L92" i="9"/>
  <c r="G54" i="4"/>
  <c r="G92" i="9"/>
  <c r="H49" i="5"/>
  <c r="H74" i="5"/>
  <c r="L85" i="9"/>
  <c r="AK85" i="9" s="1"/>
  <c r="L81" i="9"/>
  <c r="AK81" i="9" s="1"/>
  <c r="Q67" i="22"/>
  <c r="G53" i="18"/>
  <c r="G52" i="18" s="1"/>
  <c r="K52" i="18" s="1"/>
  <c r="R40" i="22"/>
  <c r="AE40" i="22" s="1"/>
  <c r="AP40" i="22" s="1"/>
  <c r="L44" i="22"/>
  <c r="K112" i="9"/>
  <c r="C97" i="10"/>
  <c r="P95" i="9"/>
  <c r="S95" i="9" s="1"/>
  <c r="C16" i="8"/>
  <c r="C47" i="8" s="1"/>
  <c r="L82" i="9"/>
  <c r="AK82" i="9" s="1"/>
  <c r="L74" i="9"/>
  <c r="AK74" i="9" s="1"/>
  <c r="R46" i="22"/>
  <c r="AE46" i="22" s="1"/>
  <c r="AP46" i="22" s="1"/>
  <c r="L48" i="22"/>
  <c r="M32" i="22"/>
  <c r="AB32" i="22" s="1"/>
  <c r="I36" i="22"/>
  <c r="I38" i="22" s="1"/>
  <c r="Q30" i="22"/>
  <c r="AD30" i="22" s="1"/>
  <c r="O36" i="22"/>
  <c r="D109" i="5"/>
  <c r="H112" i="5"/>
  <c r="H58" i="5"/>
  <c r="H69" i="5"/>
  <c r="D112" i="9"/>
  <c r="I112" i="9"/>
  <c r="I70" i="9"/>
  <c r="L59" i="9"/>
  <c r="AK59" i="9" s="1"/>
  <c r="G90" i="9"/>
  <c r="D47" i="11"/>
  <c r="R51" i="22"/>
  <c r="AE51" i="22" s="1"/>
  <c r="AP51" i="22" s="1"/>
  <c r="H38" i="22"/>
  <c r="H26" i="8"/>
  <c r="D103" i="9"/>
  <c r="D94" i="9" s="1"/>
  <c r="R43" i="22"/>
  <c r="AE43" i="22" s="1"/>
  <c r="AP43" i="22" s="1"/>
  <c r="Q27" i="22"/>
  <c r="M26" i="20"/>
  <c r="D47" i="8"/>
  <c r="H103" i="5"/>
  <c r="R63" i="22"/>
  <c r="AE63" i="22" s="1"/>
  <c r="AP63" i="22" s="1"/>
  <c r="Q52" i="22"/>
  <c r="K48" i="18"/>
  <c r="C48" i="23" s="1"/>
  <c r="Q48" i="23" s="1"/>
  <c r="L65" i="9"/>
  <c r="I44" i="22"/>
  <c r="E18" i="21"/>
  <c r="E19" i="21" s="1"/>
  <c r="L106" i="9"/>
  <c r="AK106" i="9" s="1"/>
  <c r="C98" i="10"/>
  <c r="L26" i="20"/>
  <c r="H40" i="5"/>
  <c r="L76" i="9"/>
  <c r="AK76" i="9" s="1"/>
  <c r="L87" i="9"/>
  <c r="L78" i="9"/>
  <c r="AK78" i="9" s="1"/>
  <c r="F70" i="9"/>
  <c r="G52" i="9"/>
  <c r="Z144" i="9"/>
  <c r="C131" i="10"/>
  <c r="D129" i="10" s="1"/>
  <c r="L90" i="9"/>
  <c r="H72" i="18"/>
  <c r="E79" i="18" s="1"/>
  <c r="D18" i="18"/>
  <c r="D72" i="18" s="1"/>
  <c r="I18" i="18"/>
  <c r="I72" i="18" s="1"/>
  <c r="I73" i="18" s="1"/>
  <c r="C22" i="13" s="1"/>
  <c r="D22" i="13" s="1"/>
  <c r="K64" i="18"/>
  <c r="F11" i="4"/>
  <c r="F99" i="4" s="1"/>
  <c r="K70" i="9"/>
  <c r="J70" i="9"/>
  <c r="L57" i="9"/>
  <c r="L77" i="9"/>
  <c r="AK77" i="9" s="1"/>
  <c r="L72" i="9"/>
  <c r="AK72" i="9" s="1"/>
  <c r="L61" i="9"/>
  <c r="AK61" i="9" s="1"/>
  <c r="H70" i="9"/>
  <c r="F44" i="9"/>
  <c r="G72" i="9"/>
  <c r="C64" i="9"/>
  <c r="G188" i="4"/>
  <c r="E86" i="9"/>
  <c r="G47" i="9"/>
  <c r="G63" i="9"/>
  <c r="G53" i="9"/>
  <c r="G48" i="9"/>
  <c r="D70" i="9"/>
  <c r="G57" i="9"/>
  <c r="F64" i="9"/>
  <c r="G205" i="4"/>
  <c r="G204" i="4" s="1"/>
  <c r="E44" i="9"/>
  <c r="G146" i="4"/>
  <c r="G60" i="9"/>
  <c r="D86" i="9"/>
  <c r="D44" i="9"/>
  <c r="G182" i="4"/>
  <c r="G177" i="4" s="1"/>
  <c r="G168" i="4"/>
  <c r="H73" i="5"/>
  <c r="D68" i="4"/>
  <c r="G68" i="4" s="1"/>
  <c r="L71" i="9"/>
  <c r="AK71" i="9" s="1"/>
  <c r="G67" i="9"/>
  <c r="G56" i="9"/>
  <c r="G38" i="4"/>
  <c r="G118" i="9"/>
  <c r="G85" i="9"/>
  <c r="H79" i="5"/>
  <c r="H48" i="5"/>
  <c r="J44" i="9"/>
  <c r="H76" i="5"/>
  <c r="G87" i="9"/>
  <c r="F86" i="9"/>
  <c r="H91" i="5"/>
  <c r="H90" i="5"/>
  <c r="H68" i="5"/>
  <c r="H63" i="5"/>
  <c r="H62" i="5"/>
  <c r="H55" i="5"/>
  <c r="I55" i="5" s="1"/>
  <c r="K44" i="9"/>
  <c r="I44" i="9"/>
  <c r="G12" i="4"/>
  <c r="L45" i="9"/>
  <c r="AK45" i="9" s="1"/>
  <c r="H44" i="9"/>
  <c r="H108" i="5"/>
  <c r="C177" i="4"/>
  <c r="G89" i="9"/>
  <c r="G163" i="4"/>
  <c r="D119" i="4"/>
  <c r="E119" i="4"/>
  <c r="E207" i="4" s="1"/>
  <c r="D127" i="5"/>
  <c r="D126" i="5" s="1"/>
  <c r="H95" i="5"/>
  <c r="H89" i="5"/>
  <c r="G65" i="9"/>
  <c r="E11" i="4"/>
  <c r="E99" i="4" s="1"/>
  <c r="H59" i="5"/>
  <c r="K64" i="9"/>
  <c r="H52" i="5"/>
  <c r="H87" i="5"/>
  <c r="C66" i="5"/>
  <c r="F119" i="4"/>
  <c r="F207" i="4" s="1"/>
  <c r="H50" i="5"/>
  <c r="K19" i="18"/>
  <c r="C18" i="18"/>
  <c r="O79" i="22"/>
  <c r="Q75" i="22"/>
  <c r="M79" i="22"/>
  <c r="Q68" i="22"/>
  <c r="I61" i="22"/>
  <c r="I80" i="22" s="1"/>
  <c r="Q20" i="22"/>
  <c r="M28" i="22"/>
  <c r="N26" i="20"/>
  <c r="K9" i="18"/>
  <c r="Q53" i="22"/>
  <c r="C42" i="5"/>
  <c r="H77" i="5"/>
  <c r="H86" i="5"/>
  <c r="H84" i="5"/>
  <c r="C72" i="10"/>
  <c r="E39" i="9"/>
  <c r="F39" i="9"/>
  <c r="C145" i="10"/>
  <c r="G116" i="9"/>
  <c r="AK116" i="9" s="1"/>
  <c r="C68" i="10"/>
  <c r="H23" i="8"/>
  <c r="F47" i="8"/>
  <c r="G47" i="8"/>
  <c r="H25" i="8"/>
  <c r="E47" i="8"/>
  <c r="C128" i="10"/>
  <c r="C123" i="5"/>
  <c r="H75" i="5"/>
  <c r="H65" i="5"/>
  <c r="C47" i="5"/>
  <c r="C88" i="5"/>
  <c r="H92" i="5"/>
  <c r="G91" i="9"/>
  <c r="Q26" i="20"/>
  <c r="P18" i="20"/>
  <c r="P19" i="20"/>
  <c r="P20" i="20" s="1"/>
  <c r="AK48" i="9" l="1"/>
  <c r="AK87" i="9"/>
  <c r="AK63" i="9"/>
  <c r="AK65" i="9"/>
  <c r="C64" i="10" s="1"/>
  <c r="AK53" i="9"/>
  <c r="C52" i="10" s="1"/>
  <c r="AK90" i="9"/>
  <c r="AK89" i="9"/>
  <c r="AK57" i="9"/>
  <c r="AK118" i="9"/>
  <c r="AK67" i="9"/>
  <c r="C66" i="10" s="1"/>
  <c r="AK92" i="9"/>
  <c r="AK56" i="9"/>
  <c r="C55" i="10" s="1"/>
  <c r="AK52" i="9"/>
  <c r="C51" i="10" s="1"/>
  <c r="W43" i="9"/>
  <c r="AK121" i="9"/>
  <c r="C44" i="10"/>
  <c r="C76" i="10"/>
  <c r="C151" i="10"/>
  <c r="D149" i="10" s="1"/>
  <c r="E148" i="10" s="1"/>
  <c r="C56" i="10"/>
  <c r="C137" i="10"/>
  <c r="D133" i="10" s="1"/>
  <c r="C73" i="10"/>
  <c r="L91" i="9"/>
  <c r="AK91" i="9" s="1"/>
  <c r="C81" i="10"/>
  <c r="C45" i="10"/>
  <c r="C80" i="10"/>
  <c r="C62" i="10"/>
  <c r="D22" i="14"/>
  <c r="F21" i="12"/>
  <c r="C47" i="10"/>
  <c r="C46" i="10"/>
  <c r="D73" i="18"/>
  <c r="D19" i="11"/>
  <c r="R163" i="9"/>
  <c r="D207" i="4"/>
  <c r="G11" i="4"/>
  <c r="H125" i="5"/>
  <c r="C46" i="5"/>
  <c r="D99" i="4"/>
  <c r="H123" i="5"/>
  <c r="I88" i="5"/>
  <c r="G119" i="4"/>
  <c r="G101" i="9"/>
  <c r="AK101" i="9" s="1"/>
  <c r="C94" i="9"/>
  <c r="G94" i="9" s="1"/>
  <c r="I72" i="5"/>
  <c r="D155" i="10"/>
  <c r="E154" i="10" s="1"/>
  <c r="Z82" i="22"/>
  <c r="F72" i="18"/>
  <c r="F73" i="18" s="1"/>
  <c r="W171" i="9" s="1"/>
  <c r="AK82" i="22"/>
  <c r="C105" i="10"/>
  <c r="H109" i="5"/>
  <c r="D66" i="5"/>
  <c r="D46" i="5" s="1"/>
  <c r="M120" i="9"/>
  <c r="C8" i="23"/>
  <c r="Q8" i="23" s="1"/>
  <c r="Q9" i="23"/>
  <c r="C60" i="23"/>
  <c r="Q60" i="23" s="1"/>
  <c r="Q61" i="23"/>
  <c r="C18" i="23"/>
  <c r="Q18" i="23" s="1"/>
  <c r="Q19" i="23"/>
  <c r="C54" i="23"/>
  <c r="C42" i="23"/>
  <c r="H67" i="5"/>
  <c r="C35" i="23"/>
  <c r="Q36" i="23"/>
  <c r="C58" i="10"/>
  <c r="C53" i="10"/>
  <c r="C49" i="10"/>
  <c r="C59" i="10"/>
  <c r="C57" i="10"/>
  <c r="C50" i="10"/>
  <c r="C60" i="10"/>
  <c r="C48" i="10"/>
  <c r="C54" i="10"/>
  <c r="G32" i="9"/>
  <c r="AK32" i="9" s="1"/>
  <c r="AM19" i="22"/>
  <c r="C31" i="9"/>
  <c r="AP48" i="22"/>
  <c r="AP19" i="22"/>
  <c r="AR11" i="22"/>
  <c r="AE11" i="22"/>
  <c r="AC38" i="22"/>
  <c r="AN32" i="22"/>
  <c r="AR32" i="22"/>
  <c r="AN66" i="22"/>
  <c r="AR66" i="22"/>
  <c r="AN31" i="22"/>
  <c r="AR31" i="22"/>
  <c r="AN34" i="22"/>
  <c r="AR34" i="22"/>
  <c r="AR14" i="22"/>
  <c r="AR25" i="22"/>
  <c r="AR20" i="22"/>
  <c r="AR23" i="22"/>
  <c r="AR24" i="22"/>
  <c r="AN48" i="22"/>
  <c r="AR48" i="22"/>
  <c r="AN44" i="22"/>
  <c r="AR44" i="22"/>
  <c r="AR18" i="22"/>
  <c r="AN33" i="22"/>
  <c r="AR33" i="22"/>
  <c r="AN35" i="22"/>
  <c r="AR35" i="22"/>
  <c r="AN30" i="22"/>
  <c r="AR30" i="22"/>
  <c r="AR26" i="22"/>
  <c r="AR54" i="22"/>
  <c r="AR27" i="22"/>
  <c r="H93" i="5"/>
  <c r="AB28" i="22"/>
  <c r="AC80" i="22"/>
  <c r="AB61" i="22"/>
  <c r="AM61" i="22"/>
  <c r="AM80" i="22" s="1"/>
  <c r="AP53" i="22"/>
  <c r="AN80" i="22"/>
  <c r="Q19" i="22"/>
  <c r="AM28" i="22"/>
  <c r="AP66" i="22"/>
  <c r="AP44" i="22"/>
  <c r="AN19" i="22"/>
  <c r="AN38" i="22" s="1"/>
  <c r="AE48" i="22"/>
  <c r="AE66" i="22"/>
  <c r="AE44" i="22"/>
  <c r="R53" i="22"/>
  <c r="R23" i="22"/>
  <c r="R25" i="22"/>
  <c r="R60" i="22"/>
  <c r="Q28" i="22"/>
  <c r="Q36" i="22"/>
  <c r="AD36" i="22" s="1"/>
  <c r="R67" i="22"/>
  <c r="R26" i="22"/>
  <c r="M52" i="22"/>
  <c r="AB52" i="22" s="1"/>
  <c r="AB50" i="22"/>
  <c r="AB19" i="22"/>
  <c r="R27" i="22"/>
  <c r="R75" i="22"/>
  <c r="R24" i="22"/>
  <c r="R69" i="22"/>
  <c r="R11" i="22"/>
  <c r="R19" i="22" s="1"/>
  <c r="R68" i="22"/>
  <c r="R72" i="22"/>
  <c r="R54" i="22"/>
  <c r="R56" i="22"/>
  <c r="R34" i="22"/>
  <c r="AE34" i="22" s="1"/>
  <c r="AP34" i="22" s="1"/>
  <c r="P82" i="22"/>
  <c r="C196" i="4" s="1"/>
  <c r="H82" i="22"/>
  <c r="J72" i="18"/>
  <c r="J73" i="18" s="1"/>
  <c r="G44" i="9"/>
  <c r="L38" i="22"/>
  <c r="L82" i="22" s="1"/>
  <c r="K39" i="18"/>
  <c r="D17" i="11" s="1"/>
  <c r="D94" i="10"/>
  <c r="L94" i="9"/>
  <c r="AK94" i="9" s="1"/>
  <c r="H26" i="20"/>
  <c r="J13" i="21"/>
  <c r="K13" i="21" s="1"/>
  <c r="H43" i="9"/>
  <c r="C125" i="10"/>
  <c r="D120" i="10" s="1"/>
  <c r="R33" i="22"/>
  <c r="AE33" i="22" s="1"/>
  <c r="AP33" i="22" s="1"/>
  <c r="C34" i="10"/>
  <c r="D33" i="10" s="1"/>
  <c r="R35" i="22"/>
  <c r="AE35" i="22" s="1"/>
  <c r="AP35" i="22" s="1"/>
  <c r="R30" i="22"/>
  <c r="AE30" i="22" s="1"/>
  <c r="R20" i="22"/>
  <c r="N82" i="22"/>
  <c r="R31" i="22"/>
  <c r="AE31" i="22" s="1"/>
  <c r="AP31" i="22" s="1"/>
  <c r="S103" i="9"/>
  <c r="P150" i="9"/>
  <c r="S150" i="9" s="1"/>
  <c r="C70" i="10"/>
  <c r="C89" i="10"/>
  <c r="O80" i="22"/>
  <c r="J17" i="21"/>
  <c r="K17" i="21" s="1"/>
  <c r="J10" i="21"/>
  <c r="K10" i="21" s="1"/>
  <c r="H18" i="21"/>
  <c r="H19" i="21" s="1"/>
  <c r="J9" i="21"/>
  <c r="J15" i="21"/>
  <c r="K15" i="21" s="1"/>
  <c r="C84" i="10"/>
  <c r="L86" i="9"/>
  <c r="M36" i="22"/>
  <c r="I18" i="21"/>
  <c r="I19" i="21" s="1"/>
  <c r="J16" i="21"/>
  <c r="K16" i="21" s="1"/>
  <c r="J11" i="21"/>
  <c r="K11" i="21" s="1"/>
  <c r="K36" i="22"/>
  <c r="K38" i="22" s="1"/>
  <c r="K82" i="22" s="1"/>
  <c r="J14" i="21"/>
  <c r="K14" i="21" s="1"/>
  <c r="J12" i="21"/>
  <c r="K12" i="21" s="1"/>
  <c r="L31" i="9"/>
  <c r="H128" i="5"/>
  <c r="H127" i="5" s="1"/>
  <c r="C74" i="10"/>
  <c r="L64" i="9"/>
  <c r="D16" i="10"/>
  <c r="H126" i="5"/>
  <c r="C88" i="10"/>
  <c r="O26" i="20"/>
  <c r="D102" i="5"/>
  <c r="I102" i="5" s="1"/>
  <c r="C91" i="10"/>
  <c r="D90" i="10" s="1"/>
  <c r="C83" i="10"/>
  <c r="P94" i="9"/>
  <c r="C141" i="10"/>
  <c r="S132" i="9"/>
  <c r="AK132" i="9" s="1"/>
  <c r="L70" i="9"/>
  <c r="C43" i="9"/>
  <c r="H72" i="5"/>
  <c r="Q61" i="22"/>
  <c r="K39" i="9"/>
  <c r="K37" i="9" s="1"/>
  <c r="K9" i="9" s="1"/>
  <c r="R66" i="22"/>
  <c r="R50" i="22"/>
  <c r="R48" i="22"/>
  <c r="R32" i="22"/>
  <c r="AE32" i="22" s="1"/>
  <c r="AP32" i="22" s="1"/>
  <c r="O38" i="22"/>
  <c r="J43" i="9"/>
  <c r="C71" i="10"/>
  <c r="C86" i="10"/>
  <c r="E43" i="9"/>
  <c r="R44" i="22"/>
  <c r="H16" i="8"/>
  <c r="C72" i="18"/>
  <c r="C73" i="18" s="1"/>
  <c r="C18" i="5"/>
  <c r="H15" i="9" s="1"/>
  <c r="C15" i="9"/>
  <c r="Q79" i="22"/>
  <c r="G19" i="21"/>
  <c r="I43" i="9"/>
  <c r="F43" i="9"/>
  <c r="W120" i="9"/>
  <c r="D25" i="11"/>
  <c r="D43" i="9"/>
  <c r="G107" i="5"/>
  <c r="G64" i="9"/>
  <c r="H107" i="5"/>
  <c r="G86" i="9"/>
  <c r="G70" i="9"/>
  <c r="K43" i="9"/>
  <c r="L44" i="9"/>
  <c r="AK44" i="9" s="1"/>
  <c r="H88" i="5"/>
  <c r="M80" i="22"/>
  <c r="I82" i="22"/>
  <c r="J39" i="9"/>
  <c r="J37" i="9" s="1"/>
  <c r="D10" i="9"/>
  <c r="D9" i="9" s="1"/>
  <c r="F27" i="12"/>
  <c r="D28" i="14"/>
  <c r="I28" i="14" s="1"/>
  <c r="H47" i="5"/>
  <c r="P26" i="20"/>
  <c r="AK86" i="9" l="1"/>
  <c r="AK70" i="9"/>
  <c r="AK64" i="9"/>
  <c r="S120" i="9"/>
  <c r="W163" i="9"/>
  <c r="F22" i="12" s="1"/>
  <c r="P163" i="9"/>
  <c r="M163" i="9"/>
  <c r="Q166" i="9" s="1"/>
  <c r="H46" i="5"/>
  <c r="G72" i="18"/>
  <c r="D63" i="10"/>
  <c r="K72" i="18"/>
  <c r="K73" i="18" s="1"/>
  <c r="AK171" i="9" s="1"/>
  <c r="I46" i="5"/>
  <c r="C147" i="5"/>
  <c r="G43" i="9"/>
  <c r="H119" i="4"/>
  <c r="H66" i="5"/>
  <c r="AP86" i="22"/>
  <c r="K9" i="21"/>
  <c r="J18" i="21"/>
  <c r="J19" i="21" s="1"/>
  <c r="AM38" i="22"/>
  <c r="AM82" i="22" s="1"/>
  <c r="D32" i="5" s="1"/>
  <c r="D21" i="11"/>
  <c r="C116" i="10"/>
  <c r="D115" i="10" s="1"/>
  <c r="S94" i="9"/>
  <c r="C53" i="23"/>
  <c r="Q54" i="23"/>
  <c r="C73" i="23"/>
  <c r="Q73" i="23" s="1"/>
  <c r="C20" i="13"/>
  <c r="Z171" i="9"/>
  <c r="C39" i="23"/>
  <c r="Q39" i="23" s="1"/>
  <c r="Q42" i="23"/>
  <c r="Q35" i="23"/>
  <c r="G31" i="9"/>
  <c r="AK31" i="9" s="1"/>
  <c r="C16" i="5"/>
  <c r="C13" i="5" s="1"/>
  <c r="AE86" i="22"/>
  <c r="H19" i="5"/>
  <c r="AC82" i="22"/>
  <c r="C29" i="5" s="1"/>
  <c r="D43" i="10"/>
  <c r="R61" i="22"/>
  <c r="H10" i="9"/>
  <c r="R28" i="22"/>
  <c r="AN82" i="22"/>
  <c r="D29" i="5" s="1"/>
  <c r="AB80" i="22"/>
  <c r="AR61" i="22"/>
  <c r="H47" i="8"/>
  <c r="AB38" i="22"/>
  <c r="AR19" i="22"/>
  <c r="AN50" i="22"/>
  <c r="AR50" i="22"/>
  <c r="AR28" i="22"/>
  <c r="G16" i="9"/>
  <c r="F10" i="9"/>
  <c r="F9" i="9" s="1"/>
  <c r="AN52" i="22"/>
  <c r="AR52" i="22"/>
  <c r="H102" i="5"/>
  <c r="AE36" i="22"/>
  <c r="AP30" i="22"/>
  <c r="AP36" i="22" s="1"/>
  <c r="AP79" i="22"/>
  <c r="AP61" i="22"/>
  <c r="AE79" i="22"/>
  <c r="R79" i="22"/>
  <c r="AE61" i="22"/>
  <c r="R52" i="22"/>
  <c r="AE50" i="22"/>
  <c r="M38" i="22"/>
  <c r="M82" i="22" s="1"/>
  <c r="AB36" i="22"/>
  <c r="D18" i="5"/>
  <c r="D13" i="5" s="1"/>
  <c r="D102" i="10"/>
  <c r="E93" i="10" s="1"/>
  <c r="O82" i="22"/>
  <c r="R36" i="22"/>
  <c r="R38" i="22" s="1"/>
  <c r="K18" i="21"/>
  <c r="K19" i="21" s="1"/>
  <c r="C31" i="10"/>
  <c r="D30" i="10" s="1"/>
  <c r="D69" i="10"/>
  <c r="D85" i="10"/>
  <c r="C10" i="9"/>
  <c r="G13" i="9"/>
  <c r="Q38" i="22"/>
  <c r="Q80" i="22"/>
  <c r="G73" i="18"/>
  <c r="G15" i="9"/>
  <c r="D42" i="5"/>
  <c r="H42" i="5" s="1"/>
  <c r="D163" i="9"/>
  <c r="E12" i="14" s="1"/>
  <c r="K163" i="9"/>
  <c r="D15" i="14" s="1"/>
  <c r="L43" i="9"/>
  <c r="H43" i="5"/>
  <c r="H73" i="18"/>
  <c r="E10" i="9"/>
  <c r="E9" i="9" s="1"/>
  <c r="E163" i="9" s="1"/>
  <c r="E14" i="14" s="1"/>
  <c r="G11" i="9"/>
  <c r="L13" i="9"/>
  <c r="I10" i="9"/>
  <c r="I9" i="9" s="1"/>
  <c r="I163" i="9" s="1"/>
  <c r="D12" i="14" s="1"/>
  <c r="W172" i="9" l="1"/>
  <c r="S163" i="9"/>
  <c r="T169" i="9" s="1"/>
  <c r="AK43" i="9"/>
  <c r="D23" i="14"/>
  <c r="I23" i="14" s="1"/>
  <c r="AB120" i="9"/>
  <c r="AB163" i="9" s="1"/>
  <c r="D18" i="14"/>
  <c r="I18" i="14" s="1"/>
  <c r="D39" i="11"/>
  <c r="F17" i="12"/>
  <c r="F163" i="9"/>
  <c r="E15" i="14" s="1"/>
  <c r="E42" i="10"/>
  <c r="E164" i="10"/>
  <c r="R80" i="22"/>
  <c r="D45" i="11"/>
  <c r="D147" i="5"/>
  <c r="C15" i="10"/>
  <c r="C12" i="10"/>
  <c r="C29" i="9"/>
  <c r="C52" i="23"/>
  <c r="Q53" i="23"/>
  <c r="C72" i="23"/>
  <c r="G196" i="4"/>
  <c r="D122" i="5" s="1"/>
  <c r="D120" i="5" s="1"/>
  <c r="D119" i="5" s="1"/>
  <c r="C26" i="9"/>
  <c r="G26" i="9" s="1"/>
  <c r="G25" i="9" s="1"/>
  <c r="C16" i="13"/>
  <c r="C25" i="13" s="1"/>
  <c r="H13" i="5"/>
  <c r="H16" i="5"/>
  <c r="G10" i="9"/>
  <c r="AR38" i="22"/>
  <c r="AB82" i="22"/>
  <c r="F25" i="12"/>
  <c r="G24" i="12" s="1"/>
  <c r="H23" i="12" s="1"/>
  <c r="AN36" i="22"/>
  <c r="AR36" i="22"/>
  <c r="H18" i="5"/>
  <c r="I12" i="14"/>
  <c r="H121" i="5"/>
  <c r="AP80" i="22"/>
  <c r="AE19" i="22"/>
  <c r="AE52" i="22"/>
  <c r="AP50" i="22"/>
  <c r="AP52" i="22" s="1"/>
  <c r="AE28" i="22"/>
  <c r="AE80" i="22"/>
  <c r="Q82" i="22"/>
  <c r="C114" i="9"/>
  <c r="G114" i="9" s="1"/>
  <c r="C194" i="4"/>
  <c r="C86" i="4"/>
  <c r="C85" i="4" s="1"/>
  <c r="C99" i="4" s="1"/>
  <c r="G88" i="4"/>
  <c r="C122" i="5" s="1"/>
  <c r="H114" i="9"/>
  <c r="L15" i="9"/>
  <c r="C39" i="9"/>
  <c r="G39" i="9"/>
  <c r="D13" i="11"/>
  <c r="D27" i="11" s="1"/>
  <c r="F27" i="11" s="1"/>
  <c r="J10" i="9"/>
  <c r="J9" i="9" s="1"/>
  <c r="J163" i="9" s="1"/>
  <c r="L11" i="9"/>
  <c r="F11" i="12"/>
  <c r="S172" i="9" l="1"/>
  <c r="F14" i="12"/>
  <c r="I15" i="14"/>
  <c r="E13" i="14"/>
  <c r="C10" i="10"/>
  <c r="L10" i="9"/>
  <c r="Q52" i="23"/>
  <c r="C71" i="23"/>
  <c r="Q71" i="23" s="1"/>
  <c r="C32" i="5"/>
  <c r="H29" i="9" s="1"/>
  <c r="L29" i="9" s="1"/>
  <c r="D31" i="5"/>
  <c r="C75" i="23"/>
  <c r="D28" i="5"/>
  <c r="C28" i="5"/>
  <c r="H26" i="9"/>
  <c r="R82" i="22"/>
  <c r="R83" i="22" s="1"/>
  <c r="D26" i="14"/>
  <c r="D25" i="14" s="1"/>
  <c r="D24" i="14" s="1"/>
  <c r="D37" i="11"/>
  <c r="C14" i="10"/>
  <c r="AP28" i="22"/>
  <c r="AE38" i="22"/>
  <c r="AE82" i="22" s="1"/>
  <c r="AE85" i="22" s="1"/>
  <c r="AE92" i="22" s="1"/>
  <c r="AE96" i="22" s="1"/>
  <c r="D21" i="14"/>
  <c r="P75" i="23"/>
  <c r="C120" i="5"/>
  <c r="H122" i="5"/>
  <c r="C113" i="9"/>
  <c r="C112" i="9" s="1"/>
  <c r="C193" i="4"/>
  <c r="G194" i="4"/>
  <c r="L114" i="9"/>
  <c r="AK114" i="9" s="1"/>
  <c r="H113" i="9"/>
  <c r="H112" i="9" s="1"/>
  <c r="G86" i="4"/>
  <c r="C25" i="9"/>
  <c r="H29" i="5"/>
  <c r="H39" i="9"/>
  <c r="F13" i="12"/>
  <c r="D14" i="14"/>
  <c r="I14" i="14" s="1"/>
  <c r="I13" i="14" l="1"/>
  <c r="G12" i="12"/>
  <c r="C207" i="4"/>
  <c r="G193" i="4"/>
  <c r="D12" i="5"/>
  <c r="L26" i="9"/>
  <c r="C31" i="5"/>
  <c r="H31" i="5" s="1"/>
  <c r="C28" i="9"/>
  <c r="C9" i="9" s="1"/>
  <c r="C163" i="9" s="1"/>
  <c r="G29" i="9"/>
  <c r="G28" i="9" s="1"/>
  <c r="G9" i="9" s="1"/>
  <c r="H25" i="9"/>
  <c r="I26" i="14"/>
  <c r="I25" i="14" s="1"/>
  <c r="I24" i="14" s="1"/>
  <c r="H28" i="5"/>
  <c r="K21" i="21"/>
  <c r="AP38" i="22"/>
  <c r="AP82" i="22" s="1"/>
  <c r="AP85" i="22" s="1"/>
  <c r="AP92" i="22" s="1"/>
  <c r="AR92" i="22" s="1"/>
  <c r="D9" i="10"/>
  <c r="G112" i="9"/>
  <c r="H32" i="5"/>
  <c r="H120" i="5"/>
  <c r="C119" i="5"/>
  <c r="L112" i="9"/>
  <c r="L113" i="9"/>
  <c r="C113" i="10"/>
  <c r="D112" i="10" s="1"/>
  <c r="E111" i="10" s="1"/>
  <c r="G113" i="9"/>
  <c r="G85" i="4"/>
  <c r="G99" i="4" s="1"/>
  <c r="C39" i="10"/>
  <c r="D38" i="10" s="1"/>
  <c r="H28" i="9"/>
  <c r="D13" i="14"/>
  <c r="D20" i="14"/>
  <c r="AK113" i="9" l="1"/>
  <c r="AK112" i="9"/>
  <c r="C25" i="10"/>
  <c r="D24" i="10" s="1"/>
  <c r="I119" i="5"/>
  <c r="G207" i="4"/>
  <c r="C12" i="5"/>
  <c r="C146" i="5" s="1"/>
  <c r="G163" i="9"/>
  <c r="G172" i="9" s="1"/>
  <c r="G208" i="4"/>
  <c r="L25" i="9"/>
  <c r="H9" i="9"/>
  <c r="H163" i="9" s="1"/>
  <c r="D11" i="14" s="1"/>
  <c r="D10" i="14" s="1"/>
  <c r="D146" i="5"/>
  <c r="H119" i="5"/>
  <c r="E11" i="14"/>
  <c r="L28" i="9"/>
  <c r="C148" i="5" l="1"/>
  <c r="D41" i="11"/>
  <c r="J12" i="5"/>
  <c r="D148" i="5"/>
  <c r="H12" i="5"/>
  <c r="H146" i="5" s="1"/>
  <c r="L9" i="9"/>
  <c r="AK9" i="9" s="1"/>
  <c r="D16" i="13"/>
  <c r="F10" i="12"/>
  <c r="I11" i="14"/>
  <c r="I10" i="14" s="1"/>
  <c r="I9" i="14" s="1"/>
  <c r="C28" i="10"/>
  <c r="E10" i="14"/>
  <c r="E9" i="14" s="1"/>
  <c r="E29" i="14" s="1"/>
  <c r="D9" i="14"/>
  <c r="D27" i="10" l="1"/>
  <c r="E8" i="10" s="1"/>
  <c r="D35" i="11"/>
  <c r="AR93" i="22"/>
  <c r="AR94" i="22" s="1"/>
  <c r="G9" i="12"/>
  <c r="H8" i="12" s="1"/>
  <c r="L163" i="9"/>
  <c r="L172" i="9" l="1"/>
  <c r="D14" i="13"/>
  <c r="X120" i="9"/>
  <c r="X163" i="9" s="1"/>
  <c r="Z142" i="9"/>
  <c r="C139" i="10" l="1"/>
  <c r="G19" i="14"/>
  <c r="G17" i="14" s="1"/>
  <c r="G16" i="14" s="1"/>
  <c r="Y120" i="9"/>
  <c r="Y163" i="9" s="1"/>
  <c r="G20" i="12" l="1"/>
  <c r="H19" i="12" s="1"/>
  <c r="G22" i="14"/>
  <c r="Z141" i="9"/>
  <c r="AK141" i="9" s="1"/>
  <c r="Z120" i="9"/>
  <c r="AK120" i="9" s="1"/>
  <c r="Z163" i="9" l="1"/>
  <c r="AK163" i="9" s="1"/>
  <c r="I22" i="14"/>
  <c r="I21" i="14" s="1"/>
  <c r="I20" i="14" s="1"/>
  <c r="G21" i="14"/>
  <c r="G20" i="14" s="1"/>
  <c r="G29" i="14" s="1"/>
  <c r="Z172" i="9" l="1"/>
  <c r="D20" i="13"/>
  <c r="S146" i="9"/>
  <c r="AK146" i="9" s="1"/>
  <c r="C143" i="10" l="1"/>
  <c r="C142" i="10"/>
  <c r="C162" i="10" l="1"/>
  <c r="D138" i="10"/>
  <c r="E119" i="10" l="1"/>
  <c r="E162" i="10" s="1"/>
  <c r="E165" i="10" s="1"/>
  <c r="D162" i="10"/>
  <c r="AK172" i="9" l="1"/>
  <c r="D25" i="13"/>
  <c r="D27" i="13" s="1"/>
  <c r="G16" i="12"/>
  <c r="H15" i="12" s="1"/>
  <c r="H28" i="12" s="1"/>
  <c r="F28" i="12"/>
  <c r="D43" i="11"/>
  <c r="D51" i="11" s="1"/>
  <c r="D17" i="14"/>
  <c r="D16" i="14" s="1"/>
  <c r="D29" i="14" s="1"/>
  <c r="I19" i="14"/>
  <c r="I17" i="14" s="1"/>
  <c r="I16" i="14" s="1"/>
  <c r="I29" i="14" s="1"/>
  <c r="F51" i="11" l="1"/>
  <c r="G28" i="12"/>
</calcChain>
</file>

<file path=xl/comments1.xml><?xml version="1.0" encoding="utf-8"?>
<comments xmlns="http://schemas.openxmlformats.org/spreadsheetml/2006/main">
  <authors>
    <author>NAVEGANTE</author>
  </authors>
  <commentList>
    <comment ref="B11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CONTABILIDAD</author>
  </authors>
  <commentList>
    <comment ref="E6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EN MARZO SE DISMINUYO $30,000.0 SALDO $10,000.0
</t>
        </r>
      </text>
    </comment>
  </commentList>
</comments>
</file>

<file path=xl/sharedStrings.xml><?xml version="1.0" encoding="utf-8"?>
<sst xmlns="http://schemas.openxmlformats.org/spreadsheetml/2006/main" count="2083" uniqueCount="839">
  <si>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</si>
  <si>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</si>
  <si>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</si>
  <si>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</si>
  <si>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</si>
  <si>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</si>
  <si>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</si>
  <si>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</si>
  <si>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</si>
  <si>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</si>
  <si>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</si>
  <si>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</si>
  <si>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</si>
  <si>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</si>
  <si>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</si>
  <si>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</si>
  <si>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</si>
  <si>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</si>
  <si>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</si>
  <si>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</si>
  <si>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</si>
  <si>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</si>
  <si>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</si>
  <si>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</si>
  <si>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</si>
  <si>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</si>
  <si>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</si>
  <si>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</si>
  <si>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</si>
  <si>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</si>
  <si>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</si>
  <si>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</si>
  <si>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</si>
  <si>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</si>
  <si>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</si>
  <si>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</si>
  <si>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</si>
  <si>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</si>
  <si>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</si>
  <si>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</si>
  <si>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</si>
  <si>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</si>
  <si>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</si>
  <si>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</si>
  <si>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</si>
  <si>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</si>
  <si>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</si>
  <si>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</si>
  <si>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</si>
  <si>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</si>
  <si>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</si>
  <si>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</si>
  <si>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</si>
  <si>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</si>
  <si>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</si>
  <si>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</si>
  <si>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</si>
  <si>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</si>
  <si>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</si>
  <si>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</si>
  <si>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</si>
  <si>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</si>
  <si>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</si>
  <si>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</si>
  <si>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</si>
  <si>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</si>
  <si>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</si>
  <si>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</si>
  <si>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</si>
  <si>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</si>
  <si>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</si>
  <si>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</si>
  <si>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</si>
  <si>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</si>
  <si>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</si>
  <si>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</si>
  <si>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</si>
  <si>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</si>
  <si>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</si>
  <si>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</si>
  <si>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</si>
  <si>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</si>
  <si>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</si>
  <si>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</si>
  <si>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</si>
  <si>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</si>
  <si>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</si>
  <si>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</si>
  <si>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</si>
  <si>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</si>
  <si>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</si>
  <si>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</si>
  <si>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</si>
  <si>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</si>
  <si>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</si>
  <si>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</si>
  <si>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</si>
  <si>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</si>
  <si>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</si>
  <si>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</si>
  <si>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</si>
  <si>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</si>
  <si>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</si>
  <si>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</si>
  <si>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</si>
  <si>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</si>
  <si>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</si>
  <si>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</si>
  <si>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</si>
  <si>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</si>
  <si>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</si>
  <si>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</si>
  <si>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</si>
  <si>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</si>
  <si>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</si>
  <si>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</si>
  <si>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</si>
  <si>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</si>
  <si>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</si>
  <si>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</si>
  <si>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</si>
  <si>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</si>
  <si>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</si>
  <si>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</si>
  <si>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</si>
  <si>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</si>
  <si>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</si>
  <si>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</si>
  <si>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</si>
  <si>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</si>
  <si>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</si>
  <si>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</si>
  <si>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</si>
  <si>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</si>
  <si>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</si>
  <si>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</si>
  <si>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</si>
  <si>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</si>
  <si>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</si>
  <si>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</si>
  <si>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</si>
  <si>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</si>
  <si>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</si>
  <si>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</si>
  <si>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</si>
  <si>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</si>
  <si>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</si>
  <si>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</si>
  <si>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</si>
  <si>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</si>
  <si>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</si>
  <si>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</si>
  <si>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</si>
  <si>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</si>
  <si>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</si>
  <si>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</si>
  <si>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</si>
  <si>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</si>
  <si>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</si>
  <si>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</si>
  <si>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</si>
  <si>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</si>
  <si>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</si>
  <si>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</si>
  <si>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</si>
  <si>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</si>
  <si>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</si>
  <si>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</si>
  <si>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</si>
  <si>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</si>
  <si>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</si>
  <si>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</si>
  <si>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</si>
  <si>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</si>
  <si>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</si>
  <si>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</si>
  <si>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</si>
  <si>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</si>
  <si>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</si>
  <si>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</si>
  <si>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</si>
  <si>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</si>
  <si>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</si>
  <si>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</si>
  <si>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</si>
  <si>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</si>
  <si>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</si>
  <si>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</si>
  <si>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</si>
  <si>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</si>
  <si>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</si>
  <si>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</si>
  <si>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</si>
  <si>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</si>
  <si>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</si>
  <si>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</si>
  <si>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</si>
  <si>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</si>
  <si>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</si>
  <si>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</si>
  <si>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</si>
  <si>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</si>
  <si>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</si>
  <si>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</si>
  <si>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</si>
  <si>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</si>
  <si>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</si>
  <si>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</si>
  <si>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</si>
  <si>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</si>
  <si>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</si>
  <si>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</si>
  <si>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</si>
  <si>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</si>
  <si>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</si>
  <si>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</si>
  <si>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</si>
  <si>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</si>
  <si>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</si>
  <si>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</si>
  <si>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</si>
  <si>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</si>
  <si>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</si>
  <si>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</si>
  <si>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</si>
  <si>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</si>
  <si>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</si>
  <si>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</si>
  <si>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</si>
  <si>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</si>
  <si>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</si>
  <si>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</si>
  <si>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</si>
  <si>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</si>
  <si>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</si>
  <si>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</si>
  <si>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</si>
  <si>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</si>
  <si>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</si>
  <si>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</si>
  <si>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</si>
  <si>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</si>
  <si>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</si>
  <si>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</si>
  <si>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</si>
  <si>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</si>
  <si>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</si>
  <si>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</si>
  <si>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</si>
  <si>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</si>
  <si>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</si>
  <si>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</si>
  <si>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</si>
  <si>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</si>
  <si>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</si>
  <si>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</si>
  <si>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</si>
  <si>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</si>
  <si>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</si>
  <si>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</si>
  <si>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</si>
  <si>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</si>
  <si>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</si>
  <si>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</si>
  <si>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</si>
  <si>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</si>
  <si>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</si>
  <si>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</si>
  <si>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</si>
  <si>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</si>
  <si>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</si>
  <si>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</si>
  <si>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</si>
  <si>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</si>
  <si>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</si>
  <si>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</si>
  <si>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</si>
  <si>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</si>
  <si>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</si>
  <si>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</si>
  <si>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</si>
  <si>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</si>
  <si>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</si>
  <si>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</si>
  <si>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</si>
  <si>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</si>
  <si>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</si>
  <si>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</si>
  <si>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</si>
  <si>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</si>
  <si>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</si>
  <si>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</si>
  <si>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</si>
  <si>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</si>
  <si>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</si>
  <si>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</si>
  <si>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</si>
  <si>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</si>
  <si>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</si>
  <si>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</si>
  <si>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</si>
  <si>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</si>
  <si>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</si>
  <si>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</si>
  <si>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</si>
  <si>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</si>
  <si>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</si>
  <si>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</si>
  <si>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</si>
  <si>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</si>
  <si>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</si>
  <si>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</si>
  <si>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</si>
  <si>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</si>
  <si>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</si>
  <si>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</si>
  <si>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</si>
  <si>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</si>
  <si>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</si>
  <si>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</si>
  <si>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</si>
  <si>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</si>
  <si>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</si>
  <si>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</si>
  <si>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</si>
  <si>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</si>
  <si>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</si>
  <si>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</si>
  <si>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</si>
  <si>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</si>
  <si>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</si>
  <si>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</si>
  <si>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</si>
  <si>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</si>
  <si>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</si>
  <si>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</si>
  <si>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</si>
  <si>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</si>
  <si>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</si>
  <si>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</si>
  <si>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</si>
  <si>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</si>
  <si>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</si>
  <si>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</si>
  <si>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</si>
  <si>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</si>
  <si>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</si>
  <si>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</si>
  <si>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</si>
  <si>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</si>
  <si>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</si>
  <si>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</si>
  <si>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</si>
  <si>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</si>
  <si>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</si>
  <si>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</si>
  <si>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</si>
  <si>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</si>
  <si>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</si>
  <si>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</si>
  <si>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</si>
  <si>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</si>
  <si>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</si>
  <si>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</si>
  <si>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</si>
  <si>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</si>
  <si>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</si>
  <si>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</si>
  <si>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</si>
  <si>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</si>
  <si>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</si>
  <si>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</si>
  <si>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</si>
  <si>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</si>
  <si>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</si>
  <si>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</si>
  <si>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</si>
  <si>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</si>
  <si>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</si>
  <si>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</si>
  <si>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</si>
  <si>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</si>
  <si>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</si>
  <si>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</si>
  <si>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</si>
  <si>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</si>
  <si>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</si>
  <si>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</si>
  <si>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</si>
  <si>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</si>
  <si>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</si>
  <si>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</si>
  <si>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</si>
  <si>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</si>
  <si>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</si>
  <si>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</si>
  <si>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</si>
  <si>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</si>
  <si>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</si>
  <si>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</si>
  <si>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</si>
  <si>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</si>
  <si>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</si>
  <si>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</si>
  <si>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</si>
  <si>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</si>
  <si>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</si>
  <si>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</si>
  <si>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</si>
  <si>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</si>
  <si>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</si>
  <si>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</si>
  <si>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</si>
  <si>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</si>
  <si>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</si>
  <si>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</si>
  <si>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</si>
  <si>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</si>
  <si>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</si>
  <si>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</si>
  <si>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</si>
  <si>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</si>
  <si>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</si>
  <si>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</si>
  <si>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</si>
  <si>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</si>
  <si>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</si>
  <si>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</si>
  <si>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</si>
  <si>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</si>
  <si>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</si>
  <si>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</si>
  <si>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</si>
  <si>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</si>
  <si>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</si>
  <si>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</si>
  <si>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</si>
  <si>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</si>
  <si>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</si>
  <si>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</si>
  <si>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</si>
  <si>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</si>
  <si>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</si>
  <si>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</si>
  <si>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</si>
  <si>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</si>
  <si>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</si>
  <si>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</si>
  <si>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</si>
  <si>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</si>
  <si>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</si>
  <si>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</si>
  <si>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</si>
  <si>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</si>
  <si>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</si>
  <si>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</si>
  <si>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</si>
  <si>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</si>
  <si>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0503</t>
  </si>
  <si>
    <t>Amortización de la Deuda Pública</t>
  </si>
  <si>
    <t>Comisiones y Gtos. Bancarios</t>
  </si>
  <si>
    <t>De Educación y Recreación</t>
  </si>
  <si>
    <t>De Salud y Saneamiento Ambiental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</si>
  <si>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</si>
  <si>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</si>
  <si>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</si>
  <si>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</si>
  <si>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</si>
  <si>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</si>
  <si>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</si>
  <si>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</si>
  <si>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</si>
  <si>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</si>
  <si>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</si>
  <si>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</si>
  <si>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</si>
  <si>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</si>
  <si>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</si>
  <si>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</si>
  <si>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</si>
  <si>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</si>
  <si>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</si>
  <si>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</si>
  <si>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TOTAL INVERSIÓN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</si>
  <si>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</si>
  <si>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</si>
  <si>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</si>
  <si>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</si>
  <si>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</si>
  <si>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</si>
  <si>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</si>
  <si>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Viales</t>
  </si>
  <si>
    <t>Obras de Infraestructura Diversas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</si>
  <si>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</si>
  <si>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</si>
  <si>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</si>
  <si>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</si>
  <si>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</si>
  <si>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</si>
  <si>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</si>
  <si>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</si>
  <si>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</si>
  <si>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</si>
  <si>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</si>
  <si>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</si>
  <si>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</si>
  <si>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</si>
  <si>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</si>
  <si>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</si>
  <si>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</si>
  <si>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</si>
  <si>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</si>
  <si>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</si>
  <si>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</si>
  <si>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</si>
  <si>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</si>
  <si>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</si>
  <si>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</si>
  <si>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</si>
  <si>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</si>
  <si>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</si>
  <si>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</si>
  <si>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</si>
  <si>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</si>
  <si>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</si>
  <si>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</si>
  <si>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</si>
  <si>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</si>
  <si>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</si>
  <si>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</si>
  <si>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</si>
  <si>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</si>
  <si>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</si>
  <si>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</si>
  <si>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</si>
  <si>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</si>
  <si>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</si>
  <si>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</si>
  <si>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</si>
  <si>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</si>
  <si>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</si>
  <si>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</si>
  <si>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</si>
  <si>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</si>
  <si>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</si>
  <si>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</si>
  <si>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</si>
  <si>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</si>
  <si>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</si>
  <si>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</si>
  <si>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</si>
  <si>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</si>
  <si>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</si>
  <si>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</si>
  <si>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</si>
  <si>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</si>
  <si>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</si>
  <si>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</si>
  <si>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</si>
  <si>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</si>
  <si>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</si>
  <si>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</si>
  <si>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</si>
  <si>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</si>
  <si>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</si>
  <si>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</si>
  <si>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</si>
  <si>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</si>
  <si>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</si>
  <si>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</si>
  <si>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</si>
  <si>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</si>
  <si>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</si>
  <si>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</si>
  <si>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</si>
  <si>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</si>
  <si>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</si>
  <si>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</si>
  <si>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</si>
  <si>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</si>
  <si>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</si>
  <si>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</si>
  <si>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Enc. Unidad de Niñez, Adolescencia, Juventud y Casa de la Cultura</t>
  </si>
  <si>
    <t>U. de Niñez, Adoles., Juv. y Casa de la Cultura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</si>
  <si>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</si>
  <si>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</si>
  <si>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</si>
  <si>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</si>
  <si>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</si>
  <si>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</si>
  <si>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</si>
  <si>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</si>
  <si>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</si>
  <si>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</si>
  <si>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</si>
  <si>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</si>
  <si>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</si>
  <si>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</si>
  <si>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</si>
  <si>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</si>
  <si>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</si>
  <si>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</si>
  <si>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</si>
  <si>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</si>
  <si>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</si>
  <si>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</si>
  <si>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</si>
  <si>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</si>
  <si>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Médico Gral. De Clinica Municipal</t>
  </si>
  <si>
    <t>Promotora Social</t>
  </si>
  <si>
    <t>Enc. de UACI</t>
  </si>
  <si>
    <t>Asesor Jurídico</t>
  </si>
  <si>
    <t>BENEFICIO ADICIONAL</t>
  </si>
  <si>
    <t>Por Plaza</t>
  </si>
  <si>
    <t>Sub- Total Linea 01:</t>
  </si>
  <si>
    <t>Sub- Total Linea 02:</t>
  </si>
  <si>
    <t>Transf. Ctes.</t>
  </si>
  <si>
    <t>Ingresos</t>
  </si>
  <si>
    <t>Beneficios adicionales</t>
  </si>
  <si>
    <t>0502</t>
  </si>
  <si>
    <t>Amort.  Endeud. Púb.</t>
  </si>
  <si>
    <t>Amort.  Intereses</t>
  </si>
  <si>
    <t>CUENTAS POR PAGAR DE AÑOS ANT. GTOS. CTES.</t>
  </si>
  <si>
    <t>Eléctricas y Comunicaciones</t>
  </si>
  <si>
    <t>AMORTIZACIÓN DE INTERESES</t>
  </si>
  <si>
    <t>51102</t>
  </si>
  <si>
    <t>MEDICOS HOSPITALARIOS</t>
  </si>
  <si>
    <t>Encargado de la Unidad OMADIS.</t>
  </si>
  <si>
    <t>INSAFORP</t>
  </si>
  <si>
    <t>25% FODES</t>
  </si>
  <si>
    <t>FONDO PROPIO</t>
  </si>
  <si>
    <t>AFP</t>
  </si>
  <si>
    <t>No. MESES</t>
  </si>
  <si>
    <t>Enc. De LA Oficina Municipal de Apoyo a las Personas con Discapacidad.</t>
  </si>
  <si>
    <t>PRODUCTOS  DE CUERO Y CAUCHO</t>
  </si>
  <si>
    <t>Proy. Des. Econ.</t>
  </si>
  <si>
    <t>DES. SOC.</t>
  </si>
  <si>
    <t>Seguridad Social Púb.</t>
  </si>
  <si>
    <t>Intereses por prestamos.</t>
  </si>
  <si>
    <t>ALCALDIA MUNICIPAL DE VILLA EL CARMEN
DEPARTAMENTO DE CUSCATLAN
PROGRAMACIÓN DE INGRESOS REALES 2018</t>
  </si>
  <si>
    <t>Jefe del CMAC (Ad-honorem)</t>
  </si>
  <si>
    <t>Adm. del Proyecto de Agua Potable</t>
  </si>
  <si>
    <t>Jeje Operador</t>
  </si>
  <si>
    <t>AGUINALDO</t>
  </si>
  <si>
    <t xml:space="preserve">Dietas </t>
  </si>
  <si>
    <t>Gastos de Representación</t>
  </si>
  <si>
    <t>Salarios</t>
  </si>
  <si>
    <t>50% del 25% FODES</t>
  </si>
  <si>
    <t>FORMA DE PAGO SALARIOS AÑO 2018</t>
  </si>
  <si>
    <t>Horas Extras</t>
  </si>
  <si>
    <t>Indemnizaciones</t>
  </si>
  <si>
    <t>BONIFICA-
CIONES</t>
  </si>
  <si>
    <t>Diferencia Ingresos - Egresos</t>
  </si>
  <si>
    <t>Diferencia Ingresos -Egresos</t>
  </si>
  <si>
    <t>3-463</t>
  </si>
  <si>
    <t>4 CUOTAS</t>
  </si>
  <si>
    <t>VEHICULO</t>
  </si>
  <si>
    <t>10-960</t>
  </si>
  <si>
    <t>12 CUOTAS</t>
  </si>
  <si>
    <t>FIDELIDAD Y/O FONDOS</t>
  </si>
  <si>
    <t>INCENDIO</t>
  </si>
  <si>
    <t>615 99</t>
  </si>
  <si>
    <t>616 01</t>
  </si>
  <si>
    <t>616 02</t>
  </si>
  <si>
    <t>616 03</t>
  </si>
  <si>
    <t>616 04</t>
  </si>
  <si>
    <t>616 06</t>
  </si>
  <si>
    <t>616 99</t>
  </si>
  <si>
    <t>Instalación de Paradas de Autobuses en zona urbana del Municipio.</t>
  </si>
  <si>
    <t>Instalación de Medidores en Sistemas de Agua Potable del Municipio.</t>
  </si>
  <si>
    <t>Concreteado de Tramo de Calle al Puente, Ba. El Centro, Villa El Carmen Cuscatlán.</t>
  </si>
  <si>
    <t>Reparación de Concreto de Calle a Comunidad Vista Hermosa, Cantón Concepción.</t>
  </si>
  <si>
    <t>Concreteado de Pasaje Washington, Barrio El Centro, Villa El Carmen, Cuscatlán.</t>
  </si>
  <si>
    <t>Total Línea de Trabajo</t>
  </si>
  <si>
    <t>SALDO INICIAL EN CAJA</t>
  </si>
  <si>
    <t>Construcción de Aulas Provisionales para Bachillerato  en Complejo Educativo Rafael Barraza Rodriguez.</t>
  </si>
  <si>
    <t>Concreteado de Calle a la Escuela, Cantón San Sebastian.</t>
  </si>
  <si>
    <t>1er. Reg. Propietario</t>
  </si>
  <si>
    <t>2do.  Reg. Propietario</t>
  </si>
  <si>
    <t>3er.   Reg. Suplente</t>
  </si>
  <si>
    <t>4to  Reg. Propietario</t>
  </si>
  <si>
    <t>5to. Reg. Propietario</t>
  </si>
  <si>
    <t>6to. Reg. Propietario</t>
  </si>
  <si>
    <t>1er.   Reg. Suplente</t>
  </si>
  <si>
    <t>4o  Reg. Suplente</t>
  </si>
  <si>
    <t>Operador</t>
  </si>
  <si>
    <t>Auxiliar de Tesoreria</t>
  </si>
  <si>
    <t>Bonif.</t>
  </si>
  <si>
    <t>TRANSF. CTES. AL SECTOR PUB. (COMURES, CDA, ASOMUC)</t>
  </si>
  <si>
    <t>Recolección, Transporte y Disposición Final de  Desechos  Sólidos del Municipio 2019.</t>
  </si>
  <si>
    <t>Fortalecimiento a la Educación 2019.</t>
  </si>
  <si>
    <t>Escuela de Fútbol Municipal y Apoyo al Deporte 2019.</t>
  </si>
  <si>
    <t>Programa de la Niñez, Adolescencia y Juventud 2019.</t>
  </si>
  <si>
    <t>Cercado de zonas verdes en Maria Mercedes y Vista Hermosa de Cantón Concepción.</t>
  </si>
  <si>
    <t>Concreteado de Calle al Conacaste, Cantón La paz.</t>
  </si>
  <si>
    <t>Concreteado de Calle Las Pilas a Poste Riel Km 39, Cantón Santa Lucia. II Etapa.</t>
  </si>
  <si>
    <t>Obras de Protección y Mejoramiento de Cancha Cantón El Carmen, Villa El Carmen, Cuscatlan.</t>
  </si>
  <si>
    <t>Concreteado de Calle a Sector los Cruces, Cantón Concepción.</t>
  </si>
  <si>
    <t>Concreteado de Calle Sector el Jocote, Cantón San Antonio.</t>
  </si>
  <si>
    <t>Concreteado de Calle Maria Mercedes, Cantón Concepción.</t>
  </si>
  <si>
    <t>Préstamos Internos</t>
  </si>
  <si>
    <t>3er.   Reg. Propietario</t>
  </si>
  <si>
    <t>AREA DE GESTION 1: CONDUCCIÓN ADMINISTRATIVA</t>
  </si>
  <si>
    <t>CUENTAS POR PAGAR DE AÑOS ANT. GTOS. DE CAPITAL.</t>
  </si>
  <si>
    <t>Cuentas por Pagar de Años Anteriores Gastos de Capital</t>
  </si>
  <si>
    <t>Productos Químicos</t>
  </si>
  <si>
    <t>Sueldos</t>
  </si>
  <si>
    <t>Productos Textiles y Vestuarios</t>
  </si>
  <si>
    <t>Libros, Textos, Útiles de Enseñanza y Publicaciones</t>
  </si>
  <si>
    <t>Bienes de Uso y Consumo Diversos</t>
  </si>
  <si>
    <t>A Personas Naturales</t>
  </si>
  <si>
    <t>Productos de Papel y Cartón</t>
  </si>
  <si>
    <t>Transportes, Fletes y Almacenamientos</t>
  </si>
  <si>
    <t>Atenciones Oficiales</t>
  </si>
  <si>
    <t>Servicios Generales y Arrendamientos Diversos</t>
  </si>
  <si>
    <t>Materiales Eléctricos</t>
  </si>
  <si>
    <t>Servicios de Publicidad</t>
  </si>
  <si>
    <t>Becas</t>
  </si>
  <si>
    <t>CUENTAS POR PAGAR DE AÑOS ANTERIORES GASTOS DE CAPITAL</t>
  </si>
  <si>
    <t>Reparacion, Limpieza y Chapeo de Calles y Caminos Vecinales en Diferentes Sectores del Municipio y Predios Municipales.</t>
  </si>
  <si>
    <t>Bonificacio-
nes</t>
  </si>
  <si>
    <t>TRANSF. CTES. AL SECTOR PUBLICO (COMURES, CDA, ASOMUC)</t>
  </si>
  <si>
    <t>Concejo, Alcaldesa, Secretaria Municipal,  Sindicatura, Auditoria Interna, Comunicaciones, Unidad de Acceso a la Información Publica,  Proyección Social, Motorista.</t>
  </si>
  <si>
    <t>Administradora Financiera, Presupuesto,Tesorería, Contabilidad, Cuentas Corrientes, Catastro, UACI, Colecturía,</t>
  </si>
  <si>
    <t>Proyectos, Registro del Estado Familiar, Ordenanzas, Clínica Municipal, Casa de la cultura, Unidad de la Mujer, Unidad de la  Niñez,  Adolescencia y Juventud, Unidad Contravencional, Oficina Municipal de Apoyo a la Discapacidad.</t>
  </si>
  <si>
    <t>CMAC, Servicios Generales, Agua Potable, Unidad de Medio Ambiental, Cementerios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</si>
  <si>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</si>
  <si>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</t>
  </si>
  <si>
    <t>Todas aquellas erogaciones destinadas a amortizar  el endeudamiento financiero municipal así como los gastos inherentes a la misma en concepto de intereses, comisiones, etc, por el uso del ahorro nacional.</t>
  </si>
  <si>
    <t>INVERSION 75%</t>
  </si>
  <si>
    <t>INVERSION 2%</t>
  </si>
  <si>
    <t>ALCALDIA MUNICIPAL DE VILLA EL CARMEN
DEPARTAMENTO DE CUSCATLAN
PLANILLA POR CONTRATO
AÑO: 2020</t>
  </si>
  <si>
    <t>Proyección de Recursos Humanos para el Año 2020</t>
  </si>
  <si>
    <t>AÑO 2020</t>
  </si>
  <si>
    <t xml:space="preserve"> Encargado de Presupuesto</t>
  </si>
  <si>
    <t>Presupuesto</t>
  </si>
  <si>
    <t>Encargado de mantenimiento</t>
  </si>
  <si>
    <t>Servicios Generales</t>
  </si>
  <si>
    <t>Servicios varios</t>
  </si>
  <si>
    <t>Encargado de U. de la Mujer</t>
  </si>
  <si>
    <t>U. de la Mujer</t>
  </si>
  <si>
    <t>Año 2020</t>
  </si>
  <si>
    <t>INGERSOS</t>
  </si>
  <si>
    <t>ALCALDIA MUNICIPAL DE VILLA EL CARMEN
DEPARTAMENTO DE CUSCATLAN
PROGRAMACIÓN DE INGRESOS REALES 2020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</si>
  <si>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2020</t>
    </r>
  </si>
  <si>
    <t>EJERCICIO FINANCIERO FISCAL: DEL 01 DE ENERO AL 31 DE DICIEMBRE DE 2020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</si>
  <si>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2020</t>
    </r>
  </si>
  <si>
    <t>EJERCICIO FINANCIERO FISCAL: 2020</t>
  </si>
  <si>
    <t>EJERCICIO FISCAL: 2 0 20</t>
  </si>
  <si>
    <t>5% FODES, Preinversión 2019.</t>
  </si>
  <si>
    <t>5% Preinversión FODES 2020.</t>
  </si>
  <si>
    <t>Consultorio Medico Municipal Dr. David Humberto Hernández Sánchez 2020.</t>
  </si>
  <si>
    <t>Recolección, Transporte y Disposición Final de  Desechos  Sólidos del Municipio 2020.</t>
  </si>
  <si>
    <t>Ampliación y Mejoras del Sistema de  Agua Potable en Diferentes Sectores del Municipio 2020.</t>
  </si>
  <si>
    <r>
      <t xml:space="preserve">UNIDAD AMBIENTAL: </t>
    </r>
    <r>
      <rPr>
        <sz val="10"/>
        <rFont val="Arial"/>
        <family val="2"/>
      </rPr>
      <t>Implementacion de Proyecto de Reciclaje, manejo de desechos solidos y divulgacion de Normativa ambiental en el municipio, reforestacion y  divulgacion de normativa forestal para la proteccion del recurso hidrico en el municipio</t>
    </r>
  </si>
  <si>
    <t>Campaña de de Limpieza, deschatarizacion y Fumigacion en los diferentes sectores del municipio 2020.</t>
  </si>
  <si>
    <t>Fortalecimiento a la Educación 2020.</t>
  </si>
  <si>
    <t>Escuela de Fútbol Municipal y Apoyo al Deporte 2020.</t>
  </si>
  <si>
    <t>Productos textiles y vestuarios</t>
  </si>
  <si>
    <t>Productos quimicos</t>
  </si>
  <si>
    <t>Energia electrica</t>
  </si>
  <si>
    <t>Arrendamiento de bienes inmuebles</t>
  </si>
  <si>
    <t>Maquinaria y equipo</t>
  </si>
  <si>
    <t>Casa de La Cultura 2020.</t>
  </si>
  <si>
    <t>Libros Textos, Utiles de enseñanza, y publicaciones</t>
  </si>
  <si>
    <t>Fiestas Patronales y Sectoriales 2020.</t>
  </si>
  <si>
    <t>Mejoras de Viviendas Permanentes y Construcción de Viviendas Temporales 2020.</t>
  </si>
  <si>
    <t>Instalacion del servicio de Energia Electrica para Familias en  Diferentes Sectores del Municipio 2020.</t>
  </si>
  <si>
    <t>Compra de vehiculo</t>
  </si>
  <si>
    <t>Vehiculo de transporte.</t>
  </si>
  <si>
    <t>Perforacion de Pozo Profundo y Equipamiento Canton El Carmen</t>
  </si>
  <si>
    <t>Concreteado de Calle Barcelona, Cantón Santa Lucia.</t>
  </si>
  <si>
    <t>Fortalecimiento al Sector Agrícola, Villa El Carmen, Cuscatlán 2020.</t>
  </si>
  <si>
    <t>Concreteado de caminos vecinales en diferentes Sectores</t>
  </si>
  <si>
    <t>Otros Proyectos y Programas</t>
  </si>
  <si>
    <t>Ejercicio Financiero Fiscal: 2020</t>
  </si>
  <si>
    <t>Salario por jornal</t>
  </si>
  <si>
    <t>Productos de papel y cartón</t>
  </si>
  <si>
    <t>Combustibles y lubricantes</t>
  </si>
  <si>
    <t>Herramientas, Repuestos y Accesorios</t>
  </si>
  <si>
    <t>Bienes de uso y consumo diverso</t>
  </si>
  <si>
    <t>Bienes muebles diversos</t>
  </si>
  <si>
    <t>Servicios generales y arrendamientos diversos</t>
  </si>
  <si>
    <t>Mobiliarios</t>
  </si>
  <si>
    <t>Maquinaria y Equipos</t>
  </si>
  <si>
    <t>Equipos informaticos</t>
  </si>
  <si>
    <t>Productos agropecuarios y forestales</t>
  </si>
  <si>
    <t>Materiales no metálicos y productos derivados</t>
  </si>
  <si>
    <t>Materiales metálicos y productos derivados</t>
  </si>
  <si>
    <t>Reparaciones y Mejoras al Edificio y Parque Municipal 2020.</t>
  </si>
  <si>
    <t>Productos químicos</t>
  </si>
  <si>
    <t>Productos no metálicos y productos derivados.</t>
  </si>
  <si>
    <t>Productos metálicos y productos derivados.</t>
  </si>
  <si>
    <t>Materiales eléctricos.</t>
  </si>
  <si>
    <t>Bienes muebles diversos.</t>
  </si>
  <si>
    <t>Mantenimiento y Reparacion de bienes muebles</t>
  </si>
  <si>
    <t>EJERCICIO FISCAL 2020</t>
  </si>
  <si>
    <t>MAQUINARIA Y EQUIPOS</t>
  </si>
  <si>
    <t>ALCALDIA MUNICIPAL DE VILLA EL CARMEN, DEPARTAMENTO DE CUSCATLAN,  PRESUPUESTO DE EGRESOS APROBADO PARA EL AÑO 2020</t>
  </si>
  <si>
    <t>2% FODES</t>
  </si>
  <si>
    <t>(AG 4) 2%</t>
  </si>
  <si>
    <t>(AG 3 ) 2%</t>
  </si>
  <si>
    <t>FONDOS FISDL</t>
  </si>
  <si>
    <t>Fondo General
75% FODES</t>
  </si>
  <si>
    <t>Fondo General
2% FODES</t>
  </si>
  <si>
    <t>Cuentas por Pagar de Años Anteriores</t>
  </si>
  <si>
    <t>FODES 75%</t>
  </si>
  <si>
    <t>FODES 2%</t>
  </si>
  <si>
    <t>Fondo General 75%</t>
  </si>
  <si>
    <t>Apoyo Especial al Adulto Mayor</t>
  </si>
  <si>
    <t>Rampa sobre autopista.</t>
  </si>
  <si>
    <t>Aceras Peatonales en área Urbana.</t>
  </si>
  <si>
    <t>Estructura de techo para Lavaderos Públicos El Progreso.</t>
  </si>
  <si>
    <t>Adquisición de Equipo Informático y de Oficina, Actualización de Software 2020.</t>
  </si>
  <si>
    <t>Mantenimiento y Reparaciones en los Sistemas de Agua Potable del Municipio 2020.</t>
  </si>
  <si>
    <t>Niñez, Adolescencia y Juventud 2020.</t>
  </si>
  <si>
    <t>Programa de la Mujer y Genero 2020.</t>
  </si>
  <si>
    <t>Programa de emprendedurismo en el Marco de la Unidad de Desarrollo Economico y Local.</t>
  </si>
  <si>
    <t>Construcción de muros en diferentes Sectores del Municipio 2020.</t>
  </si>
  <si>
    <t>0303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</si>
  <si>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 2% adicional FODES.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</si>
  <si>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 2% Adicional FODES.</t>
  </si>
  <si>
    <t>Estado de emergencia por Depresión Tropical 17-E 2019</t>
  </si>
  <si>
    <t>35</t>
  </si>
  <si>
    <t>PANDEMIA COVID -19</t>
  </si>
  <si>
    <t>3501</t>
  </si>
  <si>
    <t>Atención a la Salud.</t>
  </si>
  <si>
    <t>3502</t>
  </si>
  <si>
    <t>Asistencia a los Hogares.</t>
  </si>
  <si>
    <t>3504</t>
  </si>
  <si>
    <t>Recuperación  Económica</t>
  </si>
  <si>
    <t>36</t>
  </si>
  <si>
    <t>Todas aquellas acciones, proyectos o programas, ejecutados con el fin de contener la propagacion del COVID-19, y mitigar el impacto del mismo, en los horgares y la economia local.</t>
  </si>
  <si>
    <t>TORMENTA TROPICAL AMANDA</t>
  </si>
  <si>
    <t>3601</t>
  </si>
  <si>
    <t>Rehabilitacion de Caminos</t>
  </si>
  <si>
    <t>3603</t>
  </si>
  <si>
    <t>Rehabilitacion de Infraestructura</t>
  </si>
  <si>
    <t>Todas aquellas acciones, proyectos o programas, ejecutados con el fin de mitigar el impacto de la Tormenta tropical Amanda.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</si>
</sst>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  <numFmt numFmtId="177" formatCode="_-[$$-440A]* #,##0.00_-;\-[$$-440A]* #,##0.00_-;_-[$$-440A]* &quot;-&quot;??_-;_-@_-"/>
    <numFmt numFmtId="178" formatCode="_([$$-409]* #,##0.000_);_([$$-409]* \(#,##0.000\);_([$$-409]* &quot;-&quot;??_);_(@_)"/>
    <numFmt numFmtId="179" formatCode="0.000"/>
    <numFmt numFmtId="180" formatCode="#,##0.000000000"/>
    <numFmt numFmtId="181" formatCode="_-[$$-440A]* #,##0.000_ ;_-[$$-440A]* \-#,##0.000\ ;_-[$$-440A]* &quot;-&quot;??_ ;_-@_ "/>
  </numFmts>
  <fonts count="78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 Rounded MT Bold"/>
      <family val="2"/>
    </font>
    <font>
      <b/>
      <sz val="9"/>
      <color theme="0"/>
      <name val="Bookman Old Style"/>
      <family val="1"/>
    </font>
    <font>
      <sz val="4"/>
      <name val="Arial"/>
      <family val="2"/>
    </font>
    <font>
      <sz val="9"/>
      <color theme="0"/>
      <name val="Bookman Old Style"/>
      <family val="1"/>
    </font>
    <font>
      <sz val="7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sto MT"/>
      <family val="1"/>
    </font>
    <font>
      <b/>
      <sz val="12"/>
      <name val="Arial"/>
      <family val="2"/>
    </font>
    <font>
      <sz val="10"/>
      <name val="Arial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22" borderId="0" applyNumberFormat="0" applyBorder="0" applyAlignment="0" applyProtection="0"/>
    <xf numFmtId="0" fontId="4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453">
    <xf numFmtId="0" fontId="0" fillId="0" borderId="0" xfId="0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167" fontId="3" fillId="0" borderId="0" xfId="0" applyNumberFormat="1" applyFont="1"/>
    <xf numFmtId="4" fontId="3" fillId="0" borderId="0" xfId="31" applyNumberFormat="1" applyFont="1"/>
    <xf numFmtId="4" fontId="4" fillId="0" borderId="22" xfId="31" applyNumberFormat="1" applyFont="1" applyBorder="1"/>
    <xf numFmtId="0" fontId="4" fillId="0" borderId="0" xfId="0" applyFont="1"/>
    <xf numFmtId="4" fontId="4" fillId="0" borderId="26" xfId="31" applyNumberFormat="1" applyFont="1" applyBorder="1"/>
    <xf numFmtId="4" fontId="4" fillId="0" borderId="27" xfId="31" applyNumberFormat="1" applyFont="1" applyBorder="1"/>
    <xf numFmtId="4" fontId="4" fillId="0" borderId="21" xfId="31" applyNumberFormat="1" applyFont="1" applyBorder="1"/>
    <xf numFmtId="0" fontId="3" fillId="0" borderId="30" xfId="0" applyFont="1" applyBorder="1" applyAlignment="1">
      <alignment horizontal="center"/>
    </xf>
    <xf numFmtId="4" fontId="0" fillId="0" borderId="0" xfId="0" applyNumberFormat="1"/>
    <xf numFmtId="4" fontId="2" fillId="0" borderId="0" xfId="31" applyNumberFormat="1"/>
    <xf numFmtId="49" fontId="2" fillId="0" borderId="0" xfId="31" applyNumberFormat="1" applyAlignment="1">
      <alignment horizontal="left"/>
    </xf>
    <xf numFmtId="167" fontId="3" fillId="0" borderId="0" xfId="31" applyNumberFormat="1" applyFont="1"/>
    <xf numFmtId="165" fontId="3" fillId="0" borderId="0" xfId="0" applyNumberFormat="1" applyFont="1" applyAlignment="1">
      <alignment horizontal="center" wrapText="1"/>
    </xf>
    <xf numFmtId="165" fontId="4" fillId="0" borderId="0" xfId="36" applyFont="1"/>
    <xf numFmtId="165" fontId="3" fillId="0" borderId="0" xfId="36" applyFont="1"/>
    <xf numFmtId="164" fontId="0" fillId="0" borderId="0" xfId="37" applyFont="1"/>
    <xf numFmtId="165" fontId="0" fillId="0" borderId="0" xfId="33" applyFont="1"/>
    <xf numFmtId="4" fontId="3" fillId="0" borderId="0" xfId="0" applyNumberFormat="1" applyFont="1"/>
    <xf numFmtId="49" fontId="3" fillId="0" borderId="41" xfId="0" applyNumberFormat="1" applyFont="1" applyBorder="1" applyAlignment="1">
      <alignment horizontal="center"/>
    </xf>
    <xf numFmtId="0" fontId="0" fillId="0" borderId="20" xfId="0" applyBorder="1"/>
    <xf numFmtId="49" fontId="0" fillId="0" borderId="0" xfId="0" applyNumberFormat="1"/>
    <xf numFmtId="0" fontId="0" fillId="24" borderId="0" xfId="0" applyFill="1"/>
    <xf numFmtId="0" fontId="0" fillId="25" borderId="10" xfId="0" applyFill="1" applyBorder="1"/>
    <xf numFmtId="49" fontId="3" fillId="25" borderId="10" xfId="0" applyNumberFormat="1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justify" wrapText="1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38" fillId="0" borderId="0" xfId="0" applyFont="1"/>
    <xf numFmtId="8" fontId="38" fillId="0" borderId="0" xfId="0" applyNumberFormat="1" applyFont="1" applyAlignment="1">
      <alignment horizontal="center"/>
    </xf>
    <xf numFmtId="0" fontId="13" fillId="0" borderId="20" xfId="0" applyFont="1" applyBorder="1"/>
    <xf numFmtId="0" fontId="3" fillId="0" borderId="47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wrapText="1"/>
    </xf>
    <xf numFmtId="0" fontId="3" fillId="0" borderId="6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8" fontId="4" fillId="0" borderId="46" xfId="0" applyNumberFormat="1" applyFont="1" applyBorder="1" applyAlignment="1">
      <alignment horizontal="center"/>
    </xf>
    <xf numFmtId="8" fontId="4" fillId="0" borderId="64" xfId="0" applyNumberFormat="1" applyFont="1" applyBorder="1" applyAlignment="1">
      <alignment horizontal="center"/>
    </xf>
    <xf numFmtId="164" fontId="38" fillId="0" borderId="0" xfId="0" applyNumberFormat="1" applyFont="1"/>
    <xf numFmtId="8" fontId="4" fillId="0" borderId="36" xfId="0" applyNumberFormat="1" applyFont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8" fontId="3" fillId="0" borderId="36" xfId="0" applyNumberFormat="1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8" fontId="3" fillId="0" borderId="52" xfId="0" applyNumberFormat="1" applyFont="1" applyBorder="1" applyAlignment="1">
      <alignment horizontal="center"/>
    </xf>
    <xf numFmtId="8" fontId="3" fillId="0" borderId="65" xfId="0" applyNumberFormat="1" applyFont="1" applyBorder="1" applyAlignment="1">
      <alignment horizontal="center"/>
    </xf>
    <xf numFmtId="8" fontId="3" fillId="0" borderId="30" xfId="0" applyNumberFormat="1" applyFont="1" applyBorder="1" applyAlignment="1">
      <alignment horizontal="center"/>
    </xf>
    <xf numFmtId="8" fontId="3" fillId="0" borderId="47" xfId="0" applyNumberFormat="1" applyFont="1" applyBorder="1" applyAlignment="1">
      <alignment horizontal="center"/>
    </xf>
    <xf numFmtId="10" fontId="39" fillId="0" borderId="35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3" fillId="0" borderId="66" xfId="0" applyFont="1" applyBorder="1" applyAlignment="1">
      <alignment horizontal="center"/>
    </xf>
    <xf numFmtId="0" fontId="13" fillId="0" borderId="67" xfId="0" applyFont="1" applyBorder="1"/>
    <xf numFmtId="167" fontId="5" fillId="0" borderId="68" xfId="35" applyNumberFormat="1" applyFont="1" applyBorder="1" applyAlignment="1">
      <alignment horizontal="center"/>
    </xf>
    <xf numFmtId="4" fontId="13" fillId="0" borderId="0" xfId="0" applyNumberFormat="1" applyFont="1"/>
    <xf numFmtId="0" fontId="13" fillId="0" borderId="0" xfId="0" applyFont="1"/>
    <xf numFmtId="0" fontId="7" fillId="0" borderId="20" xfId="0" applyFont="1" applyBorder="1"/>
    <xf numFmtId="0" fontId="13" fillId="0" borderId="69" xfId="0" applyFont="1" applyBorder="1" applyAlignment="1">
      <alignment horizontal="center"/>
    </xf>
    <xf numFmtId="0" fontId="13" fillId="0" borderId="50" xfId="0" applyFont="1" applyBorder="1"/>
    <xf numFmtId="0" fontId="13" fillId="0" borderId="16" xfId="0" applyFont="1" applyBorder="1" applyAlignment="1">
      <alignment horizontal="center"/>
    </xf>
    <xf numFmtId="0" fontId="5" fillId="0" borderId="70" xfId="0" applyFont="1" applyBorder="1"/>
    <xf numFmtId="0" fontId="5" fillId="0" borderId="67" xfId="0" applyFont="1" applyBorder="1"/>
    <xf numFmtId="167" fontId="5" fillId="0" borderId="71" xfId="35" applyNumberFormat="1" applyFont="1" applyBorder="1" applyAlignment="1">
      <alignment horizontal="center"/>
    </xf>
    <xf numFmtId="167" fontId="5" fillId="0" borderId="23" xfId="35" applyNumberFormat="1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2" xfId="0" applyFont="1" applyBorder="1"/>
    <xf numFmtId="167" fontId="5" fillId="0" borderId="30" xfId="35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62" xfId="0" applyFont="1" applyBorder="1"/>
    <xf numFmtId="167" fontId="5" fillId="0" borderId="30" xfId="35" applyNumberFormat="1" applyFont="1" applyBorder="1"/>
    <xf numFmtId="0" fontId="42" fillId="0" borderId="0" xfId="0" applyFont="1"/>
    <xf numFmtId="0" fontId="15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4" xfId="0" applyBorder="1"/>
    <xf numFmtId="0" fontId="3" fillId="0" borderId="34" xfId="0" applyFont="1" applyBorder="1"/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62" xfId="0" applyBorder="1"/>
    <xf numFmtId="0" fontId="15" fillId="0" borderId="4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5" xfId="0" applyFont="1" applyBorder="1"/>
    <xf numFmtId="49" fontId="44" fillId="0" borderId="41" xfId="0" applyNumberFormat="1" applyFont="1" applyBorder="1" applyAlignment="1">
      <alignment horizontal="center"/>
    </xf>
    <xf numFmtId="49" fontId="44" fillId="0" borderId="33" xfId="0" applyNumberFormat="1" applyFont="1" applyBorder="1" applyAlignment="1">
      <alignment horizontal="center"/>
    </xf>
    <xf numFmtId="49" fontId="44" fillId="0" borderId="74" xfId="0" applyNumberFormat="1" applyFont="1" applyBorder="1" applyAlignment="1">
      <alignment horizontal="center"/>
    </xf>
    <xf numFmtId="49" fontId="44" fillId="0" borderId="44" xfId="0" applyNumberFormat="1" applyFont="1" applyBorder="1" applyAlignment="1">
      <alignment horizontal="center"/>
    </xf>
    <xf numFmtId="49" fontId="44" fillId="0" borderId="35" xfId="0" applyNumberFormat="1" applyFont="1" applyBorder="1" applyAlignment="1">
      <alignment horizontal="center"/>
    </xf>
    <xf numFmtId="49" fontId="44" fillId="0" borderId="31" xfId="0" applyNumberFormat="1" applyFont="1" applyBorder="1" applyAlignment="1">
      <alignment horizontal="center"/>
    </xf>
    <xf numFmtId="49" fontId="0" fillId="0" borderId="33" xfId="0" applyNumberFormat="1" applyBorder="1"/>
    <xf numFmtId="49" fontId="3" fillId="0" borderId="34" xfId="0" applyNumberFormat="1" applyFont="1" applyBorder="1"/>
    <xf numFmtId="49" fontId="0" fillId="0" borderId="34" xfId="0" applyNumberFormat="1" applyBorder="1"/>
    <xf numFmtId="0" fontId="3" fillId="0" borderId="4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9" fontId="42" fillId="0" borderId="0" xfId="0" applyNumberFormat="1" applyFont="1"/>
    <xf numFmtId="49" fontId="3" fillId="0" borderId="30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0" xfId="0" applyNumberFormat="1" applyBorder="1"/>
    <xf numFmtId="0" fontId="9" fillId="0" borderId="0" xfId="0" applyFont="1" applyAlignment="1">
      <alignment horizontal="right"/>
    </xf>
    <xf numFmtId="0" fontId="13" fillId="0" borderId="20" xfId="0" applyFont="1" applyBorder="1" applyAlignment="1">
      <alignment wrapText="1"/>
    </xf>
    <xf numFmtId="0" fontId="46" fillId="0" borderId="0" xfId="0" applyFont="1" applyAlignment="1">
      <alignment horizontal="center"/>
    </xf>
    <xf numFmtId="167" fontId="0" fillId="26" borderId="0" xfId="0" applyNumberFormat="1" applyFill="1"/>
    <xf numFmtId="0" fontId="4" fillId="25" borderId="10" xfId="0" applyFont="1" applyFill="1" applyBorder="1" applyAlignment="1">
      <alignment vertical="center" wrapText="1"/>
    </xf>
    <xf numFmtId="0" fontId="0" fillId="26" borderId="0" xfId="0" applyFill="1"/>
    <xf numFmtId="164" fontId="0" fillId="26" borderId="0" xfId="0" applyNumberFormat="1" applyFill="1"/>
    <xf numFmtId="164" fontId="42" fillId="0" borderId="0" xfId="37" applyFont="1"/>
    <xf numFmtId="164" fontId="15" fillId="0" borderId="33" xfId="37" applyFont="1" applyBorder="1" applyAlignment="1">
      <alignment horizontal="center"/>
    </xf>
    <xf numFmtId="164" fontId="3" fillId="0" borderId="34" xfId="37" applyFont="1" applyBorder="1" applyAlignment="1">
      <alignment horizontal="center" wrapText="1"/>
    </xf>
    <xf numFmtId="164" fontId="4" fillId="0" borderId="34" xfId="37" applyFont="1" applyBorder="1"/>
    <xf numFmtId="164" fontId="3" fillId="0" borderId="34" xfId="37" applyFont="1" applyBorder="1"/>
    <xf numFmtId="164" fontId="0" fillId="0" borderId="35" xfId="37" applyFont="1" applyBorder="1"/>
    <xf numFmtId="164" fontId="3" fillId="0" borderId="47" xfId="37" applyFont="1" applyBorder="1"/>
    <xf numFmtId="164" fontId="15" fillId="0" borderId="78" xfId="37" applyFont="1" applyBorder="1" applyAlignment="1">
      <alignment horizontal="center"/>
    </xf>
    <xf numFmtId="164" fontId="3" fillId="0" borderId="23" xfId="37" applyFont="1" applyBorder="1"/>
    <xf numFmtId="164" fontId="3" fillId="0" borderId="79" xfId="37" applyFont="1" applyBorder="1"/>
    <xf numFmtId="164" fontId="3" fillId="0" borderId="30" xfId="37" applyFont="1" applyBorder="1" applyAlignment="1">
      <alignment horizontal="center"/>
    </xf>
    <xf numFmtId="164" fontId="2" fillId="0" borderId="34" xfId="37" applyBorder="1"/>
    <xf numFmtId="164" fontId="3" fillId="0" borderId="30" xfId="37" applyFont="1" applyBorder="1"/>
    <xf numFmtId="164" fontId="3" fillId="0" borderId="74" xfId="37" applyFont="1" applyBorder="1" applyAlignment="1">
      <alignment horizontal="center"/>
    </xf>
    <xf numFmtId="8" fontId="50" fillId="0" borderId="0" xfId="0" applyNumberFormat="1" applyFont="1"/>
    <xf numFmtId="164" fontId="3" fillId="0" borderId="33" xfId="37" applyFont="1" applyBorder="1" applyAlignment="1">
      <alignment horizontal="right"/>
    </xf>
    <xf numFmtId="164" fontId="3" fillId="0" borderId="34" xfId="37" applyFont="1" applyBorder="1" applyAlignment="1">
      <alignment horizontal="right"/>
    </xf>
    <xf numFmtId="164" fontId="4" fillId="0" borderId="34" xfId="37" applyFont="1" applyBorder="1" applyAlignment="1">
      <alignment horizontal="right"/>
    </xf>
    <xf numFmtId="164" fontId="4" fillId="0" borderId="35" xfId="37" applyFont="1" applyBorder="1" applyAlignment="1">
      <alignment horizontal="right"/>
    </xf>
    <xf numFmtId="164" fontId="3" fillId="0" borderId="35" xfId="37" applyFont="1" applyBorder="1" applyAlignment="1">
      <alignment horizontal="right"/>
    </xf>
    <xf numFmtId="164" fontId="3" fillId="0" borderId="30" xfId="37" applyFont="1" applyBorder="1" applyAlignment="1">
      <alignment horizontal="right"/>
    </xf>
    <xf numFmtId="164" fontId="4" fillId="0" borderId="22" xfId="37" applyFont="1" applyBorder="1"/>
    <xf numFmtId="164" fontId="4" fillId="0" borderId="21" xfId="37" applyFont="1" applyBorder="1"/>
    <xf numFmtId="164" fontId="3" fillId="0" borderId="22" xfId="37" applyFont="1" applyBorder="1"/>
    <xf numFmtId="164" fontId="3" fillId="0" borderId="21" xfId="37" applyFont="1" applyBorder="1"/>
    <xf numFmtId="164" fontId="0" fillId="0" borderId="22" xfId="37" applyFont="1" applyBorder="1"/>
    <xf numFmtId="164" fontId="0" fillId="0" borderId="21" xfId="37" applyFont="1" applyBorder="1"/>
    <xf numFmtId="164" fontId="12" fillId="0" borderId="22" xfId="37" applyFont="1" applyBorder="1"/>
    <xf numFmtId="164" fontId="12" fillId="0" borderId="21" xfId="37" applyFont="1" applyBorder="1"/>
    <xf numFmtId="164" fontId="0" fillId="0" borderId="29" xfId="37" applyFont="1" applyBorder="1"/>
    <xf numFmtId="164" fontId="0" fillId="0" borderId="81" xfId="37" applyFont="1" applyBorder="1"/>
    <xf numFmtId="164" fontId="3" fillId="0" borderId="32" xfId="37" applyFont="1" applyBorder="1"/>
    <xf numFmtId="0" fontId="3" fillId="0" borderId="0" xfId="0" applyFont="1" applyAlignment="1">
      <alignment horizontal="center" wrapText="1"/>
    </xf>
    <xf numFmtId="173" fontId="3" fillId="0" borderId="46" xfId="0" applyNumberFormat="1" applyFont="1" applyBorder="1"/>
    <xf numFmtId="173" fontId="3" fillId="0" borderId="10" xfId="0" applyNumberFormat="1" applyFont="1" applyBorder="1"/>
    <xf numFmtId="173" fontId="4" fillId="0" borderId="10" xfId="0" applyNumberFormat="1" applyFont="1" applyBorder="1"/>
    <xf numFmtId="173" fontId="3" fillId="0" borderId="30" xfId="0" applyNumberFormat="1" applyFont="1" applyBorder="1"/>
    <xf numFmtId="0" fontId="39" fillId="0" borderId="35" xfId="0" applyFont="1" applyBorder="1" applyAlignment="1">
      <alignment horizontal="center" vertical="center"/>
    </xf>
    <xf numFmtId="170" fontId="4" fillId="0" borderId="0" xfId="0" applyNumberFormat="1" applyFont="1"/>
    <xf numFmtId="173" fontId="4" fillId="0" borderId="0" xfId="0" applyNumberFormat="1" applyFont="1"/>
    <xf numFmtId="8" fontId="4" fillId="0" borderId="0" xfId="0" applyNumberFormat="1" applyFont="1"/>
    <xf numFmtId="167" fontId="13" fillId="0" borderId="23" xfId="35" applyNumberFormat="1" applyFont="1" applyBorder="1"/>
    <xf numFmtId="167" fontId="5" fillId="0" borderId="68" xfId="35" applyNumberFormat="1" applyFont="1" applyBorder="1"/>
    <xf numFmtId="167" fontId="13" fillId="0" borderId="68" xfId="35" applyNumberFormat="1" applyFont="1" applyBorder="1"/>
    <xf numFmtId="167" fontId="13" fillId="0" borderId="49" xfId="35" applyNumberFormat="1" applyFont="1" applyBorder="1"/>
    <xf numFmtId="167" fontId="13" fillId="0" borderId="68" xfId="35" applyNumberFormat="1" applyFont="1" applyBorder="1" applyAlignment="1">
      <alignment horizontal="center"/>
    </xf>
    <xf numFmtId="167" fontId="5" fillId="0" borderId="47" xfId="35" applyNumberFormat="1" applyFont="1" applyBorder="1" applyAlignment="1">
      <alignment horizontal="center"/>
    </xf>
    <xf numFmtId="167" fontId="5" fillId="0" borderId="47" xfId="35" applyNumberFormat="1" applyFont="1" applyBorder="1"/>
    <xf numFmtId="0" fontId="13" fillId="0" borderId="33" xfId="0" applyFont="1" applyBorder="1"/>
    <xf numFmtId="0" fontId="13" fillId="0" borderId="33" xfId="0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167" fontId="13" fillId="0" borderId="33" xfId="35" applyNumberFormat="1" applyFont="1" applyBorder="1"/>
    <xf numFmtId="0" fontId="13" fillId="0" borderId="34" xfId="0" applyFont="1" applyBorder="1"/>
    <xf numFmtId="0" fontId="13" fillId="0" borderId="34" xfId="0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167" fontId="13" fillId="26" borderId="34" xfId="35" applyNumberFormat="1" applyFont="1" applyFill="1" applyBorder="1" applyAlignment="1">
      <alignment horizontal="center"/>
    </xf>
    <xf numFmtId="167" fontId="13" fillId="0" borderId="34" xfId="35" applyNumberFormat="1" applyFont="1" applyBorder="1"/>
    <xf numFmtId="167" fontId="5" fillId="0" borderId="34" xfId="35" applyNumberFormat="1" applyFont="1" applyBorder="1"/>
    <xf numFmtId="0" fontId="13" fillId="0" borderId="82" xfId="0" applyFont="1" applyBorder="1"/>
    <xf numFmtId="0" fontId="5" fillId="0" borderId="82" xfId="0" applyFont="1" applyBorder="1" applyAlignment="1">
      <alignment horizontal="center"/>
    </xf>
    <xf numFmtId="49" fontId="13" fillId="0" borderId="82" xfId="0" applyNumberFormat="1" applyFont="1" applyBorder="1" applyAlignment="1">
      <alignment horizontal="center"/>
    </xf>
    <xf numFmtId="167" fontId="5" fillId="0" borderId="82" xfId="35" applyNumberFormat="1" applyFont="1" applyBorder="1" applyAlignment="1">
      <alignment horizontal="center"/>
    </xf>
    <xf numFmtId="167" fontId="5" fillId="0" borderId="82" xfId="35" applyNumberFormat="1" applyFont="1" applyBorder="1"/>
    <xf numFmtId="0" fontId="13" fillId="0" borderId="82" xfId="0" applyFont="1" applyBorder="1" applyAlignment="1">
      <alignment horizontal="center"/>
    </xf>
    <xf numFmtId="167" fontId="13" fillId="0" borderId="82" xfId="35" applyNumberFormat="1" applyFont="1" applyBorder="1" applyAlignment="1">
      <alignment horizontal="center"/>
    </xf>
    <xf numFmtId="0" fontId="13" fillId="0" borderId="37" xfId="0" applyFont="1" applyBorder="1"/>
    <xf numFmtId="0" fontId="13" fillId="0" borderId="37" xfId="0" applyFont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167" fontId="13" fillId="0" borderId="37" xfId="35" applyNumberFormat="1" applyFont="1" applyBorder="1"/>
    <xf numFmtId="0" fontId="13" fillId="0" borderId="83" xfId="0" applyFont="1" applyBorder="1"/>
    <xf numFmtId="0" fontId="5" fillId="0" borderId="83" xfId="0" applyFont="1" applyBorder="1" applyAlignment="1">
      <alignment horizontal="center"/>
    </xf>
    <xf numFmtId="49" fontId="13" fillId="0" borderId="83" xfId="0" applyNumberFormat="1" applyFont="1" applyBorder="1" applyAlignment="1">
      <alignment horizontal="center"/>
    </xf>
    <xf numFmtId="167" fontId="5" fillId="0" borderId="83" xfId="35" applyNumberFormat="1" applyFont="1" applyBorder="1" applyAlignment="1">
      <alignment horizontal="center"/>
    </xf>
    <xf numFmtId="0" fontId="5" fillId="0" borderId="83" xfId="0" applyFont="1" applyBorder="1"/>
    <xf numFmtId="49" fontId="5" fillId="0" borderId="83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34" xfId="35" applyNumberFormat="1" applyFont="1" applyBorder="1" applyAlignment="1">
      <alignment horizontal="center"/>
    </xf>
    <xf numFmtId="167" fontId="5" fillId="0" borderId="35" xfId="35" applyNumberFormat="1" applyFont="1" applyBorder="1" applyAlignment="1">
      <alignment horizontal="center"/>
    </xf>
    <xf numFmtId="0" fontId="5" fillId="0" borderId="30" xfId="0" applyFont="1" applyBorder="1"/>
    <xf numFmtId="49" fontId="5" fillId="0" borderId="30" xfId="0" applyNumberFormat="1" applyFont="1" applyBorder="1" applyAlignment="1">
      <alignment horizontal="center"/>
    </xf>
    <xf numFmtId="0" fontId="13" fillId="0" borderId="30" xfId="0" applyFont="1" applyBorder="1"/>
    <xf numFmtId="49" fontId="13" fillId="0" borderId="30" xfId="0" applyNumberFormat="1" applyFont="1" applyBorder="1" applyAlignment="1">
      <alignment horizontal="center"/>
    </xf>
    <xf numFmtId="10" fontId="39" fillId="0" borderId="33" xfId="0" applyNumberFormat="1" applyFont="1" applyBorder="1" applyAlignment="1">
      <alignment horizontal="center" vertical="center"/>
    </xf>
    <xf numFmtId="9" fontId="39" fillId="0" borderId="3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horizontal="center" vertical="center"/>
    </xf>
    <xf numFmtId="10" fontId="39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8" fontId="0" fillId="26" borderId="0" xfId="0" applyNumberFormat="1" applyFill="1"/>
    <xf numFmtId="167" fontId="3" fillId="26" borderId="0" xfId="0" applyNumberFormat="1" applyFont="1" applyFill="1"/>
    <xf numFmtId="172" fontId="4" fillId="0" borderId="0" xfId="0" applyNumberFormat="1" applyFont="1"/>
    <xf numFmtId="0" fontId="16" fillId="0" borderId="31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4" fillId="0" borderId="20" xfId="0" applyNumberFormat="1" applyFont="1" applyBorder="1"/>
    <xf numFmtId="49" fontId="4" fillId="0" borderId="34" xfId="0" applyNumberFormat="1" applyFont="1" applyBorder="1"/>
    <xf numFmtId="49" fontId="4" fillId="0" borderId="44" xfId="0" applyNumberFormat="1" applyFont="1" applyBorder="1"/>
    <xf numFmtId="49" fontId="4" fillId="0" borderId="35" xfId="0" applyNumberFormat="1" applyFont="1" applyBorder="1"/>
    <xf numFmtId="174" fontId="4" fillId="0" borderId="0" xfId="0" applyNumberFormat="1" applyFont="1"/>
    <xf numFmtId="173" fontId="2" fillId="0" borderId="10" xfId="0" applyNumberFormat="1" applyFont="1" applyBorder="1"/>
    <xf numFmtId="0" fontId="53" fillId="0" borderId="0" xfId="0" applyFont="1"/>
    <xf numFmtId="168" fontId="3" fillId="26" borderId="0" xfId="0" applyNumberFormat="1" applyFont="1" applyFill="1"/>
    <xf numFmtId="173" fontId="3" fillId="0" borderId="36" xfId="0" applyNumberFormat="1" applyFont="1" applyBorder="1"/>
    <xf numFmtId="173" fontId="4" fillId="0" borderId="36" xfId="0" applyNumberFormat="1" applyFont="1" applyBorder="1"/>
    <xf numFmtId="0" fontId="3" fillId="0" borderId="14" xfId="0" applyFont="1" applyBorder="1" applyAlignment="1">
      <alignment horizontal="center" vertical="center" wrapText="1"/>
    </xf>
    <xf numFmtId="173" fontId="3" fillId="0" borderId="142" xfId="0" applyNumberFormat="1" applyFont="1" applyBorder="1"/>
    <xf numFmtId="173" fontId="4" fillId="0" borderId="142" xfId="0" applyNumberFormat="1" applyFont="1" applyBorder="1"/>
    <xf numFmtId="4" fontId="8" fillId="0" borderId="0" xfId="31" applyNumberFormat="1" applyFont="1"/>
    <xf numFmtId="0" fontId="47" fillId="0" borderId="30" xfId="0" applyFont="1" applyBorder="1" applyAlignment="1">
      <alignment horizontal="center" wrapText="1"/>
    </xf>
    <xf numFmtId="0" fontId="47" fillId="0" borderId="53" xfId="0" applyFont="1" applyBorder="1" applyAlignment="1">
      <alignment horizontal="center" wrapText="1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2" fillId="0" borderId="62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Border="1"/>
    <xf numFmtId="4" fontId="8" fillId="0" borderId="34" xfId="31" applyNumberFormat="1" applyFont="1" applyBorder="1"/>
    <xf numFmtId="0" fontId="7" fillId="0" borderId="34" xfId="0" applyFont="1" applyBorder="1"/>
    <xf numFmtId="0" fontId="8" fillId="0" borderId="34" xfId="0" applyFont="1" applyBorder="1" applyAlignment="1">
      <alignment vertical="justify" wrapText="1"/>
    </xf>
    <xf numFmtId="0" fontId="8" fillId="0" borderId="34" xfId="0" applyFont="1" applyBorder="1"/>
    <xf numFmtId="0" fontId="6" fillId="0" borderId="34" xfId="0" applyFont="1" applyBorder="1"/>
    <xf numFmtId="4" fontId="3" fillId="0" borderId="30" xfId="31" applyNumberFormat="1" applyFont="1" applyBorder="1" applyAlignment="1">
      <alignment horizontal="center"/>
    </xf>
    <xf numFmtId="0" fontId="2" fillId="0" borderId="0" xfId="0" applyFont="1"/>
    <xf numFmtId="0" fontId="13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167" fontId="13" fillId="0" borderId="34" xfId="35" applyNumberFormat="1" applyFont="1" applyBorder="1" applyAlignment="1">
      <alignment vertical="center"/>
    </xf>
    <xf numFmtId="167" fontId="13" fillId="0" borderId="23" xfId="35" applyNumberFormat="1" applyFont="1" applyBorder="1" applyAlignment="1">
      <alignment vertical="center"/>
    </xf>
    <xf numFmtId="165" fontId="0" fillId="26" borderId="0" xfId="0" applyNumberFormat="1" applyFill="1"/>
    <xf numFmtId="164" fontId="0" fillId="0" borderId="0" xfId="37" applyFont="1" applyAlignment="1">
      <alignment horizontal="left"/>
    </xf>
    <xf numFmtId="0" fontId="8" fillId="0" borderId="34" xfId="0" applyFont="1" applyBorder="1" applyAlignment="1">
      <alignment wrapText="1"/>
    </xf>
    <xf numFmtId="164" fontId="2" fillId="0" borderId="0" xfId="37"/>
    <xf numFmtId="4" fontId="3" fillId="0" borderId="0" xfId="31" applyNumberFormat="1" applyFont="1" applyAlignment="1">
      <alignment horizontal="left"/>
    </xf>
    <xf numFmtId="0" fontId="55" fillId="0" borderId="115" xfId="0" applyFont="1" applyBorder="1" applyAlignment="1">
      <alignment horizontal="left"/>
    </xf>
    <xf numFmtId="0" fontId="55" fillId="0" borderId="85" xfId="0" applyFont="1" applyBorder="1" applyAlignment="1">
      <alignment horizontal="left"/>
    </xf>
    <xf numFmtId="49" fontId="56" fillId="0" borderId="85" xfId="31" applyNumberFormat="1" applyFont="1" applyBorder="1" applyAlignment="1">
      <alignment horizontal="left"/>
    </xf>
    <xf numFmtId="0" fontId="56" fillId="0" borderId="85" xfId="0" applyFont="1" applyBorder="1" applyAlignment="1">
      <alignment horizontal="left"/>
    </xf>
    <xf numFmtId="0" fontId="56" fillId="0" borderId="123" xfId="0" applyFont="1" applyBorder="1"/>
    <xf numFmtId="49" fontId="55" fillId="0" borderId="85" xfId="31" applyNumberFormat="1" applyFont="1" applyBorder="1" applyAlignment="1">
      <alignment horizontal="left"/>
    </xf>
    <xf numFmtId="0" fontId="55" fillId="0" borderId="123" xfId="0" applyFont="1" applyBorder="1"/>
    <xf numFmtId="171" fontId="2" fillId="0" borderId="0" xfId="31" applyNumberFormat="1"/>
    <xf numFmtId="164" fontId="52" fillId="0" borderId="0" xfId="37" applyFont="1"/>
    <xf numFmtId="164" fontId="16" fillId="0" borderId="31" xfId="37" applyFont="1" applyBorder="1" applyAlignment="1">
      <alignment horizontal="center"/>
    </xf>
    <xf numFmtId="164" fontId="20" fillId="0" borderId="30" xfId="37" applyFont="1" applyBorder="1" applyAlignment="1">
      <alignment horizontal="center" vertical="center" wrapText="1"/>
    </xf>
    <xf numFmtId="164" fontId="9" fillId="0" borderId="33" xfId="37" applyFont="1" applyBorder="1"/>
    <xf numFmtId="164" fontId="3" fillId="0" borderId="33" xfId="37" applyFont="1" applyBorder="1"/>
    <xf numFmtId="164" fontId="2" fillId="0" borderId="23" xfId="37" applyBorder="1"/>
    <xf numFmtId="164" fontId="4" fillId="0" borderId="23" xfId="37" applyFont="1" applyBorder="1"/>
    <xf numFmtId="49" fontId="52" fillId="0" borderId="0" xfId="31" applyNumberFormat="1" applyFont="1" applyAlignment="1">
      <alignment horizontal="left"/>
    </xf>
    <xf numFmtId="4" fontId="52" fillId="0" borderId="0" xfId="31" applyNumberFormat="1" applyFont="1"/>
    <xf numFmtId="167" fontId="57" fillId="0" borderId="0" xfId="0" applyNumberFormat="1" applyFont="1"/>
    <xf numFmtId="0" fontId="57" fillId="0" borderId="0" xfId="0" applyFont="1"/>
    <xf numFmtId="4" fontId="57" fillId="0" borderId="0" xfId="0" applyNumberFormat="1" applyFont="1"/>
    <xf numFmtId="164" fontId="57" fillId="0" borderId="0" xfId="37" applyFont="1" applyAlignment="1">
      <alignment horizontal="center"/>
    </xf>
    <xf numFmtId="164" fontId="57" fillId="0" borderId="0" xfId="0" applyNumberFormat="1" applyFont="1"/>
    <xf numFmtId="0" fontId="3" fillId="0" borderId="73" xfId="0" applyFont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3" fillId="0" borderId="48" xfId="0" applyFont="1" applyBorder="1"/>
    <xf numFmtId="0" fontId="3" fillId="0" borderId="36" xfId="0" applyFont="1" applyBorder="1"/>
    <xf numFmtId="0" fontId="3" fillId="0" borderId="91" xfId="0" applyFont="1" applyBorder="1"/>
    <xf numFmtId="0" fontId="3" fillId="0" borderId="88" xfId="0" applyFont="1" applyBorder="1"/>
    <xf numFmtId="0" fontId="3" fillId="0" borderId="86" xfId="0" applyFont="1" applyBorder="1"/>
    <xf numFmtId="0" fontId="3" fillId="0" borderId="156" xfId="0" applyFont="1" applyBorder="1" applyAlignment="1">
      <alignment horizontal="center" vertical="center" wrapText="1"/>
    </xf>
    <xf numFmtId="173" fontId="3" fillId="0" borderId="145" xfId="0" applyNumberFormat="1" applyFont="1" applyBorder="1"/>
    <xf numFmtId="0" fontId="2" fillId="0" borderId="83" xfId="0" applyFont="1" applyBorder="1" applyAlignment="1">
      <alignment vertical="center" wrapText="1"/>
    </xf>
    <xf numFmtId="10" fontId="8" fillId="0" borderId="3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58" fillId="0" borderId="0" xfId="0" applyFont="1" applyAlignment="1">
      <alignment horizontal="center"/>
    </xf>
    <xf numFmtId="167" fontId="59" fillId="0" borderId="30" xfId="35" applyNumberFormat="1" applyFont="1" applyBorder="1"/>
    <xf numFmtId="171" fontId="0" fillId="0" borderId="0" xfId="0" applyNumberFormat="1"/>
    <xf numFmtId="8" fontId="3" fillId="0" borderId="28" xfId="0" applyNumberFormat="1" applyFont="1" applyBorder="1" applyAlignment="1">
      <alignment horizontal="center"/>
    </xf>
    <xf numFmtId="0" fontId="13" fillId="0" borderId="138" xfId="0" applyFont="1" applyBorder="1" applyAlignment="1">
      <alignment vertical="center" wrapText="1"/>
    </xf>
    <xf numFmtId="8" fontId="3" fillId="0" borderId="88" xfId="0" applyNumberFormat="1" applyFont="1" applyBorder="1" applyAlignment="1">
      <alignment horizontal="center" vertical="center"/>
    </xf>
    <xf numFmtId="8" fontId="4" fillId="0" borderId="86" xfId="0" applyNumberFormat="1" applyFont="1" applyBorder="1" applyAlignment="1">
      <alignment horizontal="center"/>
    </xf>
    <xf numFmtId="8" fontId="3" fillId="0" borderId="86" xfId="0" applyNumberFormat="1" applyFont="1" applyBorder="1" applyAlignment="1">
      <alignment horizontal="center"/>
    </xf>
    <xf numFmtId="8" fontId="3" fillId="0" borderId="148" xfId="0" applyNumberFormat="1" applyFont="1" applyBorder="1" applyAlignment="1">
      <alignment horizontal="center"/>
    </xf>
    <xf numFmtId="8" fontId="3" fillId="0" borderId="145" xfId="0" applyNumberFormat="1" applyFont="1" applyBorder="1" applyAlignment="1">
      <alignment horizontal="center"/>
    </xf>
    <xf numFmtId="8" fontId="4" fillId="0" borderId="142" xfId="0" applyNumberFormat="1" applyFont="1" applyBorder="1" applyAlignment="1">
      <alignment horizontal="center"/>
    </xf>
    <xf numFmtId="8" fontId="3" fillId="0" borderId="142" xfId="0" applyNumberFormat="1" applyFont="1" applyBorder="1" applyAlignment="1">
      <alignment horizontal="center"/>
    </xf>
    <xf numFmtId="8" fontId="3" fillId="0" borderId="83" xfId="0" applyNumberFormat="1" applyFont="1" applyBorder="1" applyAlignment="1">
      <alignment horizontal="center"/>
    </xf>
    <xf numFmtId="164" fontId="57" fillId="0" borderId="0" xfId="37" applyFont="1"/>
    <xf numFmtId="44" fontId="4" fillId="0" borderId="0" xfId="0" applyNumberFormat="1" applyFont="1"/>
    <xf numFmtId="164" fontId="13" fillId="0" borderId="33" xfId="37" applyFont="1" applyBorder="1" applyAlignment="1">
      <alignment horizontal="center"/>
    </xf>
    <xf numFmtId="164" fontId="13" fillId="0" borderId="34" xfId="37" applyFont="1" applyBorder="1" applyAlignment="1">
      <alignment horizontal="center"/>
    </xf>
    <xf numFmtId="164" fontId="13" fillId="0" borderId="34" xfId="37" applyFont="1" applyBorder="1" applyAlignment="1">
      <alignment horizontal="center" vertical="center"/>
    </xf>
    <xf numFmtId="10" fontId="39" fillId="0" borderId="62" xfId="0" applyNumberFormat="1" applyFont="1" applyBorder="1" applyAlignment="1">
      <alignment vertical="center"/>
    </xf>
    <xf numFmtId="9" fontId="39" fillId="0" borderId="78" xfId="0" applyNumberFormat="1" applyFont="1" applyBorder="1" applyAlignment="1">
      <alignment vertical="center"/>
    </xf>
    <xf numFmtId="9" fontId="39" fillId="0" borderId="2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vertical="center"/>
    </xf>
    <xf numFmtId="167" fontId="2" fillId="0" borderId="0" xfId="0" applyNumberFormat="1" applyFont="1"/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167" fontId="13" fillId="0" borderId="33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 vertical="center"/>
    </xf>
    <xf numFmtId="167" fontId="13" fillId="0" borderId="37" xfId="35" applyNumberFormat="1" applyFont="1" applyBorder="1" applyAlignment="1">
      <alignment horizontal="center"/>
    </xf>
    <xf numFmtId="167" fontId="13" fillId="0" borderId="30" xfId="35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167" fontId="57" fillId="0" borderId="0" xfId="0" applyNumberFormat="1" applyFont="1" applyAlignment="1">
      <alignment horizontal="center"/>
    </xf>
    <xf numFmtId="164" fontId="57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9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8" fontId="4" fillId="0" borderId="74" xfId="0" applyNumberFormat="1" applyFont="1" applyBorder="1" applyAlignment="1">
      <alignment horizontal="center" vertical="center"/>
    </xf>
    <xf numFmtId="8" fontId="4" fillId="0" borderId="33" xfId="0" applyNumberFormat="1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0" fontId="13" fillId="0" borderId="156" xfId="0" applyFont="1" applyBorder="1" applyAlignment="1">
      <alignment vertical="center" wrapText="1"/>
    </xf>
    <xf numFmtId="8" fontId="4" fillId="0" borderId="148" xfId="0" applyNumberFormat="1" applyFont="1" applyBorder="1" applyAlignment="1">
      <alignment horizontal="center" vertical="center"/>
    </xf>
    <xf numFmtId="8" fontId="4" fillId="0" borderId="83" xfId="0" applyNumberFormat="1" applyFont="1" applyBorder="1" applyAlignment="1">
      <alignment horizontal="center" vertical="center"/>
    </xf>
    <xf numFmtId="164" fontId="4" fillId="0" borderId="0" xfId="37" applyFont="1"/>
    <xf numFmtId="164" fontId="38" fillId="0" borderId="0" xfId="37" applyFont="1"/>
    <xf numFmtId="174" fontId="3" fillId="0" borderId="0" xfId="37" applyNumberFormat="1" applyFont="1" applyAlignment="1">
      <alignment horizontal="left"/>
    </xf>
    <xf numFmtId="174" fontId="3" fillId="0" borderId="0" xfId="31" applyNumberFormat="1" applyFont="1" applyAlignment="1">
      <alignment horizontal="left"/>
    </xf>
    <xf numFmtId="171" fontId="56" fillId="0" borderId="0" xfId="31" applyNumberFormat="1" applyFont="1"/>
    <xf numFmtId="4" fontId="56" fillId="0" borderId="0" xfId="31" applyNumberFormat="1" applyFont="1"/>
    <xf numFmtId="174" fontId="55" fillId="0" borderId="101" xfId="37" applyNumberFormat="1" applyFont="1" applyBorder="1"/>
    <xf numFmtId="174" fontId="55" fillId="0" borderId="104" xfId="37" applyNumberFormat="1" applyFont="1" applyBorder="1"/>
    <xf numFmtId="174" fontId="55" fillId="0" borderId="126" xfId="37" applyNumberFormat="1" applyFont="1" applyBorder="1"/>
    <xf numFmtId="174" fontId="55" fillId="0" borderId="101" xfId="31" applyNumberFormat="1" applyFont="1" applyBorder="1"/>
    <xf numFmtId="174" fontId="55" fillId="0" borderId="104" xfId="31" applyNumberFormat="1" applyFont="1" applyBorder="1"/>
    <xf numFmtId="174" fontId="55" fillId="0" borderId="126" xfId="31" applyNumberFormat="1" applyFont="1" applyBorder="1"/>
    <xf numFmtId="167" fontId="55" fillId="0" borderId="106" xfId="31" applyNumberFormat="1" applyFont="1" applyBorder="1"/>
    <xf numFmtId="167" fontId="55" fillId="0" borderId="104" xfId="31" applyNumberFormat="1" applyFont="1" applyBorder="1"/>
    <xf numFmtId="167" fontId="55" fillId="0" borderId="126" xfId="31" applyNumberFormat="1" applyFont="1" applyBorder="1"/>
    <xf numFmtId="167" fontId="55" fillId="0" borderId="130" xfId="31" applyNumberFormat="1" applyFont="1" applyBorder="1"/>
    <xf numFmtId="167" fontId="55" fillId="0" borderId="153" xfId="31" applyNumberFormat="1" applyFont="1" applyBorder="1"/>
    <xf numFmtId="167" fontId="55" fillId="0" borderId="103" xfId="31" applyNumberFormat="1" applyFont="1" applyBorder="1"/>
    <xf numFmtId="167" fontId="55" fillId="0" borderId="105" xfId="31" applyNumberFormat="1" applyFont="1" applyBorder="1"/>
    <xf numFmtId="167" fontId="55" fillId="0" borderId="102" xfId="31" applyNumberFormat="1" applyFont="1" applyBorder="1"/>
    <xf numFmtId="171" fontId="55" fillId="0" borderId="0" xfId="31" applyNumberFormat="1" applyFont="1"/>
    <xf numFmtId="4" fontId="55" fillId="0" borderId="0" xfId="31" applyNumberFormat="1" applyFont="1"/>
    <xf numFmtId="174" fontId="55" fillId="0" borderId="127" xfId="37" applyNumberFormat="1" applyFont="1" applyBorder="1"/>
    <xf numFmtId="174" fontId="55" fillId="0" borderId="10" xfId="37" applyNumberFormat="1" applyFont="1" applyBorder="1"/>
    <xf numFmtId="174" fontId="55" fillId="0" borderId="57" xfId="37" applyNumberFormat="1" applyFont="1" applyBorder="1"/>
    <xf numFmtId="174" fontId="55" fillId="0" borderId="85" xfId="31" applyNumberFormat="1" applyFont="1" applyBorder="1"/>
    <xf numFmtId="174" fontId="55" fillId="0" borderId="10" xfId="31" applyNumberFormat="1" applyFont="1" applyBorder="1"/>
    <xf numFmtId="174" fontId="55" fillId="0" borderId="36" xfId="31" applyNumberFormat="1" applyFont="1" applyBorder="1"/>
    <xf numFmtId="174" fontId="55" fillId="0" borderId="59" xfId="31" applyNumberFormat="1" applyFont="1" applyBorder="1"/>
    <xf numFmtId="167" fontId="55" fillId="0" borderId="36" xfId="31" applyNumberFormat="1" applyFont="1" applyBorder="1"/>
    <xf numFmtId="167" fontId="55" fillId="0" borderId="10" xfId="31" applyNumberFormat="1" applyFont="1" applyBorder="1"/>
    <xf numFmtId="167" fontId="56" fillId="0" borderId="59" xfId="31" applyNumberFormat="1" applyFont="1" applyBorder="1"/>
    <xf numFmtId="167" fontId="55" fillId="0" borderId="86" xfId="31" applyNumberFormat="1" applyFont="1" applyBorder="1"/>
    <xf numFmtId="167" fontId="55" fillId="0" borderId="129" xfId="31" applyNumberFormat="1" applyFont="1" applyBorder="1"/>
    <xf numFmtId="167" fontId="55" fillId="0" borderId="12" xfId="31" applyNumberFormat="1" applyFont="1" applyBorder="1"/>
    <xf numFmtId="167" fontId="56" fillId="0" borderId="13" xfId="31" applyNumberFormat="1" applyFont="1" applyBorder="1"/>
    <xf numFmtId="167" fontId="56" fillId="0" borderId="38" xfId="31" applyNumberFormat="1" applyFont="1" applyBorder="1"/>
    <xf numFmtId="174" fontId="56" fillId="0" borderId="58" xfId="37" applyNumberFormat="1" applyFont="1" applyBorder="1"/>
    <xf numFmtId="174" fontId="56" fillId="0" borderId="46" xfId="37" applyNumberFormat="1" applyFont="1" applyBorder="1"/>
    <xf numFmtId="174" fontId="56" fillId="0" borderId="10" xfId="37" applyNumberFormat="1" applyFont="1" applyBorder="1"/>
    <xf numFmtId="174" fontId="56" fillId="0" borderId="57" xfId="37" applyNumberFormat="1" applyFont="1" applyBorder="1"/>
    <xf numFmtId="174" fontId="56" fillId="0" borderId="85" xfId="31" applyNumberFormat="1" applyFont="1" applyBorder="1"/>
    <xf numFmtId="174" fontId="56" fillId="0" borderId="10" xfId="31" applyNumberFormat="1" applyFont="1" applyBorder="1"/>
    <xf numFmtId="174" fontId="56" fillId="0" borderId="36" xfId="31" applyNumberFormat="1" applyFont="1" applyBorder="1"/>
    <xf numFmtId="174" fontId="56" fillId="0" borderId="59" xfId="31" applyNumberFormat="1" applyFont="1" applyBorder="1"/>
    <xf numFmtId="167" fontId="56" fillId="0" borderId="36" xfId="31" applyNumberFormat="1" applyFont="1" applyBorder="1"/>
    <xf numFmtId="167" fontId="56" fillId="0" borderId="10" xfId="31" applyNumberFormat="1" applyFont="1" applyBorder="1"/>
    <xf numFmtId="167" fontId="56" fillId="0" borderId="86" xfId="31" applyNumberFormat="1" applyFont="1" applyBorder="1"/>
    <xf numFmtId="167" fontId="56" fillId="0" borderId="129" xfId="31" applyNumberFormat="1" applyFont="1" applyBorder="1"/>
    <xf numFmtId="167" fontId="56" fillId="0" borderId="12" xfId="31" applyNumberFormat="1" applyFont="1" applyBorder="1"/>
    <xf numFmtId="174" fontId="55" fillId="0" borderId="128" xfId="37" applyNumberFormat="1" applyFont="1" applyBorder="1"/>
    <xf numFmtId="174" fontId="55" fillId="0" borderId="58" xfId="31" applyNumberFormat="1" applyFont="1" applyBorder="1"/>
    <xf numFmtId="174" fontId="56" fillId="0" borderId="58" xfId="31" applyNumberFormat="1" applyFont="1" applyBorder="1"/>
    <xf numFmtId="174" fontId="56" fillId="0" borderId="127" xfId="37" applyNumberFormat="1" applyFont="1" applyBorder="1"/>
    <xf numFmtId="174" fontId="56" fillId="0" borderId="129" xfId="37" applyNumberFormat="1" applyFont="1" applyBorder="1"/>
    <xf numFmtId="174" fontId="55" fillId="0" borderId="46" xfId="37" applyNumberFormat="1" applyFont="1" applyBorder="1"/>
    <xf numFmtId="174" fontId="55" fillId="0" borderId="129" xfId="37" applyNumberFormat="1" applyFont="1" applyBorder="1"/>
    <xf numFmtId="167" fontId="55" fillId="0" borderId="59" xfId="31" applyNumberFormat="1" applyFont="1" applyBorder="1"/>
    <xf numFmtId="167" fontId="56" fillId="0" borderId="36" xfId="0" applyNumberFormat="1" applyFont="1" applyBorder="1"/>
    <xf numFmtId="167" fontId="56" fillId="0" borderId="10" xfId="0" applyNumberFormat="1" applyFont="1" applyBorder="1"/>
    <xf numFmtId="167" fontId="56" fillId="0" borderId="86" xfId="0" applyNumberFormat="1" applyFont="1" applyBorder="1"/>
    <xf numFmtId="167" fontId="55" fillId="0" borderId="36" xfId="0" applyNumberFormat="1" applyFont="1" applyBorder="1"/>
    <xf numFmtId="167" fontId="56" fillId="0" borderId="77" xfId="31" applyNumberFormat="1" applyFont="1" applyBorder="1"/>
    <xf numFmtId="174" fontId="56" fillId="0" borderId="69" xfId="37" applyNumberFormat="1" applyFont="1" applyBorder="1"/>
    <xf numFmtId="174" fontId="56" fillId="0" borderId="59" xfId="37" applyNumberFormat="1" applyFont="1" applyBorder="1"/>
    <xf numFmtId="174" fontId="55" fillId="0" borderId="38" xfId="37" applyNumberFormat="1" applyFont="1" applyBorder="1"/>
    <xf numFmtId="174" fontId="55" fillId="0" borderId="69" xfId="37" applyNumberFormat="1" applyFont="1" applyBorder="1"/>
    <xf numFmtId="167" fontId="55" fillId="0" borderId="13" xfId="31" applyNumberFormat="1" applyFont="1" applyBorder="1"/>
    <xf numFmtId="167" fontId="55" fillId="0" borderId="38" xfId="31" applyNumberFormat="1" applyFont="1" applyBorder="1"/>
    <xf numFmtId="174" fontId="55" fillId="0" borderId="85" xfId="37" applyNumberFormat="1" applyFont="1" applyBorder="1"/>
    <xf numFmtId="174" fontId="56" fillId="0" borderId="85" xfId="37" applyNumberFormat="1" applyFont="1" applyBorder="1"/>
    <xf numFmtId="174" fontId="56" fillId="0" borderId="87" xfId="37" applyNumberFormat="1" applyFont="1" applyBorder="1"/>
    <xf numFmtId="174" fontId="55" fillId="0" borderId="87" xfId="37" applyNumberFormat="1" applyFont="1" applyBorder="1"/>
    <xf numFmtId="174" fontId="56" fillId="0" borderId="38" xfId="31" applyNumberFormat="1" applyFont="1" applyBorder="1"/>
    <xf numFmtId="174" fontId="55" fillId="0" borderId="129" xfId="31" applyNumberFormat="1" applyFont="1" applyBorder="1"/>
    <xf numFmtId="167" fontId="56" fillId="0" borderId="87" xfId="31" applyNumberFormat="1" applyFont="1" applyBorder="1"/>
    <xf numFmtId="167" fontId="55" fillId="0" borderId="136" xfId="31" applyNumberFormat="1" applyFont="1" applyBorder="1"/>
    <xf numFmtId="174" fontId="56" fillId="0" borderId="38" xfId="37" applyNumberFormat="1" applyFont="1" applyBorder="1"/>
    <xf numFmtId="0" fontId="56" fillId="0" borderId="116" xfId="0" applyFont="1" applyBorder="1" applyAlignment="1">
      <alignment horizontal="left"/>
    </xf>
    <xf numFmtId="0" fontId="56" fillId="0" borderId="124" xfId="0" applyFont="1" applyBorder="1"/>
    <xf numFmtId="174" fontId="56" fillId="0" borderId="75" xfId="37" applyNumberFormat="1" applyFont="1" applyBorder="1"/>
    <xf numFmtId="174" fontId="56" fillId="0" borderId="52" xfId="37" applyNumberFormat="1" applyFont="1" applyBorder="1"/>
    <xf numFmtId="174" fontId="56" fillId="0" borderId="72" xfId="37" applyNumberFormat="1" applyFont="1" applyBorder="1"/>
    <xf numFmtId="174" fontId="56" fillId="0" borderId="60" xfId="37" applyNumberFormat="1" applyFont="1" applyBorder="1"/>
    <xf numFmtId="174" fontId="56" fillId="0" borderId="75" xfId="31" applyNumberFormat="1" applyFont="1" applyBorder="1"/>
    <xf numFmtId="174" fontId="56" fillId="0" borderId="65" xfId="31" applyNumberFormat="1" applyFont="1" applyBorder="1"/>
    <xf numFmtId="174" fontId="56" fillId="0" borderId="52" xfId="31" applyNumberFormat="1" applyFont="1" applyBorder="1"/>
    <xf numFmtId="174" fontId="55" fillId="0" borderId="133" xfId="31" applyNumberFormat="1" applyFont="1" applyBorder="1"/>
    <xf numFmtId="167" fontId="56" fillId="0" borderId="65" xfId="31" applyNumberFormat="1" applyFont="1" applyBorder="1"/>
    <xf numFmtId="167" fontId="56" fillId="0" borderId="52" xfId="31" applyNumberFormat="1" applyFont="1" applyBorder="1"/>
    <xf numFmtId="167" fontId="56" fillId="0" borderId="72" xfId="31" applyNumberFormat="1" applyFont="1" applyBorder="1"/>
    <xf numFmtId="167" fontId="56" fillId="0" borderId="60" xfId="31" applyNumberFormat="1" applyFont="1" applyBorder="1"/>
    <xf numFmtId="167" fontId="56" fillId="0" borderId="90" xfId="31" applyNumberFormat="1" applyFont="1" applyBorder="1"/>
    <xf numFmtId="167" fontId="56" fillId="0" borderId="154" xfId="31" applyNumberFormat="1" applyFont="1" applyBorder="1"/>
    <xf numFmtId="167" fontId="56" fillId="0" borderId="51" xfId="31" applyNumberFormat="1" applyFont="1" applyBorder="1"/>
    <xf numFmtId="167" fontId="56" fillId="0" borderId="40" xfId="31" applyNumberFormat="1" applyFont="1" applyBorder="1"/>
    <xf numFmtId="174" fontId="2" fillId="0" borderId="0" xfId="37" applyNumberFormat="1"/>
    <xf numFmtId="174" fontId="2" fillId="0" borderId="0" xfId="31" applyNumberFormat="1"/>
    <xf numFmtId="164" fontId="3" fillId="0" borderId="0" xfId="37" applyFont="1"/>
    <xf numFmtId="44" fontId="0" fillId="0" borderId="0" xfId="0" applyNumberFormat="1"/>
    <xf numFmtId="167" fontId="55" fillId="0" borderId="122" xfId="31" applyNumberFormat="1" applyFont="1" applyBorder="1"/>
    <xf numFmtId="167" fontId="56" fillId="0" borderId="136" xfId="31" applyNumberFormat="1" applyFont="1" applyBorder="1"/>
    <xf numFmtId="164" fontId="2" fillId="0" borderId="0" xfId="0" applyNumberFormat="1" applyFont="1"/>
    <xf numFmtId="4" fontId="6" fillId="0" borderId="0" xfId="31" applyNumberFormat="1" applyFont="1"/>
    <xf numFmtId="175" fontId="0" fillId="0" borderId="0" xfId="0" applyNumberFormat="1"/>
    <xf numFmtId="164" fontId="4" fillId="0" borderId="35" xfId="37" applyFont="1" applyBorder="1"/>
    <xf numFmtId="164" fontId="51" fillId="0" borderId="0" xfId="37" applyFont="1"/>
    <xf numFmtId="49" fontId="6" fillId="0" borderId="20" xfId="31" applyNumberFormat="1" applyFont="1" applyBorder="1" applyAlignment="1">
      <alignment horizontal="left"/>
    </xf>
    <xf numFmtId="4" fontId="6" fillId="0" borderId="34" xfId="31" applyNumberFormat="1" applyFont="1" applyBorder="1"/>
    <xf numFmtId="176" fontId="6" fillId="0" borderId="0" xfId="31" applyNumberFormat="1" applyFont="1"/>
    <xf numFmtId="173" fontId="2" fillId="0" borderId="142" xfId="0" applyNumberFormat="1" applyFont="1" applyBorder="1"/>
    <xf numFmtId="0" fontId="3" fillId="26" borderId="69" xfId="0" applyFont="1" applyFill="1" applyBorder="1"/>
    <xf numFmtId="0" fontId="3" fillId="26" borderId="38" xfId="0" applyFont="1" applyFill="1" applyBorder="1"/>
    <xf numFmtId="0" fontId="4" fillId="26" borderId="38" xfId="0" applyFont="1" applyFill="1" applyBorder="1"/>
    <xf numFmtId="0" fontId="51" fillId="26" borderId="38" xfId="0" applyFont="1" applyFill="1" applyBorder="1"/>
    <xf numFmtId="0" fontId="2" fillId="26" borderId="38" xfId="0" applyFont="1" applyFill="1" applyBorder="1"/>
    <xf numFmtId="0" fontId="4" fillId="26" borderId="72" xfId="0" applyFont="1" applyFill="1" applyBorder="1" applyAlignment="1">
      <alignment vertical="justify" wrapText="1"/>
    </xf>
    <xf numFmtId="49" fontId="0" fillId="25" borderId="10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/>
    <xf numFmtId="49" fontId="0" fillId="0" borderId="91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0" fillId="0" borderId="70" xfId="0" applyNumberFormat="1" applyBorder="1" applyAlignment="1">
      <alignment horizontal="center"/>
    </xf>
    <xf numFmtId="0" fontId="8" fillId="27" borderId="50" xfId="0" applyFont="1" applyFill="1" applyBorder="1" applyAlignment="1">
      <alignment vertical="center"/>
    </xf>
    <xf numFmtId="0" fontId="8" fillId="27" borderId="77" xfId="0" applyFont="1" applyFill="1" applyBorder="1" applyAlignment="1">
      <alignment vertical="center"/>
    </xf>
    <xf numFmtId="0" fontId="6" fillId="27" borderId="49" xfId="0" applyFont="1" applyFill="1" applyBorder="1" applyAlignment="1">
      <alignment vertical="center"/>
    </xf>
    <xf numFmtId="49" fontId="3" fillId="27" borderId="14" xfId="0" applyNumberFormat="1" applyFont="1" applyFill="1" applyBorder="1" applyAlignment="1">
      <alignment horizontal="center" vertical="center" wrapText="1"/>
    </xf>
    <xf numFmtId="167" fontId="5" fillId="27" borderId="83" xfId="35" applyNumberFormat="1" applyFont="1" applyFill="1" applyBorder="1" applyAlignment="1">
      <alignment horizontal="center"/>
    </xf>
    <xf numFmtId="167" fontId="5" fillId="27" borderId="34" xfId="35" applyNumberFormat="1" applyFont="1" applyFill="1" applyBorder="1" applyAlignment="1">
      <alignment horizontal="center"/>
    </xf>
    <xf numFmtId="167" fontId="5" fillId="27" borderId="30" xfId="35" applyNumberFormat="1" applyFont="1" applyFill="1" applyBorder="1" applyAlignment="1">
      <alignment horizontal="center"/>
    </xf>
    <xf numFmtId="167" fontId="5" fillId="27" borderId="82" xfId="35" applyNumberFormat="1" applyFont="1" applyFill="1" applyBorder="1" applyAlignment="1">
      <alignment horizontal="center"/>
    </xf>
    <xf numFmtId="167" fontId="5" fillId="27" borderId="82" xfId="35" applyNumberFormat="1" applyFont="1" applyFill="1" applyBorder="1"/>
    <xf numFmtId="49" fontId="0" fillId="27" borderId="48" xfId="0" applyNumberFormat="1" applyFill="1" applyBorder="1" applyAlignment="1">
      <alignment horizontal="center"/>
    </xf>
    <xf numFmtId="167" fontId="13" fillId="27" borderId="34" xfId="35" applyNumberFormat="1" applyFont="1" applyFill="1" applyBorder="1"/>
    <xf numFmtId="167" fontId="13" fillId="27" borderId="82" xfId="35" applyNumberFormat="1" applyFont="1" applyFill="1" applyBorder="1" applyAlignment="1">
      <alignment horizontal="center"/>
    </xf>
    <xf numFmtId="167" fontId="13" fillId="27" borderId="37" xfId="35" applyNumberFormat="1" applyFont="1" applyFill="1" applyBorder="1"/>
    <xf numFmtId="0" fontId="3" fillId="27" borderId="73" xfId="0" applyFont="1" applyFill="1" applyBorder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/>
    </xf>
    <xf numFmtId="0" fontId="3" fillId="27" borderId="73" xfId="0" applyFont="1" applyFill="1" applyBorder="1" applyAlignment="1">
      <alignment horizontal="center" vertical="center" wrapText="1"/>
    </xf>
    <xf numFmtId="164" fontId="6" fillId="0" borderId="0" xfId="37" applyFont="1"/>
    <xf numFmtId="174" fontId="6" fillId="0" borderId="0" xfId="31" applyNumberFormat="1" applyFont="1"/>
    <xf numFmtId="174" fontId="6" fillId="0" borderId="0" xfId="37" applyNumberFormat="1" applyFont="1"/>
    <xf numFmtId="167" fontId="56" fillId="0" borderId="64" xfId="31" applyNumberFormat="1" applyFont="1" applyBorder="1"/>
    <xf numFmtId="167" fontId="55" fillId="0" borderId="101" xfId="31" applyNumberFormat="1" applyFont="1" applyBorder="1"/>
    <xf numFmtId="167" fontId="55" fillId="0" borderId="58" xfId="31" applyNumberFormat="1" applyFont="1" applyBorder="1"/>
    <xf numFmtId="167" fontId="56" fillId="0" borderId="58" xfId="31" applyNumberFormat="1" applyFont="1" applyBorder="1"/>
    <xf numFmtId="167" fontId="56" fillId="0" borderId="58" xfId="0" applyNumberFormat="1" applyFont="1" applyBorder="1"/>
    <xf numFmtId="167" fontId="56" fillId="0" borderId="75" xfId="31" applyNumberFormat="1" applyFont="1" applyBorder="1"/>
    <xf numFmtId="0" fontId="2" fillId="25" borderId="10" xfId="0" applyFont="1" applyFill="1" applyBorder="1" applyAlignment="1">
      <alignment vertical="center" wrapText="1"/>
    </xf>
    <xf numFmtId="0" fontId="3" fillId="27" borderId="16" xfId="0" applyFont="1" applyFill="1" applyBorder="1" applyAlignment="1">
      <alignment horizontal="center" vertical="center"/>
    </xf>
    <xf numFmtId="167" fontId="2" fillId="0" borderId="157" xfId="0" applyNumberFormat="1" applyFont="1" applyBorder="1"/>
    <xf numFmtId="164" fontId="2" fillId="0" borderId="157" xfId="37" applyBorder="1"/>
    <xf numFmtId="10" fontId="5" fillId="0" borderId="17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145" xfId="0" applyFont="1" applyBorder="1" applyAlignment="1">
      <alignment vertical="center" wrapText="1"/>
    </xf>
    <xf numFmtId="0" fontId="13" fillId="0" borderId="77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2" xfId="0" applyFont="1" applyBorder="1" applyAlignment="1">
      <alignment vertical="center" wrapText="1"/>
    </xf>
    <xf numFmtId="0" fontId="13" fillId="0" borderId="86" xfId="0" applyFont="1" applyBorder="1" applyAlignment="1">
      <alignment vertical="center" wrapText="1"/>
    </xf>
    <xf numFmtId="0" fontId="13" fillId="0" borderId="5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/>
    </xf>
    <xf numFmtId="174" fontId="6" fillId="0" borderId="0" xfId="31" applyNumberFormat="1" applyFont="1" applyAlignment="1">
      <alignment horizontal="right"/>
    </xf>
    <xf numFmtId="178" fontId="13" fillId="0" borderId="33" xfId="35" applyNumberFormat="1" applyFont="1" applyBorder="1"/>
    <xf numFmtId="178" fontId="13" fillId="0" borderId="34" xfId="35" applyNumberFormat="1" applyFont="1" applyBorder="1"/>
    <xf numFmtId="178" fontId="5" fillId="0" borderId="82" xfId="35" applyNumberFormat="1" applyFont="1" applyBorder="1" applyAlignment="1">
      <alignment horizontal="center"/>
    </xf>
    <xf numFmtId="178" fontId="13" fillId="0" borderId="34" xfId="35" applyNumberFormat="1" applyFont="1" applyBorder="1" applyAlignment="1">
      <alignment vertical="center"/>
    </xf>
    <xf numFmtId="178" fontId="5" fillId="0" borderId="82" xfId="35" applyNumberFormat="1" applyFont="1" applyBorder="1"/>
    <xf numFmtId="178" fontId="13" fillId="0" borderId="82" xfId="35" applyNumberFormat="1" applyFont="1" applyBorder="1" applyAlignment="1">
      <alignment horizontal="center"/>
    </xf>
    <xf numFmtId="178" fontId="13" fillId="0" borderId="37" xfId="35" applyNumberFormat="1" applyFont="1" applyBorder="1"/>
    <xf numFmtId="178" fontId="5" fillId="0" borderId="83" xfId="35" applyNumberFormat="1" applyFont="1" applyBorder="1" applyAlignment="1">
      <alignment horizontal="center"/>
    </xf>
    <xf numFmtId="178" fontId="5" fillId="0" borderId="34" xfId="35" applyNumberFormat="1" applyFont="1" applyBorder="1" applyAlignment="1">
      <alignment horizontal="center"/>
    </xf>
    <xf numFmtId="178" fontId="5" fillId="0" borderId="30" xfId="35" applyNumberFormat="1" applyFont="1" applyBorder="1" applyAlignment="1">
      <alignment horizontal="center"/>
    </xf>
    <xf numFmtId="179" fontId="57" fillId="0" borderId="0" xfId="0" applyNumberFormat="1" applyFont="1"/>
    <xf numFmtId="178" fontId="5" fillId="0" borderId="34" xfId="35" applyNumberFormat="1" applyFont="1" applyBorder="1"/>
    <xf numFmtId="173" fontId="3" fillId="0" borderId="143" xfId="0" applyNumberFormat="1" applyFont="1" applyBorder="1"/>
    <xf numFmtId="173" fontId="3" fillId="0" borderId="65" xfId="0" applyNumberFormat="1" applyFont="1" applyBorder="1"/>
    <xf numFmtId="173" fontId="2" fillId="0" borderId="143" xfId="0" applyNumberFormat="1" applyFont="1" applyBorder="1"/>
    <xf numFmtId="177" fontId="4" fillId="0" borderId="0" xfId="0" applyNumberFormat="1" applyFont="1"/>
    <xf numFmtId="164" fontId="3" fillId="0" borderId="0" xfId="37" applyFont="1" applyAlignment="1">
      <alignment horizontal="center"/>
    </xf>
    <xf numFmtId="164" fontId="13" fillId="0" borderId="50" xfId="37" applyFont="1" applyBorder="1" applyAlignment="1">
      <alignment horizontal="center" vertical="center"/>
    </xf>
    <xf numFmtId="164" fontId="13" fillId="0" borderId="39" xfId="37" applyFont="1" applyBorder="1" applyAlignment="1">
      <alignment horizontal="center" vertical="center"/>
    </xf>
    <xf numFmtId="164" fontId="13" fillId="0" borderId="49" xfId="37" applyFont="1" applyBorder="1" applyAlignment="1">
      <alignment horizontal="center" vertical="center"/>
    </xf>
    <xf numFmtId="164" fontId="13" fillId="26" borderId="17" xfId="37" applyFont="1" applyFill="1" applyBorder="1" applyAlignment="1">
      <alignment horizontal="center" vertical="center"/>
    </xf>
    <xf numFmtId="164" fontId="13" fillId="26" borderId="18" xfId="37" applyFont="1" applyFill="1" applyBorder="1" applyAlignment="1">
      <alignment horizontal="center" vertical="center"/>
    </xf>
    <xf numFmtId="164" fontId="13" fillId="0" borderId="144" xfId="37" applyFont="1" applyBorder="1" applyAlignment="1">
      <alignment horizontal="center" vertical="center"/>
    </xf>
    <xf numFmtId="164" fontId="13" fillId="0" borderId="19" xfId="37" applyFont="1" applyBorder="1" applyAlignment="1">
      <alignment horizontal="center" vertical="center"/>
    </xf>
    <xf numFmtId="164" fontId="13" fillId="0" borderId="48" xfId="37" applyFont="1" applyBorder="1" applyAlignment="1">
      <alignment horizontal="center" vertical="center"/>
    </xf>
    <xf numFmtId="164" fontId="13" fillId="0" borderId="13" xfId="37" applyFont="1" applyBorder="1" applyAlignment="1">
      <alignment horizontal="center" vertical="center"/>
    </xf>
    <xf numFmtId="164" fontId="13" fillId="0" borderId="141" xfId="37" applyFont="1" applyBorder="1" applyAlignment="1">
      <alignment horizontal="center" vertical="center"/>
    </xf>
    <xf numFmtId="164" fontId="13" fillId="26" borderId="10" xfId="37" applyFont="1" applyFill="1" applyBorder="1" applyAlignment="1">
      <alignment horizontal="center" vertical="center"/>
    </xf>
    <xf numFmtId="164" fontId="13" fillId="0" borderId="38" xfId="37" applyFont="1" applyBorder="1" applyAlignment="1">
      <alignment horizontal="center" vertical="center"/>
    </xf>
    <xf numFmtId="164" fontId="13" fillId="0" borderId="12" xfId="37" applyFont="1" applyBorder="1" applyAlignment="1">
      <alignment horizontal="center" vertical="center"/>
    </xf>
    <xf numFmtId="164" fontId="13" fillId="0" borderId="10" xfId="37" applyFont="1" applyBorder="1" applyAlignment="1">
      <alignment horizontal="center" vertical="center"/>
    </xf>
    <xf numFmtId="164" fontId="13" fillId="0" borderId="89" xfId="37" applyFont="1" applyBorder="1" applyAlignment="1">
      <alignment horizontal="center" vertical="center"/>
    </xf>
    <xf numFmtId="164" fontId="13" fillId="0" borderId="15" xfId="37" applyFont="1" applyBorder="1" applyAlignment="1">
      <alignment horizontal="center" vertical="center"/>
    </xf>
    <xf numFmtId="164" fontId="13" fillId="0" borderId="152" xfId="37" applyFont="1" applyBorder="1" applyAlignment="1">
      <alignment horizontal="center" vertical="center"/>
    </xf>
    <xf numFmtId="164" fontId="13" fillId="0" borderId="72" xfId="37" applyFont="1" applyBorder="1" applyAlignment="1">
      <alignment horizontal="center" vertical="center"/>
    </xf>
    <xf numFmtId="164" fontId="13" fillId="0" borderId="40" xfId="37" applyFont="1" applyBorder="1" applyAlignment="1">
      <alignment horizontal="center" vertical="center"/>
    </xf>
    <xf numFmtId="164" fontId="5" fillId="0" borderId="53" xfId="37" applyFont="1" applyBorder="1" applyAlignment="1">
      <alignment horizontal="center" vertical="center"/>
    </xf>
    <xf numFmtId="164" fontId="5" fillId="0" borderId="55" xfId="37" applyFont="1" applyBorder="1" applyAlignment="1">
      <alignment horizontal="center" vertical="center"/>
    </xf>
    <xf numFmtId="164" fontId="5" fillId="0" borderId="47" xfId="37" applyFont="1" applyBorder="1" applyAlignment="1">
      <alignment horizontal="center" vertical="center"/>
    </xf>
    <xf numFmtId="164" fontId="5" fillId="0" borderId="54" xfId="37" applyFont="1" applyBorder="1" applyAlignment="1">
      <alignment horizontal="center" vertical="center"/>
    </xf>
    <xf numFmtId="164" fontId="5" fillId="0" borderId="56" xfId="37" applyFont="1" applyBorder="1" applyAlignment="1">
      <alignment horizontal="center" vertical="center"/>
    </xf>
    <xf numFmtId="4" fontId="55" fillId="0" borderId="32" xfId="31" applyNumberFormat="1" applyFont="1" applyBorder="1" applyAlignment="1">
      <alignment horizontal="center"/>
    </xf>
    <xf numFmtId="4" fontId="55" fillId="0" borderId="0" xfId="31" applyNumberFormat="1" applyFont="1" applyAlignment="1">
      <alignment horizontal="center"/>
    </xf>
    <xf numFmtId="4" fontId="55" fillId="0" borderId="10" xfId="31" applyNumberFormat="1" applyFont="1" applyBorder="1" applyAlignment="1">
      <alignment horizontal="center"/>
    </xf>
    <xf numFmtId="4" fontId="55" fillId="0" borderId="78" xfId="31" applyNumberFormat="1" applyFont="1" applyBorder="1" applyAlignment="1">
      <alignment horizontal="center"/>
    </xf>
    <xf numFmtId="4" fontId="55" fillId="0" borderId="33" xfId="31" applyNumberFormat="1" applyFont="1" applyBorder="1" applyAlignment="1">
      <alignment horizontal="center"/>
    </xf>
    <xf numFmtId="4" fontId="55" fillId="0" borderId="23" xfId="31" applyNumberFormat="1" applyFont="1" applyBorder="1" applyAlignment="1">
      <alignment horizontal="center"/>
    </xf>
    <xf numFmtId="4" fontId="55" fillId="0" borderId="34" xfId="31" applyNumberFormat="1" applyFont="1" applyBorder="1" applyAlignment="1">
      <alignment horizontal="center"/>
    </xf>
    <xf numFmtId="49" fontId="55" fillId="0" borderId="52" xfId="31" applyNumberFormat="1" applyFont="1" applyBorder="1" applyAlignment="1">
      <alignment horizontal="center"/>
    </xf>
    <xf numFmtId="49" fontId="55" fillId="0" borderId="58" xfId="31" applyNumberFormat="1" applyFont="1" applyBorder="1" applyAlignment="1">
      <alignment horizontal="center"/>
    </xf>
    <xf numFmtId="49" fontId="55" fillId="0" borderId="10" xfId="31" applyNumberFormat="1" applyFont="1" applyBorder="1" applyAlignment="1">
      <alignment horizontal="center"/>
    </xf>
    <xf numFmtId="49" fontId="55" fillId="0" borderId="78" xfId="31" applyNumberFormat="1" applyFont="1" applyBorder="1" applyAlignment="1">
      <alignment horizontal="center"/>
    </xf>
    <xf numFmtId="49" fontId="55" fillId="0" borderId="33" xfId="31" applyNumberFormat="1" applyFont="1" applyBorder="1" applyAlignment="1">
      <alignment horizontal="center"/>
    </xf>
    <xf numFmtId="4" fontId="55" fillId="0" borderId="76" xfId="31" applyNumberFormat="1" applyFont="1" applyBorder="1" applyAlignment="1">
      <alignment horizontal="center" vertical="center" wrapText="1"/>
    </xf>
    <xf numFmtId="4" fontId="55" fillId="0" borderId="80" xfId="31" applyNumberFormat="1" applyFont="1" applyBorder="1" applyAlignment="1">
      <alignment horizontal="center" vertical="center" wrapText="1"/>
    </xf>
    <xf numFmtId="4" fontId="55" fillId="0" borderId="61" xfId="31" applyNumberFormat="1" applyFont="1" applyBorder="1" applyAlignment="1">
      <alignment horizontal="center" vertical="center" wrapText="1"/>
    </xf>
    <xf numFmtId="4" fontId="55" fillId="0" borderId="118" xfId="31" applyNumberFormat="1" applyFont="1" applyBorder="1" applyAlignment="1">
      <alignment horizontal="center" vertical="center" wrapText="1"/>
    </xf>
    <xf numFmtId="4" fontId="55" fillId="0" borderId="100" xfId="31" applyNumberFormat="1" applyFont="1" applyBorder="1" applyAlignment="1">
      <alignment horizontal="center"/>
    </xf>
    <xf numFmtId="174" fontId="55" fillId="0" borderId="151" xfId="37" applyNumberFormat="1" applyFont="1" applyBorder="1"/>
    <xf numFmtId="174" fontId="55" fillId="0" borderId="134" xfId="37" applyNumberFormat="1" applyFont="1" applyBorder="1"/>
    <xf numFmtId="174" fontId="55" fillId="0" borderId="107" xfId="31" applyNumberFormat="1" applyFont="1" applyBorder="1"/>
    <xf numFmtId="174" fontId="55" fillId="0" borderId="151" xfId="31" applyNumberFormat="1" applyFont="1" applyBorder="1"/>
    <xf numFmtId="174" fontId="55" fillId="0" borderId="134" xfId="31" applyNumberFormat="1" applyFont="1" applyBorder="1"/>
    <xf numFmtId="167" fontId="55" fillId="0" borderId="135" xfId="31" applyNumberFormat="1" applyFont="1" applyBorder="1"/>
    <xf numFmtId="167" fontId="55" fillId="0" borderId="94" xfId="31" applyNumberFormat="1" applyFont="1" applyBorder="1"/>
    <xf numFmtId="167" fontId="55" fillId="0" borderId="107" xfId="31" applyNumberFormat="1" applyFont="1" applyBorder="1"/>
    <xf numFmtId="167" fontId="55" fillId="0" borderId="155" xfId="31" applyNumberFormat="1" applyFont="1" applyBorder="1"/>
    <xf numFmtId="167" fontId="55" fillId="0" borderId="111" xfId="31" applyNumberFormat="1" applyFont="1" applyBorder="1"/>
    <xf numFmtId="167" fontId="56" fillId="0" borderId="111" xfId="31" applyNumberFormat="1" applyFont="1" applyBorder="1"/>
    <xf numFmtId="167" fontId="56" fillId="0" borderId="110" xfId="31" applyNumberFormat="1" applyFont="1" applyBorder="1"/>
    <xf numFmtId="167" fontId="55" fillId="0" borderId="109" xfId="31" applyNumberFormat="1" applyFont="1" applyBorder="1"/>
    <xf numFmtId="167" fontId="56" fillId="0" borderId="108" xfId="31" applyNumberFormat="1" applyFont="1" applyBorder="1"/>
    <xf numFmtId="0" fontId="5" fillId="0" borderId="30" xfId="0" applyFont="1" applyBorder="1" applyAlignment="1">
      <alignment horizontal="center"/>
    </xf>
    <xf numFmtId="49" fontId="6" fillId="0" borderId="0" xfId="31" applyNumberFormat="1" applyFont="1" applyAlignment="1">
      <alignment horizontal="left"/>
    </xf>
    <xf numFmtId="171" fontId="6" fillId="0" borderId="0" xfId="31" applyNumberFormat="1" applyFont="1"/>
    <xf numFmtId="4" fontId="62" fillId="0" borderId="0" xfId="31" applyNumberFormat="1" applyFont="1" applyAlignment="1">
      <alignment horizontal="left"/>
    </xf>
    <xf numFmtId="0" fontId="2" fillId="0" borderId="20" xfId="0" applyFont="1" applyFill="1" applyBorder="1" applyAlignment="1">
      <alignment horizontal="left" vertical="center" wrapText="1"/>
    </xf>
    <xf numFmtId="49" fontId="52" fillId="0" borderId="2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34" xfId="37" applyFont="1" applyFill="1" applyBorder="1" applyAlignment="1">
      <alignment horizontal="center" wrapText="1"/>
    </xf>
    <xf numFmtId="164" fontId="3" fillId="0" borderId="0" xfId="37" applyFont="1" applyFill="1" applyBorder="1" applyAlignment="1">
      <alignment horizontal="center" wrapText="1"/>
    </xf>
    <xf numFmtId="167" fontId="2" fillId="0" borderId="34" xfId="31" applyNumberFormat="1" applyFill="1" applyBorder="1" applyAlignment="1">
      <alignment horizontal="right"/>
    </xf>
    <xf numFmtId="0" fontId="0" fillId="0" borderId="0" xfId="0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0" borderId="30" xfId="0" applyFont="1" applyFill="1" applyBorder="1" applyAlignment="1">
      <alignment horizontal="center" vertical="center" wrapText="1"/>
    </xf>
    <xf numFmtId="164" fontId="2" fillId="0" borderId="33" xfId="37" applyFill="1" applyBorder="1" applyAlignment="1">
      <alignment horizontal="center" wrapText="1"/>
    </xf>
    <xf numFmtId="164" fontId="2" fillId="0" borderId="34" xfId="37" applyFill="1" applyBorder="1" applyAlignment="1">
      <alignment horizontal="center" wrapText="1"/>
    </xf>
    <xf numFmtId="167" fontId="3" fillId="0" borderId="34" xfId="31" applyNumberFormat="1" applyFont="1" applyFill="1" applyBorder="1" applyAlignment="1">
      <alignment horizontal="right"/>
    </xf>
    <xf numFmtId="167" fontId="3" fillId="0" borderId="37" xfId="31" applyNumberFormat="1" applyFont="1" applyFill="1" applyBorder="1" applyAlignment="1">
      <alignment horizontal="right"/>
    </xf>
    <xf numFmtId="167" fontId="0" fillId="0" borderId="0" xfId="0" applyNumberFormat="1" applyFill="1"/>
    <xf numFmtId="164" fontId="0" fillId="0" borderId="0" xfId="0" applyNumberFormat="1" applyFill="1"/>
    <xf numFmtId="180" fontId="64" fillId="0" borderId="0" xfId="31" applyNumberFormat="1" applyFont="1"/>
    <xf numFmtId="174" fontId="3" fillId="0" borderId="34" xfId="31" applyNumberFormat="1" applyFont="1" applyFill="1" applyBorder="1" applyAlignment="1">
      <alignment horizontal="right"/>
    </xf>
    <xf numFmtId="174" fontId="4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/>
    <xf numFmtId="174" fontId="4" fillId="0" borderId="35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3" fillId="0" borderId="63" xfId="0" applyFont="1" applyFill="1" applyBorder="1" applyAlignment="1">
      <alignment horizontal="left"/>
    </xf>
    <xf numFmtId="0" fontId="3" fillId="0" borderId="69" xfId="0" applyFont="1" applyFill="1" applyBorder="1"/>
    <xf numFmtId="173" fontId="3" fillId="0" borderId="63" xfId="0" applyNumberFormat="1" applyFont="1" applyFill="1" applyBorder="1"/>
    <xf numFmtId="173" fontId="3" fillId="0" borderId="46" xfId="0" applyNumberFormat="1" applyFont="1" applyFill="1" applyBorder="1"/>
    <xf numFmtId="173" fontId="4" fillId="0" borderId="39" xfId="0" applyNumberFormat="1" applyFont="1" applyFill="1" applyBorder="1"/>
    <xf numFmtId="173" fontId="3" fillId="0" borderId="64" xfId="0" applyNumberFormat="1" applyFont="1" applyFill="1" applyBorder="1"/>
    <xf numFmtId="173" fontId="3" fillId="0" borderId="69" xfId="0" applyNumberFormat="1" applyFont="1" applyFill="1" applyBorder="1"/>
    <xf numFmtId="173" fontId="3" fillId="0" borderId="37" xfId="0" applyNumberFormat="1" applyFont="1" applyFill="1" applyBorder="1"/>
    <xf numFmtId="173" fontId="3" fillId="0" borderId="49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/>
    <xf numFmtId="173" fontId="3" fillId="0" borderId="12" xfId="0" applyNumberFormat="1" applyFont="1" applyFill="1" applyBorder="1"/>
    <xf numFmtId="173" fontId="3" fillId="0" borderId="10" xfId="0" applyNumberFormat="1" applyFont="1" applyFill="1" applyBorder="1"/>
    <xf numFmtId="173" fontId="4" fillId="0" borderId="13" xfId="0" applyNumberFormat="1" applyFont="1" applyFill="1" applyBorder="1"/>
    <xf numFmtId="173" fontId="3" fillId="0" borderId="36" xfId="0" applyNumberFormat="1" applyFont="1" applyFill="1" applyBorder="1"/>
    <xf numFmtId="173" fontId="3" fillId="0" borderId="38" xfId="0" applyNumberFormat="1" applyFont="1" applyFill="1" applyBorder="1"/>
    <xf numFmtId="173" fontId="3" fillId="0" borderId="142" xfId="0" applyNumberFormat="1" applyFont="1" applyFill="1" applyBorder="1"/>
    <xf numFmtId="173" fontId="3" fillId="0" borderId="141" xfId="0" applyNumberFormat="1" applyFont="1" applyFill="1" applyBorder="1"/>
    <xf numFmtId="0" fontId="4" fillId="0" borderId="12" xfId="0" applyFont="1" applyFill="1" applyBorder="1" applyAlignment="1">
      <alignment horizontal="left"/>
    </xf>
    <xf numFmtId="0" fontId="4" fillId="0" borderId="38" xfId="0" applyFont="1" applyFill="1" applyBorder="1"/>
    <xf numFmtId="173" fontId="4" fillId="0" borderId="12" xfId="0" applyNumberFormat="1" applyFont="1" applyFill="1" applyBorder="1"/>
    <xf numFmtId="173" fontId="4" fillId="0" borderId="10" xfId="0" applyNumberFormat="1" applyFont="1" applyFill="1" applyBorder="1"/>
    <xf numFmtId="173" fontId="4" fillId="0" borderId="38" xfId="0" applyNumberFormat="1" applyFont="1" applyFill="1" applyBorder="1"/>
    <xf numFmtId="173" fontId="4" fillId="0" borderId="142" xfId="0" applyNumberFormat="1" applyFont="1" applyFill="1" applyBorder="1"/>
    <xf numFmtId="173" fontId="4" fillId="0" borderId="141" xfId="0" applyNumberFormat="1" applyFont="1" applyFill="1" applyBorder="1"/>
    <xf numFmtId="0" fontId="51" fillId="0" borderId="38" xfId="0" applyFont="1" applyFill="1" applyBorder="1"/>
    <xf numFmtId="173" fontId="4" fillId="0" borderId="36" xfId="0" applyNumberFormat="1" applyFont="1" applyFill="1" applyBorder="1"/>
    <xf numFmtId="173" fontId="3" fillId="0" borderId="13" xfId="0" applyNumberFormat="1" applyFont="1" applyFill="1" applyBorder="1"/>
    <xf numFmtId="173" fontId="2" fillId="0" borderId="12" xfId="0" applyNumberFormat="1" applyFont="1" applyFill="1" applyBorder="1"/>
    <xf numFmtId="173" fontId="2" fillId="0" borderId="10" xfId="0" applyNumberFormat="1" applyFont="1" applyFill="1" applyBorder="1"/>
    <xf numFmtId="173" fontId="2" fillId="0" borderId="13" xfId="0" applyNumberFormat="1" applyFont="1" applyFill="1" applyBorder="1"/>
    <xf numFmtId="173" fontId="2" fillId="0" borderId="38" xfId="0" applyNumberFormat="1" applyFont="1" applyFill="1" applyBorder="1"/>
    <xf numFmtId="173" fontId="2" fillId="0" borderId="142" xfId="0" applyNumberFormat="1" applyFont="1" applyFill="1" applyBorder="1"/>
    <xf numFmtId="173" fontId="3" fillId="0" borderId="48" xfId="0" applyNumberFormat="1" applyFont="1" applyFill="1" applyBorder="1"/>
    <xf numFmtId="0" fontId="2" fillId="0" borderId="12" xfId="0" applyFont="1" applyFill="1" applyBorder="1" applyAlignment="1">
      <alignment horizontal="left"/>
    </xf>
    <xf numFmtId="0" fontId="2" fillId="0" borderId="38" xfId="0" applyFont="1" applyFill="1" applyBorder="1"/>
    <xf numFmtId="173" fontId="2" fillId="0" borderId="48" xfId="0" applyNumberFormat="1" applyFont="1" applyFill="1" applyBorder="1"/>
    <xf numFmtId="0" fontId="4" fillId="0" borderId="51" xfId="0" applyFont="1" applyFill="1" applyBorder="1" applyAlignment="1">
      <alignment horizontal="left"/>
    </xf>
    <xf numFmtId="0" fontId="4" fillId="0" borderId="72" xfId="0" applyFont="1" applyFill="1" applyBorder="1" applyAlignment="1">
      <alignment vertical="justify" wrapText="1"/>
    </xf>
    <xf numFmtId="173" fontId="4" fillId="0" borderId="0" xfId="0" applyNumberFormat="1" applyFont="1" applyFill="1"/>
    <xf numFmtId="173" fontId="4" fillId="0" borderId="52" xfId="0" applyNumberFormat="1" applyFont="1" applyFill="1" applyBorder="1"/>
    <xf numFmtId="173" fontId="4" fillId="0" borderId="65" xfId="0" applyNumberFormat="1" applyFont="1" applyFill="1" applyBorder="1"/>
    <xf numFmtId="173" fontId="4" fillId="0" borderId="72" xfId="0" applyNumberFormat="1" applyFont="1" applyFill="1" applyBorder="1"/>
    <xf numFmtId="173" fontId="4" fillId="0" borderId="143" xfId="0" applyNumberFormat="1" applyFont="1" applyFill="1" applyBorder="1"/>
    <xf numFmtId="173" fontId="3" fillId="0" borderId="30" xfId="0" applyNumberFormat="1" applyFont="1" applyFill="1" applyBorder="1"/>
    <xf numFmtId="173" fontId="3" fillId="0" borderId="47" xfId="0" applyNumberFormat="1" applyFont="1" applyFill="1" applyBorder="1"/>
    <xf numFmtId="173" fontId="3" fillId="0" borderId="62" xfId="0" applyNumberFormat="1" applyFont="1" applyFill="1" applyBorder="1"/>
    <xf numFmtId="181" fontId="3" fillId="0" borderId="30" xfId="0" applyNumberFormat="1" applyFont="1" applyFill="1" applyBorder="1"/>
    <xf numFmtId="181" fontId="3" fillId="0" borderId="62" xfId="0" applyNumberFormat="1" applyFont="1" applyFill="1" applyBorder="1"/>
    <xf numFmtId="0" fontId="4" fillId="0" borderId="0" xfId="0" applyFont="1" applyFill="1"/>
    <xf numFmtId="177" fontId="4" fillId="0" borderId="0" xfId="0" applyNumberFormat="1" applyFont="1" applyFill="1"/>
    <xf numFmtId="164" fontId="4" fillId="0" borderId="0" xfId="37" applyFont="1" applyFill="1"/>
    <xf numFmtId="44" fontId="4" fillId="0" borderId="0" xfId="0" applyNumberFormat="1" applyFont="1" applyFill="1"/>
    <xf numFmtId="0" fontId="13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8" fontId="3" fillId="0" borderId="145" xfId="0" applyNumberFormat="1" applyFont="1" applyFill="1" applyBorder="1" applyAlignment="1">
      <alignment horizontal="center"/>
    </xf>
    <xf numFmtId="8" fontId="3" fillId="0" borderId="92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vertical="center" wrapText="1"/>
    </xf>
    <xf numFmtId="49" fontId="4" fillId="0" borderId="38" xfId="0" applyNumberFormat="1" applyFont="1" applyFill="1" applyBorder="1" applyAlignment="1">
      <alignment horizontal="center"/>
    </xf>
    <xf numFmtId="8" fontId="4" fillId="0" borderId="12" xfId="0" applyNumberFormat="1" applyFont="1" applyFill="1" applyBorder="1" applyAlignment="1">
      <alignment horizontal="center"/>
    </xf>
    <xf numFmtId="8" fontId="4" fillId="0" borderId="13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8" fontId="3" fillId="0" borderId="28" xfId="0" applyNumberFormat="1" applyFont="1" applyFill="1" applyBorder="1" applyAlignment="1">
      <alignment horizontal="center"/>
    </xf>
    <xf numFmtId="0" fontId="38" fillId="0" borderId="0" xfId="0" applyFont="1" applyFill="1"/>
    <xf numFmtId="4" fontId="2" fillId="0" borderId="0" xfId="31" applyNumberFormat="1" applyFill="1" applyAlignment="1">
      <alignment horizontal="left" vertical="center"/>
    </xf>
    <xf numFmtId="174" fontId="0" fillId="0" borderId="0" xfId="0" applyNumberFormat="1" applyFill="1"/>
    <xf numFmtId="0" fontId="8" fillId="0" borderId="145" xfId="0" applyFont="1" applyFill="1" applyBorder="1" applyAlignment="1">
      <alignment horizontal="left"/>
    </xf>
    <xf numFmtId="0" fontId="8" fillId="0" borderId="88" xfId="0" applyFont="1" applyFill="1" applyBorder="1"/>
    <xf numFmtId="174" fontId="3" fillId="0" borderId="91" xfId="0" applyNumberFormat="1" applyFont="1" applyFill="1" applyBorder="1"/>
    <xf numFmtId="174" fontId="3" fillId="0" borderId="145" xfId="0" applyNumberFormat="1" applyFont="1" applyFill="1" applyBorder="1"/>
    <xf numFmtId="174" fontId="3" fillId="0" borderId="88" xfId="0" applyNumberFormat="1" applyFont="1" applyFill="1" applyBorder="1"/>
    <xf numFmtId="0" fontId="8" fillId="0" borderId="142" xfId="0" applyFont="1" applyFill="1" applyBorder="1" applyAlignment="1">
      <alignment horizontal="left"/>
    </xf>
    <xf numFmtId="0" fontId="8" fillId="0" borderId="86" xfId="0" applyFont="1" applyFill="1" applyBorder="1"/>
    <xf numFmtId="174" fontId="3" fillId="0" borderId="48" xfId="0" applyNumberFormat="1" applyFont="1" applyFill="1" applyBorder="1"/>
    <xf numFmtId="174" fontId="3" fillId="0" borderId="142" xfId="0" applyNumberFormat="1" applyFont="1" applyFill="1" applyBorder="1"/>
    <xf numFmtId="174" fontId="3" fillId="0" borderId="86" xfId="0" applyNumberFormat="1" applyFont="1" applyFill="1" applyBorder="1"/>
    <xf numFmtId="0" fontId="7" fillId="0" borderId="142" xfId="0" applyFont="1" applyFill="1" applyBorder="1" applyAlignment="1">
      <alignment horizontal="left"/>
    </xf>
    <xf numFmtId="0" fontId="7" fillId="0" borderId="86" xfId="0" applyFont="1" applyFill="1" applyBorder="1"/>
    <xf numFmtId="174" fontId="4" fillId="0" borderId="48" xfId="0" applyNumberFormat="1" applyFont="1" applyFill="1" applyBorder="1"/>
    <xf numFmtId="174" fontId="4" fillId="0" borderId="142" xfId="0" applyNumberFormat="1" applyFont="1" applyFill="1" applyBorder="1"/>
    <xf numFmtId="174" fontId="4" fillId="0" borderId="86" xfId="0" applyNumberFormat="1" applyFont="1" applyFill="1" applyBorder="1"/>
    <xf numFmtId="174" fontId="0" fillId="0" borderId="142" xfId="0" applyNumberFormat="1" applyFill="1" applyBorder="1"/>
    <xf numFmtId="0" fontId="6" fillId="0" borderId="86" xfId="0" applyFont="1" applyFill="1" applyBorder="1"/>
    <xf numFmtId="0" fontId="7" fillId="0" borderId="83" xfId="0" applyFont="1" applyFill="1" applyBorder="1" applyAlignment="1">
      <alignment horizontal="left"/>
    </xf>
    <xf numFmtId="0" fontId="7" fillId="0" borderId="148" xfId="0" applyFont="1" applyFill="1" applyBorder="1"/>
    <xf numFmtId="174" fontId="0" fillId="0" borderId="83" xfId="0" applyNumberFormat="1" applyFill="1" applyBorder="1"/>
    <xf numFmtId="0" fontId="7" fillId="0" borderId="146" xfId="0" applyFont="1" applyFill="1" applyBorder="1" applyAlignment="1">
      <alignment horizontal="left"/>
    </xf>
    <xf numFmtId="0" fontId="7" fillId="0" borderId="149" xfId="0" applyFont="1" applyFill="1" applyBorder="1"/>
    <xf numFmtId="174" fontId="0" fillId="0" borderId="146" xfId="0" applyNumberFormat="1" applyFill="1" applyBorder="1"/>
    <xf numFmtId="0" fontId="7" fillId="0" borderId="147" xfId="0" applyFont="1" applyFill="1" applyBorder="1" applyAlignment="1">
      <alignment horizontal="left"/>
    </xf>
    <xf numFmtId="0" fontId="7" fillId="0" borderId="150" xfId="0" applyFont="1" applyFill="1" applyBorder="1"/>
    <xf numFmtId="174" fontId="0" fillId="0" borderId="147" xfId="0" applyNumberFormat="1" applyFill="1" applyBorder="1"/>
    <xf numFmtId="0" fontId="8" fillId="0" borderId="37" xfId="0" applyFont="1" applyFill="1" applyBorder="1" applyAlignment="1">
      <alignment horizontal="left"/>
    </xf>
    <xf numFmtId="0" fontId="8" fillId="0" borderId="77" xfId="0" applyFont="1" applyFill="1" applyBorder="1"/>
    <xf numFmtId="174" fontId="3" fillId="0" borderId="37" xfId="0" applyNumberFormat="1" applyFont="1" applyFill="1" applyBorder="1"/>
    <xf numFmtId="174" fontId="3" fillId="0" borderId="141" xfId="0" applyNumberFormat="1" applyFont="1" applyFill="1" applyBorder="1"/>
    <xf numFmtId="174" fontId="4" fillId="0" borderId="141" xfId="0" applyNumberFormat="1" applyFont="1" applyFill="1" applyBorder="1"/>
    <xf numFmtId="174" fontId="0" fillId="0" borderId="141" xfId="0" applyNumberFormat="1" applyFill="1" applyBorder="1"/>
    <xf numFmtId="49" fontId="8" fillId="0" borderId="12" xfId="31" applyNumberFormat="1" applyFont="1" applyFill="1" applyBorder="1" applyAlignment="1">
      <alignment horizontal="left"/>
    </xf>
    <xf numFmtId="4" fontId="8" fillId="0" borderId="38" xfId="31" applyNumberFormat="1" applyFont="1" applyFill="1" applyBorder="1"/>
    <xf numFmtId="174" fontId="3" fillId="0" borderId="12" xfId="0" applyNumberFormat="1" applyFont="1" applyFill="1" applyBorder="1"/>
    <xf numFmtId="174" fontId="3" fillId="0" borderId="10" xfId="0" applyNumberFormat="1" applyFont="1" applyFill="1" applyBorder="1"/>
    <xf numFmtId="174" fontId="3" fillId="0" borderId="13" xfId="0" applyNumberFormat="1" applyFont="1" applyFill="1" applyBorder="1"/>
    <xf numFmtId="49" fontId="7" fillId="0" borderId="14" xfId="31" applyNumberFormat="1" applyFont="1" applyFill="1" applyBorder="1" applyAlignment="1">
      <alignment horizontal="left"/>
    </xf>
    <xf numFmtId="0" fontId="7" fillId="0" borderId="16" xfId="0" applyFont="1" applyFill="1" applyBorder="1" applyAlignment="1">
      <alignment vertical="center" wrapText="1"/>
    </xf>
    <xf numFmtId="174" fontId="4" fillId="0" borderId="14" xfId="0" applyNumberFormat="1" applyFont="1" applyFill="1" applyBorder="1"/>
    <xf numFmtId="174" fontId="4" fillId="0" borderId="73" xfId="0" applyNumberFormat="1" applyFont="1" applyFill="1" applyBorder="1"/>
    <xf numFmtId="174" fontId="0" fillId="0" borderId="15" xfId="0" applyNumberFormat="1" applyFill="1" applyBorder="1"/>
    <xf numFmtId="0" fontId="0" fillId="0" borderId="62" xfId="0" applyFill="1" applyBorder="1"/>
    <xf numFmtId="0" fontId="3" fillId="0" borderId="30" xfId="0" applyFont="1" applyFill="1" applyBorder="1"/>
    <xf numFmtId="174" fontId="3" fillId="0" borderId="11" xfId="0" applyNumberFormat="1" applyFont="1" applyFill="1" applyBorder="1"/>
    <xf numFmtId="174" fontId="52" fillId="0" borderId="0" xfId="0" applyNumberFormat="1" applyFont="1" applyFill="1"/>
    <xf numFmtId="174" fontId="3" fillId="0" borderId="92" xfId="0" applyNumberFormat="1" applyFont="1" applyFill="1" applyBorder="1"/>
    <xf numFmtId="0" fontId="6" fillId="0" borderId="142" xfId="0" applyFont="1" applyFill="1" applyBorder="1" applyAlignment="1">
      <alignment horizontal="left"/>
    </xf>
    <xf numFmtId="49" fontId="8" fillId="0" borderId="142" xfId="31" applyNumberFormat="1" applyFont="1" applyFill="1" applyBorder="1" applyAlignment="1">
      <alignment horizontal="left"/>
    </xf>
    <xf numFmtId="4" fontId="8" fillId="0" borderId="86" xfId="31" applyNumberFormat="1" applyFont="1" applyFill="1" applyBorder="1"/>
    <xf numFmtId="49" fontId="7" fillId="0" borderId="83" xfId="31" applyNumberFormat="1" applyFont="1" applyFill="1" applyBorder="1" applyAlignment="1">
      <alignment horizontal="left"/>
    </xf>
    <xf numFmtId="0" fontId="7" fillId="0" borderId="148" xfId="0" applyFont="1" applyFill="1" applyBorder="1" applyAlignment="1">
      <alignment vertical="center" wrapText="1"/>
    </xf>
    <xf numFmtId="174" fontId="4" fillId="0" borderId="15" xfId="0" applyNumberFormat="1" applyFont="1" applyFill="1" applyBorder="1"/>
    <xf numFmtId="174" fontId="0" fillId="0" borderId="71" xfId="0" applyNumberFormat="1" applyFill="1" applyBorder="1"/>
    <xf numFmtId="0" fontId="0" fillId="0" borderId="30" xfId="0" applyFill="1" applyBorder="1"/>
    <xf numFmtId="0" fontId="3" fillId="0" borderId="32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4" fontId="0" fillId="0" borderId="0" xfId="0" applyNumberFormat="1" applyFill="1" applyAlignment="1">
      <alignment horizontal="center"/>
    </xf>
    <xf numFmtId="0" fontId="5" fillId="0" borderId="0" xfId="0" applyFont="1" applyFill="1"/>
    <xf numFmtId="0" fontId="5" fillId="0" borderId="31" xfId="0" applyFont="1" applyFill="1" applyBorder="1"/>
    <xf numFmtId="0" fontId="3" fillId="0" borderId="47" xfId="0" applyFont="1" applyFill="1" applyBorder="1"/>
    <xf numFmtId="0" fontId="8" fillId="0" borderId="30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174" fontId="8" fillId="0" borderId="30" xfId="0" applyNumberFormat="1" applyFont="1" applyFill="1" applyBorder="1" applyAlignment="1">
      <alignment horizontal="center" wrapText="1"/>
    </xf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88" xfId="0" applyFont="1" applyFill="1" applyBorder="1" applyAlignment="1">
      <alignment horizontal="left"/>
    </xf>
    <xf numFmtId="174" fontId="3" fillId="0" borderId="17" xfId="33" applyNumberFormat="1" applyFont="1" applyFill="1" applyBorder="1" applyAlignment="1">
      <alignment vertical="center"/>
    </xf>
    <xf numFmtId="164" fontId="3" fillId="0" borderId="17" xfId="33" applyNumberFormat="1" applyFont="1" applyFill="1" applyBorder="1" applyAlignment="1">
      <alignment vertical="center"/>
    </xf>
    <xf numFmtId="167" fontId="3" fillId="0" borderId="18" xfId="0" applyNumberFormat="1" applyFont="1" applyFill="1" applyBorder="1" applyAlignment="1">
      <alignment vertical="center"/>
    </xf>
    <xf numFmtId="167" fontId="3" fillId="0" borderId="144" xfId="0" applyNumberFormat="1" applyFont="1" applyFill="1" applyBorder="1" applyAlignment="1">
      <alignment vertical="center"/>
    </xf>
    <xf numFmtId="167" fontId="3" fillId="0" borderId="145" xfId="0" applyNumberFormat="1" applyFont="1" applyFill="1" applyBorder="1" applyAlignment="1">
      <alignment vertical="center"/>
    </xf>
    <xf numFmtId="0" fontId="8" fillId="0" borderId="86" xfId="0" applyFont="1" applyFill="1" applyBorder="1" applyAlignment="1">
      <alignment horizontal="left"/>
    </xf>
    <xf numFmtId="174" fontId="3" fillId="0" borderId="12" xfId="37" applyNumberFormat="1" applyFont="1" applyFill="1" applyBorder="1" applyAlignment="1">
      <alignment vertical="center"/>
    </xf>
    <xf numFmtId="164" fontId="3" fillId="0" borderId="12" xfId="37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7" fontId="3" fillId="0" borderId="38" xfId="0" quotePrefix="1" applyNumberFormat="1" applyFont="1" applyFill="1" applyBorder="1" applyAlignment="1">
      <alignment wrapText="1"/>
    </xf>
    <xf numFmtId="167" fontId="3" fillId="0" borderId="142" xfId="0" quotePrefix="1" applyNumberFormat="1" applyFont="1" applyFill="1" applyBorder="1" applyAlignment="1">
      <alignment wrapText="1"/>
    </xf>
    <xf numFmtId="49" fontId="7" fillId="0" borderId="142" xfId="31" applyNumberFormat="1" applyFont="1" applyFill="1" applyBorder="1" applyAlignment="1">
      <alignment horizontal="left"/>
    </xf>
    <xf numFmtId="4" fontId="7" fillId="0" borderId="86" xfId="31" applyNumberFormat="1" applyFont="1" applyFill="1" applyBorder="1"/>
    <xf numFmtId="167" fontId="51" fillId="0" borderId="10" xfId="34" quotePrefix="1" applyNumberFormat="1" applyFont="1" applyFill="1" applyBorder="1" applyAlignment="1">
      <alignment wrapText="1"/>
    </xf>
    <xf numFmtId="167" fontId="51" fillId="0" borderId="38" xfId="34" quotePrefix="1" applyNumberFormat="1" applyFont="1" applyFill="1" applyBorder="1" applyAlignment="1">
      <alignment wrapText="1"/>
    </xf>
    <xf numFmtId="167" fontId="51" fillId="0" borderId="142" xfId="34" quotePrefix="1" applyNumberFormat="1" applyFont="1" applyFill="1" applyBorder="1" applyAlignment="1">
      <alignment wrapText="1"/>
    </xf>
    <xf numFmtId="167" fontId="60" fillId="0" borderId="10" xfId="34" quotePrefix="1" applyNumberFormat="1" applyFont="1" applyFill="1" applyBorder="1" applyAlignment="1">
      <alignment wrapText="1"/>
    </xf>
    <xf numFmtId="167" fontId="60" fillId="0" borderId="38" xfId="34" quotePrefix="1" applyNumberFormat="1" applyFont="1" applyFill="1" applyBorder="1" applyAlignment="1">
      <alignment wrapText="1"/>
    </xf>
    <xf numFmtId="167" fontId="51" fillId="0" borderId="10" xfId="34" applyNumberFormat="1" applyFont="1" applyFill="1" applyBorder="1"/>
    <xf numFmtId="167" fontId="51" fillId="0" borderId="38" xfId="34" applyNumberFormat="1" applyFont="1" applyFill="1" applyBorder="1"/>
    <xf numFmtId="167" fontId="60" fillId="0" borderId="142" xfId="34" quotePrefix="1" applyNumberFormat="1" applyFont="1" applyFill="1" applyBorder="1" applyAlignment="1">
      <alignment wrapText="1"/>
    </xf>
    <xf numFmtId="167" fontId="60" fillId="0" borderId="10" xfId="34" applyNumberFormat="1" applyFont="1" applyFill="1" applyBorder="1"/>
    <xf numFmtId="167" fontId="60" fillId="0" borderId="38" xfId="34" applyNumberFormat="1" applyFont="1" applyFill="1" applyBorder="1"/>
    <xf numFmtId="4" fontId="8" fillId="0" borderId="86" xfId="31" applyNumberFormat="1" applyFont="1" applyFill="1" applyBorder="1" applyAlignment="1">
      <alignment vertical="center" wrapText="1"/>
    </xf>
    <xf numFmtId="167" fontId="60" fillId="0" borderId="142" xfId="34" quotePrefix="1" applyNumberFormat="1" applyFont="1" applyFill="1" applyBorder="1" applyAlignment="1">
      <alignment vertical="center" wrapText="1"/>
    </xf>
    <xf numFmtId="174" fontId="2" fillId="0" borderId="12" xfId="37" applyNumberFormat="1" applyFill="1" applyBorder="1" applyAlignment="1">
      <alignment vertical="center"/>
    </xf>
    <xf numFmtId="164" fontId="2" fillId="0" borderId="142" xfId="37" applyFill="1" applyBorder="1" applyAlignment="1">
      <alignment vertical="center"/>
    </xf>
    <xf numFmtId="167" fontId="60" fillId="0" borderId="142" xfId="33" applyNumberFormat="1" applyFont="1" applyFill="1" applyBorder="1" applyAlignment="1">
      <alignment vertical="center"/>
    </xf>
    <xf numFmtId="174" fontId="3" fillId="0" borderId="12" xfId="37" applyNumberFormat="1" applyFont="1" applyFill="1" applyBorder="1"/>
    <xf numFmtId="164" fontId="3" fillId="0" borderId="142" xfId="37" applyFont="1" applyFill="1" applyBorder="1"/>
    <xf numFmtId="167" fontId="2" fillId="0" borderId="10" xfId="34" applyNumberFormat="1" applyFill="1" applyBorder="1"/>
    <xf numFmtId="167" fontId="2" fillId="0" borderId="38" xfId="34" applyNumberFormat="1" applyFill="1" applyBorder="1"/>
    <xf numFmtId="167" fontId="3" fillId="0" borderId="142" xfId="34" quotePrefix="1" applyNumberFormat="1" applyFont="1" applyFill="1" applyBorder="1" applyAlignment="1">
      <alignment wrapText="1"/>
    </xf>
    <xf numFmtId="174" fontId="2" fillId="0" borderId="12" xfId="37" applyNumberFormat="1" applyFill="1" applyBorder="1"/>
    <xf numFmtId="164" fontId="2" fillId="0" borderId="142" xfId="37" applyFill="1" applyBorder="1"/>
    <xf numFmtId="167" fontId="2" fillId="0" borderId="142" xfId="34" quotePrefix="1" applyNumberFormat="1" applyFill="1" applyBorder="1" applyAlignment="1">
      <alignment wrapText="1"/>
    </xf>
    <xf numFmtId="167" fontId="3" fillId="0" borderId="10" xfId="34" applyNumberFormat="1" applyFont="1" applyFill="1" applyBorder="1"/>
    <xf numFmtId="167" fontId="3" fillId="0" borderId="38" xfId="34" applyNumberFormat="1" applyFont="1" applyFill="1" applyBorder="1"/>
    <xf numFmtId="0" fontId="7" fillId="0" borderId="86" xfId="0" applyFont="1" applyFill="1" applyBorder="1" applyAlignment="1">
      <alignment vertical="center" wrapText="1"/>
    </xf>
    <xf numFmtId="174" fontId="3" fillId="0" borderId="63" xfId="37" applyNumberFormat="1" applyFont="1" applyFill="1" applyBorder="1"/>
    <xf numFmtId="164" fontId="3" fillId="0" borderId="37" xfId="37" applyFont="1" applyFill="1" applyBorder="1"/>
    <xf numFmtId="167" fontId="2" fillId="0" borderId="46" xfId="34" applyNumberFormat="1" applyFill="1" applyBorder="1"/>
    <xf numFmtId="167" fontId="2" fillId="0" borderId="69" xfId="34" applyNumberFormat="1" applyFill="1" applyBorder="1"/>
    <xf numFmtId="167" fontId="3" fillId="0" borderId="37" xfId="34" quotePrefix="1" applyNumberFormat="1" applyFont="1" applyFill="1" applyBorder="1" applyAlignment="1">
      <alignment wrapText="1"/>
    </xf>
    <xf numFmtId="0" fontId="7" fillId="0" borderId="142" xfId="0" applyFont="1" applyFill="1" applyBorder="1" applyAlignment="1">
      <alignment horizontal="left" vertical="center"/>
    </xf>
    <xf numFmtId="167" fontId="2" fillId="0" borderId="10" xfId="34" applyNumberFormat="1" applyFill="1" applyBorder="1" applyAlignment="1">
      <alignment vertical="center"/>
    </xf>
    <xf numFmtId="167" fontId="2" fillId="0" borderId="38" xfId="34" applyNumberFormat="1" applyFill="1" applyBorder="1" applyAlignment="1">
      <alignment vertical="center"/>
    </xf>
    <xf numFmtId="167" fontId="2" fillId="0" borderId="142" xfId="34" quotePrefix="1" applyNumberFormat="1" applyFill="1" applyBorder="1" applyAlignment="1">
      <alignment vertical="center" wrapText="1"/>
    </xf>
    <xf numFmtId="167" fontId="3" fillId="0" borderId="10" xfId="0" applyNumberFormat="1" applyFont="1" applyFill="1" applyBorder="1"/>
    <xf numFmtId="167" fontId="3" fillId="0" borderId="38" xfId="0" applyNumberFormat="1" applyFont="1" applyFill="1" applyBorder="1"/>
    <xf numFmtId="174" fontId="2" fillId="0" borderId="48" xfId="37" applyNumberFormat="1" applyFill="1" applyBorder="1"/>
    <xf numFmtId="174" fontId="3" fillId="0" borderId="48" xfId="37" applyNumberFormat="1" applyFont="1" applyFill="1" applyBorder="1"/>
    <xf numFmtId="167" fontId="0" fillId="0" borderId="10" xfId="0" applyNumberFormat="1" applyFill="1" applyBorder="1"/>
    <xf numFmtId="167" fontId="0" fillId="0" borderId="38" xfId="0" applyNumberFormat="1" applyFill="1" applyBorder="1"/>
    <xf numFmtId="164" fontId="4" fillId="0" borderId="142" xfId="37" applyFont="1" applyFill="1" applyBorder="1"/>
    <xf numFmtId="0" fontId="8" fillId="0" borderId="142" xfId="0" applyFont="1" applyFill="1" applyBorder="1" applyAlignment="1">
      <alignment horizontal="left" vertical="center"/>
    </xf>
    <xf numFmtId="164" fontId="3" fillId="0" borderId="142" xfId="37" applyFont="1" applyFill="1" applyBorder="1" applyAlignment="1">
      <alignment vertical="center"/>
    </xf>
    <xf numFmtId="167" fontId="0" fillId="0" borderId="10" xfId="0" applyNumberFormat="1" applyFill="1" applyBorder="1" applyAlignment="1">
      <alignment vertical="center"/>
    </xf>
    <xf numFmtId="167" fontId="0" fillId="0" borderId="38" xfId="0" applyNumberFormat="1" applyFill="1" applyBorder="1" applyAlignment="1">
      <alignment vertical="center"/>
    </xf>
    <xf numFmtId="167" fontId="3" fillId="0" borderId="142" xfId="34" quotePrefix="1" applyNumberFormat="1" applyFont="1" applyFill="1" applyBorder="1" applyAlignment="1">
      <alignment vertical="center" wrapText="1"/>
    </xf>
    <xf numFmtId="0" fontId="6" fillId="0" borderId="86" xfId="0" applyFont="1" applyFill="1" applyBorder="1" applyAlignment="1">
      <alignment vertical="center" wrapText="1"/>
    </xf>
    <xf numFmtId="4" fontId="8" fillId="0" borderId="0" xfId="31" applyNumberFormat="1" applyFont="1" applyFill="1"/>
    <xf numFmtId="167" fontId="4" fillId="0" borderId="10" xfId="0" applyNumberFormat="1" applyFont="1" applyFill="1" applyBorder="1"/>
    <xf numFmtId="167" fontId="4" fillId="0" borderId="38" xfId="0" applyNumberFormat="1" applyFont="1" applyFill="1" applyBorder="1"/>
    <xf numFmtId="167" fontId="4" fillId="0" borderId="142" xfId="34" quotePrefix="1" applyNumberFormat="1" applyFont="1" applyFill="1" applyBorder="1" applyAlignment="1">
      <alignment wrapText="1"/>
    </xf>
    <xf numFmtId="174" fontId="4" fillId="0" borderId="12" xfId="37" applyNumberFormat="1" applyFont="1" applyFill="1" applyBorder="1"/>
    <xf numFmtId="174" fontId="8" fillId="0" borderId="12" xfId="37" applyNumberFormat="1" applyFont="1" applyFill="1" applyBorder="1" applyAlignment="1">
      <alignment vertical="center" wrapText="1"/>
    </xf>
    <xf numFmtId="0" fontId="7" fillId="0" borderId="143" xfId="0" applyFont="1" applyFill="1" applyBorder="1" applyAlignment="1">
      <alignment horizontal="left"/>
    </xf>
    <xf numFmtId="0" fontId="7" fillId="0" borderId="90" xfId="0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64" fontId="2" fillId="0" borderId="143" xfId="37" applyFill="1" applyBorder="1"/>
    <xf numFmtId="167" fontId="0" fillId="0" borderId="52" xfId="0" applyNumberFormat="1" applyFill="1" applyBorder="1"/>
    <xf numFmtId="167" fontId="0" fillId="0" borderId="72" xfId="0" applyNumberFormat="1" applyFill="1" applyBorder="1"/>
    <xf numFmtId="167" fontId="2" fillId="0" borderId="143" xfId="34" quotePrefix="1" applyNumberFormat="1" applyFill="1" applyBorder="1" applyAlignment="1">
      <alignment wrapText="1"/>
    </xf>
    <xf numFmtId="0" fontId="3" fillId="0" borderId="32" xfId="0" applyFont="1" applyFill="1" applyBorder="1" applyAlignment="1">
      <alignment horizontal="center"/>
    </xf>
    <xf numFmtId="174" fontId="3" fillId="0" borderId="53" xfId="37" applyNumberFormat="1" applyFont="1" applyFill="1" applyBorder="1"/>
    <xf numFmtId="167" fontId="3" fillId="0" borderId="54" xfId="0" applyNumberFormat="1" applyFont="1" applyFill="1" applyBorder="1"/>
    <xf numFmtId="167" fontId="3" fillId="0" borderId="56" xfId="0" applyNumberFormat="1" applyFont="1" applyFill="1" applyBorder="1"/>
    <xf numFmtId="167" fontId="3" fillId="0" borderId="30" xfId="0" applyNumberFormat="1" applyFont="1" applyFill="1" applyBorder="1"/>
    <xf numFmtId="0" fontId="52" fillId="0" borderId="0" xfId="0" applyFont="1" applyFill="1"/>
    <xf numFmtId="174" fontId="51" fillId="0" borderId="0" xfId="0" applyNumberFormat="1" applyFont="1" applyFill="1"/>
    <xf numFmtId="165" fontId="51" fillId="0" borderId="0" xfId="0" applyNumberFormat="1" applyFont="1" applyFill="1"/>
    <xf numFmtId="0" fontId="57" fillId="0" borderId="0" xfId="0" applyFont="1" applyFill="1"/>
    <xf numFmtId="165" fontId="0" fillId="0" borderId="0" xfId="0" applyNumberFormat="1" applyFill="1"/>
    <xf numFmtId="165" fontId="57" fillId="0" borderId="0" xfId="0" applyNumberFormat="1" applyFont="1" applyFill="1"/>
    <xf numFmtId="174" fontId="57" fillId="0" borderId="0" xfId="0" applyNumberFormat="1" applyFont="1" applyFill="1"/>
    <xf numFmtId="0" fontId="6" fillId="0" borderId="0" xfId="0" applyFont="1" applyFill="1" applyAlignment="1">
      <alignment horizontal="right"/>
    </xf>
    <xf numFmtId="174" fontId="61" fillId="0" borderId="0" xfId="0" applyNumberFormat="1" applyFont="1" applyFill="1"/>
    <xf numFmtId="165" fontId="61" fillId="0" borderId="0" xfId="0" applyNumberFormat="1" applyFont="1" applyFill="1"/>
    <xf numFmtId="0" fontId="3" fillId="0" borderId="6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52" fillId="0" borderId="2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74" xfId="37" applyFill="1" applyBorder="1" applyAlignment="1">
      <alignment horizontal="center" wrapText="1"/>
    </xf>
    <xf numFmtId="164" fontId="2" fillId="0" borderId="0" xfId="37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49" fontId="52" fillId="0" borderId="24" xfId="0" applyNumberFormat="1" applyFont="1" applyFill="1" applyBorder="1" applyAlignment="1">
      <alignment horizontal="left" vertical="center" wrapText="1"/>
    </xf>
    <xf numFmtId="164" fontId="3" fillId="0" borderId="0" xfId="37" applyFont="1" applyFill="1" applyAlignment="1">
      <alignment horizontal="center" wrapText="1"/>
    </xf>
    <xf numFmtId="4" fontId="3" fillId="0" borderId="0" xfId="31" applyNumberFormat="1" applyFont="1" applyFill="1" applyAlignment="1">
      <alignment wrapText="1"/>
    </xf>
    <xf numFmtId="0" fontId="2" fillId="0" borderId="20" xfId="0" applyFont="1" applyFill="1" applyBorder="1" applyAlignment="1">
      <alignment horizontal="left"/>
    </xf>
    <xf numFmtId="49" fontId="52" fillId="0" borderId="24" xfId="0" applyNumberFormat="1" applyFont="1" applyFill="1" applyBorder="1" applyAlignment="1">
      <alignment horizontal="left"/>
    </xf>
    <xf numFmtId="4" fontId="3" fillId="0" borderId="43" xfId="31" applyNumberFormat="1" applyFont="1" applyFill="1" applyBorder="1" applyAlignment="1">
      <alignment wrapText="1"/>
    </xf>
    <xf numFmtId="167" fontId="2" fillId="0" borderId="0" xfId="31" applyNumberFormat="1" applyFill="1" applyAlignment="1">
      <alignment horizontal="right"/>
    </xf>
    <xf numFmtId="167" fontId="3" fillId="0" borderId="0" xfId="31" applyNumberFormat="1" applyFont="1" applyFill="1" applyAlignment="1">
      <alignment horizontal="right"/>
    </xf>
    <xf numFmtId="0" fontId="2" fillId="0" borderId="50" xfId="0" applyFont="1" applyFill="1" applyBorder="1" applyAlignment="1">
      <alignment horizontal="left" vertical="center" wrapText="1"/>
    </xf>
    <xf numFmtId="49" fontId="52" fillId="0" borderId="63" xfId="0" applyNumberFormat="1" applyFont="1" applyFill="1" applyBorder="1" applyAlignment="1">
      <alignment horizontal="center" vertical="center" wrapText="1"/>
    </xf>
    <xf numFmtId="167" fontId="2" fillId="0" borderId="37" xfId="31" applyNumberFormat="1" applyFill="1" applyBorder="1" applyAlignment="1">
      <alignment horizontal="right"/>
    </xf>
    <xf numFmtId="4" fontId="2" fillId="0" borderId="0" xfId="31" applyNumberFormat="1" applyFill="1" applyAlignment="1">
      <alignment wrapText="1"/>
    </xf>
    <xf numFmtId="0" fontId="3" fillId="0" borderId="77" xfId="0" applyFont="1" applyFill="1" applyBorder="1" applyAlignment="1">
      <alignment horizontal="left" vertical="center" wrapText="1"/>
    </xf>
    <xf numFmtId="4" fontId="3" fillId="0" borderId="43" xfId="31" applyNumberFormat="1" applyFont="1" applyFill="1" applyBorder="1" applyAlignment="1">
      <alignment vertical="center" wrapText="1"/>
    </xf>
    <xf numFmtId="4" fontId="2" fillId="0" borderId="43" xfId="31" applyNumberFormat="1" applyFill="1" applyBorder="1" applyAlignment="1">
      <alignment vertical="center" wrapText="1"/>
    </xf>
    <xf numFmtId="164" fontId="2" fillId="0" borderId="0" xfId="37" applyFill="1" applyBorder="1" applyAlignment="1">
      <alignment horizontal="center" wrapText="1"/>
    </xf>
    <xf numFmtId="0" fontId="52" fillId="0" borderId="20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49" fontId="52" fillId="0" borderId="53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left" vertical="center" wrapText="1"/>
    </xf>
    <xf numFmtId="164" fontId="3" fillId="0" borderId="53" xfId="37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44" fontId="0" fillId="0" borderId="0" xfId="0" applyNumberFormat="1" applyFill="1"/>
    <xf numFmtId="167" fontId="2" fillId="0" borderId="77" xfId="31" applyNumberFormat="1" applyFill="1" applyBorder="1" applyAlignment="1">
      <alignment horizontal="right"/>
    </xf>
    <xf numFmtId="4" fontId="3" fillId="0" borderId="0" xfId="31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164" fontId="2" fillId="0" borderId="37" xfId="37" applyFill="1" applyBorder="1" applyAlignment="1">
      <alignment horizontal="center" wrapText="1"/>
    </xf>
    <xf numFmtId="164" fontId="2" fillId="0" borderId="77" xfId="37" applyFill="1" applyBorder="1" applyAlignment="1">
      <alignment horizontal="center" wrapText="1"/>
    </xf>
    <xf numFmtId="0" fontId="2" fillId="0" borderId="50" xfId="0" applyFont="1" applyFill="1" applyBorder="1" applyAlignment="1">
      <alignment horizontal="left"/>
    </xf>
    <xf numFmtId="49" fontId="52" fillId="0" borderId="63" xfId="0" applyNumberFormat="1" applyFont="1" applyFill="1" applyBorder="1" applyAlignment="1">
      <alignment horizontal="left"/>
    </xf>
    <xf numFmtId="0" fontId="54" fillId="0" borderId="62" xfId="0" applyFont="1" applyFill="1" applyBorder="1" applyAlignment="1">
      <alignment horizontal="center" wrapText="1"/>
    </xf>
    <xf numFmtId="0" fontId="54" fillId="0" borderId="30" xfId="0" applyFont="1" applyFill="1" applyBorder="1" applyAlignment="1">
      <alignment horizontal="center" wrapText="1"/>
    </xf>
    <xf numFmtId="0" fontId="54" fillId="0" borderId="47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vertical="center" wrapText="1"/>
    </xf>
    <xf numFmtId="0" fontId="63" fillId="0" borderId="20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54" fillId="0" borderId="23" xfId="0" applyFont="1" applyFill="1" applyBorder="1" applyAlignment="1">
      <alignment horizontal="center" wrapText="1"/>
    </xf>
    <xf numFmtId="0" fontId="54" fillId="0" borderId="0" xfId="0" applyFont="1" applyFill="1" applyAlignment="1">
      <alignment horizontal="center" wrapText="1"/>
    </xf>
    <xf numFmtId="0" fontId="54" fillId="0" borderId="23" xfId="0" applyFont="1" applyFill="1" applyBorder="1" applyAlignment="1">
      <alignment horizontal="center" vertical="center" wrapText="1"/>
    </xf>
    <xf numFmtId="49" fontId="63" fillId="0" borderId="24" xfId="0" applyNumberFormat="1" applyFont="1" applyFill="1" applyBorder="1" applyAlignment="1">
      <alignment horizontal="center"/>
    </xf>
    <xf numFmtId="174" fontId="3" fillId="0" borderId="23" xfId="31" applyNumberFormat="1" applyFont="1" applyFill="1" applyBorder="1" applyAlignment="1">
      <alignment horizontal="right"/>
    </xf>
    <xf numFmtId="174" fontId="3" fillId="0" borderId="139" xfId="31" applyNumberFormat="1" applyFont="1" applyFill="1" applyBorder="1" applyAlignment="1">
      <alignment horizontal="right"/>
    </xf>
    <xf numFmtId="174" fontId="3" fillId="0" borderId="21" xfId="31" applyNumberFormat="1" applyFont="1" applyFill="1" applyBorder="1" applyAlignment="1">
      <alignment horizontal="right"/>
    </xf>
    <xf numFmtId="174" fontId="2" fillId="0" borderId="21" xfId="31" applyNumberFormat="1" applyFill="1" applyBorder="1" applyAlignment="1">
      <alignment horizontal="right"/>
    </xf>
    <xf numFmtId="174" fontId="4" fillId="0" borderId="23" xfId="31" applyNumberFormat="1" applyFont="1" applyFill="1" applyBorder="1" applyAlignment="1">
      <alignment horizontal="right"/>
    </xf>
    <xf numFmtId="174" fontId="4" fillId="0" borderId="139" xfId="31" applyNumberFormat="1" applyFont="1" applyFill="1" applyBorder="1" applyAlignment="1">
      <alignment horizontal="right"/>
    </xf>
    <xf numFmtId="174" fontId="4" fillId="0" borderId="21" xfId="31" applyNumberFormat="1" applyFont="1" applyFill="1" applyBorder="1" applyAlignment="1">
      <alignment horizontal="right"/>
    </xf>
    <xf numFmtId="49" fontId="63" fillId="0" borderId="24" xfId="0" applyNumberFormat="1" applyFont="1" applyFill="1" applyBorder="1" applyAlignment="1">
      <alignment horizontal="center" vertical="center" wrapText="1"/>
    </xf>
    <xf numFmtId="174" fontId="3" fillId="0" borderId="23" xfId="31" applyNumberFormat="1" applyFont="1" applyFill="1" applyBorder="1"/>
    <xf numFmtId="174" fontId="4" fillId="0" borderId="139" xfId="31" applyNumberFormat="1" applyFont="1" applyFill="1" applyBorder="1"/>
    <xf numFmtId="174" fontId="3" fillId="0" borderId="21" xfId="31" applyNumberFormat="1" applyFont="1" applyFill="1" applyBorder="1"/>
    <xf numFmtId="174" fontId="4" fillId="0" borderId="23" xfId="31" applyNumberFormat="1" applyFont="1" applyFill="1" applyBorder="1"/>
    <xf numFmtId="49" fontId="63" fillId="0" borderId="63" xfId="0" applyNumberFormat="1" applyFont="1" applyFill="1" applyBorder="1" applyAlignment="1">
      <alignment horizontal="center"/>
    </xf>
    <xf numFmtId="4" fontId="3" fillId="0" borderId="69" xfId="31" applyNumberFormat="1" applyFont="1" applyFill="1" applyBorder="1" applyAlignment="1">
      <alignment vertical="center" wrapText="1"/>
    </xf>
    <xf numFmtId="174" fontId="3" fillId="0" borderId="139" xfId="31" applyNumberFormat="1" applyFont="1" applyFill="1" applyBorder="1"/>
    <xf numFmtId="49" fontId="63" fillId="0" borderId="24" xfId="0" applyNumberFormat="1" applyFont="1" applyFill="1" applyBorder="1" applyAlignment="1">
      <alignment horizontal="center" vertical="center"/>
    </xf>
    <xf numFmtId="4" fontId="3" fillId="0" borderId="0" xfId="31" applyNumberFormat="1" applyFont="1" applyFill="1" applyAlignment="1">
      <alignment vertical="center" wrapText="1"/>
    </xf>
    <xf numFmtId="174" fontId="3" fillId="0" borderId="23" xfId="31" applyNumberFormat="1" applyFont="1" applyFill="1" applyBorder="1" applyAlignment="1">
      <alignment vertical="center"/>
    </xf>
    <xf numFmtId="174" fontId="3" fillId="0" borderId="139" xfId="31" applyNumberFormat="1" applyFont="1" applyFill="1" applyBorder="1" applyAlignment="1">
      <alignment vertical="center"/>
    </xf>
    <xf numFmtId="4" fontId="2" fillId="0" borderId="0" xfId="31" applyNumberFormat="1" applyFill="1" applyAlignment="1">
      <alignment vertical="center" wrapText="1"/>
    </xf>
    <xf numFmtId="174" fontId="2" fillId="0" borderId="23" xfId="31" applyNumberFormat="1" applyFill="1" applyBorder="1" applyAlignment="1">
      <alignment horizontal="right"/>
    </xf>
    <xf numFmtId="0" fontId="3" fillId="0" borderId="62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4" fontId="3" fillId="0" borderId="56" xfId="31" applyNumberFormat="1" applyFont="1" applyFill="1" applyBorder="1"/>
    <xf numFmtId="174" fontId="3" fillId="0" borderId="53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4" fontId="3" fillId="0" borderId="0" xfId="31" applyNumberFormat="1" applyFont="1" applyFill="1"/>
    <xf numFmtId="0" fontId="0" fillId="0" borderId="0" xfId="0" applyFill="1" applyAlignment="1">
      <alignment horizontal="left"/>
    </xf>
    <xf numFmtId="164" fontId="0" fillId="0" borderId="0" xfId="37" applyFont="1" applyFill="1"/>
    <xf numFmtId="174" fontId="4" fillId="0" borderId="37" xfId="31" applyNumberFormat="1" applyFont="1" applyFill="1" applyBorder="1" applyAlignment="1">
      <alignment horizontal="right"/>
    </xf>
    <xf numFmtId="174" fontId="4" fillId="0" borderId="49" xfId="31" applyNumberFormat="1" applyFont="1" applyFill="1" applyBorder="1" applyAlignment="1">
      <alignment horizontal="right"/>
    </xf>
    <xf numFmtId="174" fontId="4" fillId="0" borderId="64" xfId="31" applyNumberFormat="1" applyFont="1" applyFill="1" applyBorder="1" applyAlignment="1">
      <alignment horizontal="right"/>
    </xf>
    <xf numFmtId="174" fontId="4" fillId="0" borderId="39" xfId="31" applyNumberFormat="1" applyFont="1" applyFill="1" applyBorder="1" applyAlignment="1">
      <alignment horizontal="right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>
      <alignment horizontal="left"/>
    </xf>
    <xf numFmtId="0" fontId="46" fillId="0" borderId="33" xfId="0" applyFont="1" applyFill="1" applyBorder="1" applyAlignment="1">
      <alignment horizontal="left"/>
    </xf>
    <xf numFmtId="0" fontId="46" fillId="0" borderId="35" xfId="0" applyFont="1" applyFill="1" applyBorder="1" applyAlignment="1">
      <alignment horizontal="left"/>
    </xf>
    <xf numFmtId="0" fontId="47" fillId="0" borderId="30" xfId="0" applyFont="1" applyFill="1" applyBorder="1" applyAlignment="1">
      <alignment horizontal="center" wrapText="1"/>
    </xf>
    <xf numFmtId="0" fontId="0" fillId="0" borderId="25" xfId="0" applyFill="1" applyBorder="1" applyAlignment="1">
      <alignment horizontal="left"/>
    </xf>
    <xf numFmtId="4" fontId="2" fillId="0" borderId="26" xfId="31" applyNumberFormat="1" applyFill="1" applyBorder="1"/>
    <xf numFmtId="4" fontId="4" fillId="0" borderId="26" xfId="31" applyNumberFormat="1" applyFont="1" applyFill="1" applyBorder="1"/>
    <xf numFmtId="0" fontId="3" fillId="0" borderId="24" xfId="0" applyFont="1" applyFill="1" applyBorder="1" applyAlignment="1">
      <alignment horizontal="left"/>
    </xf>
    <xf numFmtId="4" fontId="3" fillId="0" borderId="22" xfId="31" applyNumberFormat="1" applyFont="1" applyFill="1" applyBorder="1"/>
    <xf numFmtId="4" fontId="4" fillId="0" borderId="22" xfId="31" applyNumberFormat="1" applyFont="1" applyFill="1" applyBorder="1"/>
    <xf numFmtId="0" fontId="0" fillId="0" borderId="34" xfId="0" applyFill="1" applyBorder="1" applyAlignment="1">
      <alignment horizontal="left"/>
    </xf>
    <xf numFmtId="4" fontId="2" fillId="0" borderId="34" xfId="31" applyNumberFormat="1" applyFill="1" applyBorder="1"/>
    <xf numFmtId="164" fontId="4" fillId="0" borderId="34" xfId="37" applyFont="1" applyFill="1" applyBorder="1"/>
    <xf numFmtId="0" fontId="3" fillId="0" borderId="34" xfId="0" applyFont="1" applyFill="1" applyBorder="1" applyAlignment="1">
      <alignment horizontal="left"/>
    </xf>
    <xf numFmtId="0" fontId="3" fillId="0" borderId="34" xfId="0" applyFont="1" applyFill="1" applyBorder="1"/>
    <xf numFmtId="164" fontId="3" fillId="0" borderId="34" xfId="37" applyFont="1" applyFill="1" applyBorder="1"/>
    <xf numFmtId="4" fontId="3" fillId="0" borderId="34" xfId="31" applyNumberFormat="1" applyFont="1" applyFill="1" applyBorder="1"/>
    <xf numFmtId="0" fontId="4" fillId="0" borderId="34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164" fontId="2" fillId="0" borderId="34" xfId="37" applyFill="1" applyBorder="1"/>
    <xf numFmtId="4" fontId="5" fillId="0" borderId="34" xfId="31" applyNumberFormat="1" applyFont="1" applyFill="1" applyBorder="1"/>
    <xf numFmtId="0" fontId="4" fillId="0" borderId="34" xfId="0" applyFont="1" applyFill="1" applyBorder="1"/>
    <xf numFmtId="0" fontId="0" fillId="0" borderId="24" xfId="0" applyFill="1" applyBorder="1" applyAlignment="1">
      <alignment horizontal="left"/>
    </xf>
    <xf numFmtId="0" fontId="0" fillId="0" borderId="22" xfId="0" applyFill="1" applyBorder="1"/>
    <xf numFmtId="164" fontId="3" fillId="0" borderId="22" xfId="37" applyFont="1" applyFill="1" applyBorder="1"/>
    <xf numFmtId="0" fontId="3" fillId="0" borderId="22" xfId="0" applyFont="1" applyFill="1" applyBorder="1"/>
    <xf numFmtId="164" fontId="4" fillId="0" borderId="22" xfId="37" applyFont="1" applyFill="1" applyBorder="1"/>
    <xf numFmtId="164" fontId="49" fillId="0" borderId="22" xfId="37" applyFont="1" applyFill="1" applyBorder="1"/>
    <xf numFmtId="4" fontId="8" fillId="0" borderId="22" xfId="0" applyNumberFormat="1" applyFont="1" applyFill="1" applyBorder="1"/>
    <xf numFmtId="4" fontId="7" fillId="0" borderId="22" xfId="0" applyNumberFormat="1" applyFont="1" applyFill="1" applyBorder="1"/>
    <xf numFmtId="0" fontId="12" fillId="0" borderId="24" xfId="0" applyFont="1" applyFill="1" applyBorder="1" applyAlignment="1">
      <alignment horizontal="left"/>
    </xf>
    <xf numFmtId="0" fontId="9" fillId="0" borderId="22" xfId="0" applyFont="1" applyFill="1" applyBorder="1"/>
    <xf numFmtId="164" fontId="12" fillId="0" borderId="22" xfId="37" applyFont="1" applyFill="1" applyBorder="1"/>
    <xf numFmtId="0" fontId="0" fillId="0" borderId="28" xfId="0" applyFill="1" applyBorder="1" applyAlignment="1">
      <alignment horizontal="left"/>
    </xf>
    <xf numFmtId="0" fontId="0" fillId="0" borderId="29" xfId="0" applyFill="1" applyBorder="1"/>
    <xf numFmtId="164" fontId="49" fillId="0" borderId="29" xfId="37" applyFont="1" applyFill="1" applyBorder="1"/>
    <xf numFmtId="0" fontId="0" fillId="0" borderId="30" xfId="0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164" fontId="3" fillId="0" borderId="30" xfId="37" applyFont="1" applyFill="1" applyBorder="1"/>
    <xf numFmtId="164" fontId="4" fillId="0" borderId="0" xfId="0" applyNumberFormat="1" applyFont="1" applyFill="1"/>
    <xf numFmtId="164" fontId="3" fillId="0" borderId="0" xfId="37" applyFont="1" applyFill="1"/>
    <xf numFmtId="164" fontId="48" fillId="0" borderId="0" xfId="37" applyFont="1" applyFill="1"/>
    <xf numFmtId="0" fontId="3" fillId="0" borderId="74" xfId="0" applyFont="1" applyBorder="1" applyAlignment="1">
      <alignment horizontal="left"/>
    </xf>
    <xf numFmtId="0" fontId="4" fillId="0" borderId="0" xfId="0" applyFont="1" applyBorder="1"/>
    <xf numFmtId="0" fontId="4" fillId="0" borderId="23" xfId="0" applyFont="1" applyBorder="1"/>
    <xf numFmtId="0" fontId="4" fillId="0" borderId="3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49" fontId="3" fillId="0" borderId="33" xfId="0" applyNumberFormat="1" applyFont="1" applyBorder="1"/>
    <xf numFmtId="49" fontId="2" fillId="0" borderId="34" xfId="0" applyNumberFormat="1" applyFont="1" applyBorder="1"/>
    <xf numFmtId="0" fontId="3" fillId="0" borderId="0" xfId="0" applyFont="1" applyFill="1" applyAlignment="1">
      <alignment horizontal="center" wrapText="1"/>
    </xf>
    <xf numFmtId="174" fontId="4" fillId="0" borderId="0" xfId="0" applyNumberFormat="1" applyFont="1" applyFill="1"/>
    <xf numFmtId="174" fontId="2" fillId="0" borderId="0" xfId="0" applyNumberFormat="1" applyFont="1" applyFill="1"/>
    <xf numFmtId="0" fontId="2" fillId="0" borderId="0" xfId="0" applyFont="1" applyFill="1"/>
    <xf numFmtId="173" fontId="51" fillId="0" borderId="48" xfId="0" applyNumberFormat="1" applyFont="1" applyFill="1" applyBorder="1"/>
    <xf numFmtId="173" fontId="2" fillId="0" borderId="36" xfId="0" applyNumberFormat="1" applyFont="1" applyFill="1" applyBorder="1"/>
    <xf numFmtId="173" fontId="2" fillId="0" borderId="36" xfId="37" applyNumberFormat="1" applyFill="1" applyBorder="1"/>
    <xf numFmtId="173" fontId="4" fillId="0" borderId="51" xfId="0" applyNumberFormat="1" applyFont="1" applyFill="1" applyBorder="1"/>
    <xf numFmtId="1" fontId="2" fillId="0" borderId="48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 vertical="center" wrapText="1"/>
    </xf>
    <xf numFmtId="8" fontId="4" fillId="0" borderId="25" xfId="0" applyNumberFormat="1" applyFont="1" applyFill="1" applyBorder="1" applyAlignment="1">
      <alignment horizontal="center" vertical="center"/>
    </xf>
    <xf numFmtId="174" fontId="4" fillId="26" borderId="48" xfId="0" applyNumberFormat="1" applyFont="1" applyFill="1" applyBorder="1"/>
    <xf numFmtId="174" fontId="4" fillId="26" borderId="142" xfId="0" applyNumberFormat="1" applyFont="1" applyFill="1" applyBorder="1"/>
    <xf numFmtId="174" fontId="4" fillId="26" borderId="86" xfId="0" applyNumberFormat="1" applyFont="1" applyFill="1" applyBorder="1"/>
    <xf numFmtId="174" fontId="3" fillId="26" borderId="48" xfId="0" applyNumberFormat="1" applyFont="1" applyFill="1" applyBorder="1"/>
    <xf numFmtId="174" fontId="3" fillId="26" borderId="142" xfId="0" applyNumberFormat="1" applyFont="1" applyFill="1" applyBorder="1"/>
    <xf numFmtId="174" fontId="3" fillId="26" borderId="86" xfId="0" applyNumberFormat="1" applyFont="1" applyFill="1" applyBorder="1"/>
    <xf numFmtId="174" fontId="3" fillId="26" borderId="36" xfId="0" applyNumberFormat="1" applyFont="1" applyFill="1" applyBorder="1"/>
    <xf numFmtId="174" fontId="2" fillId="26" borderId="142" xfId="0" applyNumberFormat="1" applyFont="1" applyFill="1" applyBorder="1"/>
    <xf numFmtId="174" fontId="2" fillId="26" borderId="48" xfId="0" applyNumberFormat="1" applyFont="1" applyFill="1" applyBorder="1"/>
    <xf numFmtId="174" fontId="4" fillId="26" borderId="70" xfId="0" applyNumberFormat="1" applyFont="1" applyFill="1" applyBorder="1"/>
    <xf numFmtId="174" fontId="4" fillId="26" borderId="83" xfId="0" applyNumberFormat="1" applyFont="1" applyFill="1" applyBorder="1"/>
    <xf numFmtId="174" fontId="4" fillId="26" borderId="148" xfId="0" applyNumberFormat="1" applyFont="1" applyFill="1" applyBorder="1"/>
    <xf numFmtId="174" fontId="4" fillId="26" borderId="159" xfId="0" applyNumberFormat="1" applyFont="1" applyFill="1" applyBorder="1"/>
    <xf numFmtId="174" fontId="4" fillId="26" borderId="146" xfId="0" applyNumberFormat="1" applyFont="1" applyFill="1" applyBorder="1"/>
    <xf numFmtId="174" fontId="4" fillId="26" borderId="149" xfId="0" applyNumberFormat="1" applyFont="1" applyFill="1" applyBorder="1"/>
    <xf numFmtId="174" fontId="4" fillId="26" borderId="160" xfId="0" applyNumberFormat="1" applyFont="1" applyFill="1" applyBorder="1"/>
    <xf numFmtId="174" fontId="4" fillId="26" borderId="147" xfId="0" applyNumberFormat="1" applyFont="1" applyFill="1" applyBorder="1"/>
    <xf numFmtId="174" fontId="4" fillId="26" borderId="150" xfId="0" applyNumberFormat="1" applyFont="1" applyFill="1" applyBorder="1"/>
    <xf numFmtId="174" fontId="3" fillId="26" borderId="50" xfId="0" applyNumberFormat="1" applyFont="1" applyFill="1" applyBorder="1"/>
    <xf numFmtId="174" fontId="3" fillId="26" borderId="37" xfId="0" applyNumberFormat="1" applyFont="1" applyFill="1" applyBorder="1"/>
    <xf numFmtId="174" fontId="3" fillId="26" borderId="77" xfId="0" applyNumberFormat="1" applyFont="1" applyFill="1" applyBorder="1"/>
    <xf numFmtId="174" fontId="3" fillId="26" borderId="141" xfId="0" applyNumberFormat="1" applyFont="1" applyFill="1" applyBorder="1"/>
    <xf numFmtId="174" fontId="51" fillId="26" borderId="48" xfId="0" applyNumberFormat="1" applyFont="1" applyFill="1" applyBorder="1"/>
    <xf numFmtId="174" fontId="4" fillId="26" borderId="141" xfId="0" applyNumberFormat="1" applyFont="1" applyFill="1" applyBorder="1"/>
    <xf numFmtId="174" fontId="3" fillId="26" borderId="12" xfId="0" applyNumberFormat="1" applyFont="1" applyFill="1" applyBorder="1"/>
    <xf numFmtId="174" fontId="3" fillId="26" borderId="10" xfId="0" applyNumberFormat="1" applyFont="1" applyFill="1" applyBorder="1"/>
    <xf numFmtId="174" fontId="4" fillId="26" borderId="14" xfId="0" applyNumberFormat="1" applyFont="1" applyFill="1" applyBorder="1"/>
    <xf numFmtId="174" fontId="4" fillId="26" borderId="73" xfId="0" applyNumberFormat="1" applyFont="1" applyFill="1" applyBorder="1"/>
    <xf numFmtId="174" fontId="3" fillId="26" borderId="11" xfId="0" applyNumberFormat="1" applyFont="1" applyFill="1" applyBorder="1"/>
    <xf numFmtId="174" fontId="51" fillId="26" borderId="142" xfId="0" applyNumberFormat="1" applyFont="1" applyFill="1" applyBorder="1"/>
    <xf numFmtId="174" fontId="51" fillId="26" borderId="12" xfId="37" applyNumberFormat="1" applyFont="1" applyFill="1" applyBorder="1" applyAlignment="1">
      <alignment vertical="center"/>
    </xf>
    <xf numFmtId="164" fontId="51" fillId="26" borderId="142" xfId="37" applyFont="1" applyFill="1" applyBorder="1" applyAlignment="1">
      <alignment vertical="center"/>
    </xf>
    <xf numFmtId="164" fontId="51" fillId="26" borderId="37" xfId="37" applyFont="1" applyFill="1" applyBorder="1"/>
    <xf numFmtId="174" fontId="60" fillId="26" borderId="12" xfId="37" applyNumberFormat="1" applyFont="1" applyFill="1" applyBorder="1" applyAlignment="1">
      <alignment vertical="center"/>
    </xf>
    <xf numFmtId="164" fontId="60" fillId="26" borderId="142" xfId="37" applyFont="1" applyFill="1" applyBorder="1" applyAlignment="1">
      <alignment vertical="center"/>
    </xf>
    <xf numFmtId="174" fontId="2" fillId="26" borderId="12" xfId="37" applyNumberFormat="1" applyFill="1" applyBorder="1" applyAlignment="1">
      <alignment vertical="center"/>
    </xf>
    <xf numFmtId="164" fontId="2" fillId="26" borderId="142" xfId="37" applyFill="1" applyBorder="1" applyAlignment="1">
      <alignment vertical="center"/>
    </xf>
    <xf numFmtId="164" fontId="51" fillId="26" borderId="12" xfId="37" applyFont="1" applyFill="1" applyBorder="1" applyAlignment="1">
      <alignment vertical="center"/>
    </xf>
    <xf numFmtId="174" fontId="3" fillId="26" borderId="12" xfId="37" applyNumberFormat="1" applyFont="1" applyFill="1" applyBorder="1"/>
    <xf numFmtId="164" fontId="3" fillId="26" borderId="142" xfId="37" applyFont="1" applyFill="1" applyBorder="1"/>
    <xf numFmtId="174" fontId="2" fillId="26" borderId="12" xfId="37" applyNumberFormat="1" applyFill="1" applyBorder="1"/>
    <xf numFmtId="164" fontId="2" fillId="26" borderId="142" xfId="37" applyFill="1" applyBorder="1"/>
    <xf numFmtId="44" fontId="2" fillId="0" borderId="0" xfId="50" applyNumberFormat="1"/>
    <xf numFmtId="0" fontId="3" fillId="0" borderId="20" xfId="0" applyFont="1" applyFill="1" applyBorder="1" applyAlignment="1">
      <alignment horizontal="left"/>
    </xf>
    <xf numFmtId="164" fontId="2" fillId="0" borderId="34" xfId="37" applyFont="1" applyFill="1" applyBorder="1" applyAlignment="1">
      <alignment horizontal="center" wrapText="1"/>
    </xf>
    <xf numFmtId="164" fontId="2" fillId="0" borderId="0" xfId="48" applyNumberFormat="1" applyFont="1"/>
    <xf numFmtId="164" fontId="4" fillId="26" borderId="34" xfId="37" applyFont="1" applyFill="1" applyBorder="1"/>
    <xf numFmtId="174" fontId="55" fillId="0" borderId="38" xfId="31" applyNumberFormat="1" applyFont="1" applyBorder="1"/>
    <xf numFmtId="4" fontId="56" fillId="0" borderId="10" xfId="31" applyNumberFormat="1" applyFont="1" applyBorder="1"/>
    <xf numFmtId="4" fontId="3" fillId="0" borderId="0" xfId="31" applyNumberFormat="1" applyFont="1" applyFill="1" applyBorder="1" applyAlignment="1">
      <alignment vertical="center" wrapText="1"/>
    </xf>
    <xf numFmtId="164" fontId="2" fillId="0" borderId="23" xfId="37" applyFill="1" applyBorder="1" applyAlignment="1">
      <alignment horizontal="center" wrapText="1"/>
    </xf>
    <xf numFmtId="0" fontId="3" fillId="0" borderId="20" xfId="0" applyFont="1" applyFill="1" applyBorder="1" applyAlignment="1">
      <alignment horizontal="left" vertical="center" wrapText="1"/>
    </xf>
    <xf numFmtId="164" fontId="3" fillId="0" borderId="23" xfId="37" applyFont="1" applyFill="1" applyBorder="1" applyAlignment="1">
      <alignment horizontal="center" wrapText="1"/>
    </xf>
    <xf numFmtId="4" fontId="55" fillId="0" borderId="10" xfId="31" applyNumberFormat="1" applyFont="1" applyBorder="1" applyAlignment="1">
      <alignment horizontal="center"/>
    </xf>
    <xf numFmtId="177" fontId="0" fillId="0" borderId="0" xfId="0" applyNumberFormat="1" applyFill="1"/>
    <xf numFmtId="4" fontId="55" fillId="0" borderId="38" xfId="31" applyNumberFormat="1" applyFont="1" applyBorder="1" applyAlignment="1">
      <alignment horizontal="center"/>
    </xf>
    <xf numFmtId="167" fontId="55" fillId="0" borderId="64" xfId="31" applyNumberFormat="1" applyFont="1" applyBorder="1"/>
    <xf numFmtId="167" fontId="55" fillId="0" borderId="46" xfId="31" applyNumberFormat="1" applyFont="1" applyBorder="1"/>
    <xf numFmtId="167" fontId="55" fillId="0" borderId="69" xfId="31" applyNumberFormat="1" applyFont="1" applyBorder="1"/>
    <xf numFmtId="0" fontId="2" fillId="0" borderId="31" xfId="0" applyFont="1" applyBorder="1"/>
    <xf numFmtId="4" fontId="55" fillId="0" borderId="46" xfId="31" applyNumberFormat="1" applyFont="1" applyBorder="1" applyAlignment="1">
      <alignment horizontal="center"/>
    </xf>
    <xf numFmtId="173" fontId="4" fillId="0" borderId="73" xfId="0" applyNumberFormat="1" applyFont="1" applyFill="1" applyBorder="1"/>
    <xf numFmtId="49" fontId="55" fillId="0" borderId="36" xfId="31" applyNumberFormat="1" applyFont="1" applyBorder="1" applyAlignment="1">
      <alignment horizontal="center"/>
    </xf>
    <xf numFmtId="0" fontId="54" fillId="0" borderId="33" xfId="0" applyFont="1" applyFill="1" applyBorder="1" applyAlignment="1">
      <alignment horizontal="center" wrapText="1"/>
    </xf>
    <xf numFmtId="174" fontId="2" fillId="0" borderId="34" xfId="37" applyNumberFormat="1" applyFont="1" applyFill="1" applyBorder="1" applyAlignment="1">
      <alignment horizontal="center" wrapText="1"/>
    </xf>
    <xf numFmtId="174" fontId="2" fillId="0" borderId="34" xfId="31" applyNumberFormat="1" applyFont="1" applyFill="1" applyBorder="1" applyAlignment="1">
      <alignment horizontal="right"/>
    </xf>
    <xf numFmtId="174" fontId="2" fillId="0" borderId="34" xfId="31" applyNumberFormat="1" applyFont="1" applyFill="1" applyBorder="1"/>
    <xf numFmtId="174" fontId="2" fillId="0" borderId="37" xfId="31" applyNumberFormat="1" applyFont="1" applyFill="1" applyBorder="1" applyAlignment="1">
      <alignment horizontal="right"/>
    </xf>
    <xf numFmtId="174" fontId="2" fillId="0" borderId="34" xfId="31" applyNumberFormat="1" applyFont="1" applyFill="1" applyBorder="1" applyAlignment="1">
      <alignment vertical="center"/>
    </xf>
    <xf numFmtId="174" fontId="2" fillId="0" borderId="35" xfId="31" applyNumberFormat="1" applyFill="1" applyBorder="1" applyAlignment="1">
      <alignment horizontal="right"/>
    </xf>
    <xf numFmtId="174" fontId="3" fillId="0" borderId="23" xfId="37" applyNumberFormat="1" applyFont="1" applyFill="1" applyBorder="1" applyAlignment="1">
      <alignment horizontal="center" vertical="center" wrapText="1"/>
    </xf>
    <xf numFmtId="174" fontId="4" fillId="0" borderId="79" xfId="31" applyNumberFormat="1" applyFont="1" applyFill="1" applyBorder="1" applyAlignment="1">
      <alignment horizontal="right"/>
    </xf>
    <xf numFmtId="174" fontId="4" fillId="0" borderId="34" xfId="31" applyNumberFormat="1" applyFont="1" applyFill="1" applyBorder="1"/>
    <xf numFmtId="174" fontId="3" fillId="0" borderId="34" xfId="31" applyNumberFormat="1" applyFont="1" applyFill="1" applyBorder="1" applyAlignment="1">
      <alignment vertical="center"/>
    </xf>
    <xf numFmtId="174" fontId="3" fillId="0" borderId="30" xfId="31" applyNumberFormat="1" applyFont="1" applyFill="1" applyBorder="1" applyAlignment="1">
      <alignment horizontal="right"/>
    </xf>
    <xf numFmtId="167" fontId="2" fillId="0" borderId="34" xfId="31" applyNumberFormat="1" applyFont="1" applyFill="1" applyBorder="1" applyAlignment="1">
      <alignment horizontal="right"/>
    </xf>
    <xf numFmtId="4" fontId="2" fillId="0" borderId="0" xfId="31" applyNumberFormat="1" applyFont="1" applyFill="1" applyAlignment="1">
      <alignment wrapText="1"/>
    </xf>
    <xf numFmtId="49" fontId="65" fillId="0" borderId="24" xfId="0" applyNumberFormat="1" applyFont="1" applyFill="1" applyBorder="1" applyAlignment="1">
      <alignment horizontal="center"/>
    </xf>
    <xf numFmtId="44" fontId="2" fillId="0" borderId="34" xfId="50" applyNumberFormat="1" applyBorder="1"/>
    <xf numFmtId="44" fontId="2" fillId="0" borderId="21" xfId="50" applyNumberFormat="1" applyBorder="1"/>
    <xf numFmtId="164" fontId="2" fillId="0" borderId="41" xfId="37" applyFill="1" applyBorder="1" applyAlignment="1">
      <alignment horizontal="center" wrapText="1"/>
    </xf>
    <xf numFmtId="164" fontId="3" fillId="0" borderId="20" xfId="37" applyFont="1" applyFill="1" applyBorder="1" applyAlignment="1">
      <alignment horizontal="center" wrapText="1"/>
    </xf>
    <xf numFmtId="164" fontId="2" fillId="0" borderId="20" xfId="37" applyFont="1" applyFill="1" applyBorder="1" applyAlignment="1">
      <alignment horizontal="center" wrapText="1"/>
    </xf>
    <xf numFmtId="164" fontId="3" fillId="0" borderId="50" xfId="37" applyFont="1" applyFill="1" applyBorder="1" applyAlignment="1">
      <alignment horizontal="center" wrapText="1"/>
    </xf>
    <xf numFmtId="167" fontId="3" fillId="0" borderId="20" xfId="31" applyNumberFormat="1" applyFont="1" applyFill="1" applyBorder="1" applyAlignment="1">
      <alignment horizontal="right"/>
    </xf>
    <xf numFmtId="167" fontId="2" fillId="0" borderId="20" xfId="31" applyNumberFormat="1" applyFont="1" applyFill="1" applyBorder="1" applyAlignment="1">
      <alignment horizontal="right"/>
    </xf>
    <xf numFmtId="167" fontId="3" fillId="0" borderId="50" xfId="31" applyNumberFormat="1" applyFont="1" applyFill="1" applyBorder="1" applyAlignment="1">
      <alignment horizontal="right"/>
    </xf>
    <xf numFmtId="164" fontId="2" fillId="0" borderId="20" xfId="37" applyFill="1" applyBorder="1" applyAlignment="1">
      <alignment horizontal="center" wrapText="1"/>
    </xf>
    <xf numFmtId="164" fontId="3" fillId="0" borderId="62" xfId="37" applyFont="1" applyFill="1" applyBorder="1" applyAlignment="1">
      <alignment horizontal="center" wrapText="1"/>
    </xf>
    <xf numFmtId="167" fontId="2" fillId="0" borderId="0" xfId="31" applyNumberFormat="1" applyFill="1" applyBorder="1" applyAlignment="1">
      <alignment horizontal="right"/>
    </xf>
    <xf numFmtId="164" fontId="3" fillId="0" borderId="93" xfId="37" applyFont="1" applyFill="1" applyBorder="1" applyAlignment="1">
      <alignment horizontal="center" wrapText="1"/>
    </xf>
    <xf numFmtId="164" fontId="3" fillId="0" borderId="30" xfId="37" applyFont="1" applyFill="1" applyBorder="1" applyAlignment="1">
      <alignment horizontal="center" wrapText="1"/>
    </xf>
    <xf numFmtId="4" fontId="2" fillId="0" borderId="21" xfId="31" applyNumberFormat="1" applyFill="1" applyBorder="1" applyAlignment="1">
      <alignment wrapText="1"/>
    </xf>
    <xf numFmtId="167" fontId="55" fillId="0" borderId="87" xfId="31" applyNumberFormat="1" applyFont="1" applyBorder="1"/>
    <xf numFmtId="49" fontId="55" fillId="0" borderId="125" xfId="31" applyNumberFormat="1" applyFont="1" applyBorder="1" applyAlignment="1">
      <alignment horizontal="center"/>
    </xf>
    <xf numFmtId="4" fontId="55" fillId="0" borderId="161" xfId="31" applyNumberFormat="1" applyFont="1" applyBorder="1" applyAlignment="1">
      <alignment horizontal="center" vertical="center" wrapText="1"/>
    </xf>
    <xf numFmtId="167" fontId="56" fillId="0" borderId="87" xfId="0" applyNumberFormat="1" applyFont="1" applyBorder="1"/>
    <xf numFmtId="174" fontId="2" fillId="0" borderId="21" xfId="31" applyNumberFormat="1" applyFont="1" applyFill="1" applyBorder="1" applyAlignment="1">
      <alignment horizontal="right"/>
    </xf>
    <xf numFmtId="174" fontId="2" fillId="0" borderId="23" xfId="31" applyNumberFormat="1" applyFont="1" applyFill="1" applyBorder="1" applyAlignment="1">
      <alignment horizontal="right"/>
    </xf>
    <xf numFmtId="174" fontId="0" fillId="28" borderId="0" xfId="0" applyNumberFormat="1" applyFill="1"/>
    <xf numFmtId="0" fontId="66" fillId="0" borderId="0" xfId="0" applyFont="1" applyFill="1"/>
    <xf numFmtId="167" fontId="66" fillId="0" borderId="0" xfId="0" applyNumberFormat="1" applyFont="1" applyFill="1"/>
    <xf numFmtId="164" fontId="66" fillId="0" borderId="0" xfId="0" applyNumberFormat="1" applyFont="1" applyFill="1"/>
    <xf numFmtId="44" fontId="66" fillId="0" borderId="0" xfId="0" applyNumberFormat="1" applyFont="1" applyFill="1"/>
    <xf numFmtId="0" fontId="67" fillId="0" borderId="122" xfId="0" applyFont="1" applyBorder="1" applyAlignment="1">
      <alignment horizontal="left"/>
    </xf>
    <xf numFmtId="0" fontId="67" fillId="0" borderId="123" xfId="0" applyFont="1" applyBorder="1" applyAlignment="1">
      <alignment horizontal="left"/>
    </xf>
    <xf numFmtId="4" fontId="68" fillId="0" borderId="123" xfId="31" applyNumberFormat="1" applyFont="1" applyBorder="1"/>
    <xf numFmtId="0" fontId="68" fillId="0" borderId="123" xfId="0" applyFont="1" applyBorder="1"/>
    <xf numFmtId="4" fontId="67" fillId="0" borderId="123" xfId="31" applyNumberFormat="1" applyFont="1" applyBorder="1"/>
    <xf numFmtId="0" fontId="67" fillId="0" borderId="123" xfId="0" applyFont="1" applyBorder="1"/>
    <xf numFmtId="0" fontId="67" fillId="0" borderId="123" xfId="0" applyFont="1" applyBorder="1" applyAlignment="1">
      <alignment vertical="justify" wrapText="1"/>
    </xf>
    <xf numFmtId="4" fontId="2" fillId="0" borderId="0" xfId="31" applyNumberFormat="1" applyFill="1" applyBorder="1" applyAlignment="1">
      <alignment wrapText="1"/>
    </xf>
    <xf numFmtId="4" fontId="3" fillId="0" borderId="77" xfId="31" applyNumberFormat="1" applyFont="1" applyFill="1" applyBorder="1" applyAlignment="1">
      <alignment wrapText="1"/>
    </xf>
    <xf numFmtId="0" fontId="2" fillId="0" borderId="77" xfId="0" applyFont="1" applyFill="1" applyBorder="1" applyAlignment="1">
      <alignment horizontal="left" vertical="center" wrapText="1"/>
    </xf>
    <xf numFmtId="164" fontId="2" fillId="0" borderId="50" xfId="37" applyFont="1" applyFill="1" applyBorder="1" applyAlignment="1">
      <alignment horizontal="center" wrapText="1"/>
    </xf>
    <xf numFmtId="167" fontId="2" fillId="0" borderId="37" xfId="31" applyNumberFormat="1" applyFont="1" applyFill="1" applyBorder="1" applyAlignment="1">
      <alignment horizontal="right"/>
    </xf>
    <xf numFmtId="164" fontId="3" fillId="0" borderId="37" xfId="37" applyFont="1" applyFill="1" applyBorder="1" applyAlignment="1">
      <alignment horizontal="center" wrapText="1"/>
    </xf>
    <xf numFmtId="164" fontId="3" fillId="0" borderId="77" xfId="37" applyFont="1" applyFill="1" applyBorder="1" applyAlignment="1">
      <alignment horizontal="center" wrapText="1"/>
    </xf>
    <xf numFmtId="4" fontId="2" fillId="0" borderId="0" xfId="31" applyNumberFormat="1" applyFill="1" applyBorder="1" applyAlignment="1">
      <alignment vertical="center" wrapText="1"/>
    </xf>
    <xf numFmtId="49" fontId="2" fillId="25" borderId="10" xfId="0" applyNumberFormat="1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 wrapText="1"/>
    </xf>
    <xf numFmtId="0" fontId="3" fillId="25" borderId="18" xfId="0" applyFont="1" applyFill="1" applyBorder="1" applyAlignment="1">
      <alignment horizontal="center" vertical="center" wrapText="1"/>
    </xf>
    <xf numFmtId="0" fontId="3" fillId="25" borderId="19" xfId="0" applyFont="1" applyFill="1" applyBorder="1" applyAlignment="1">
      <alignment horizontal="center" vertical="center" wrapText="1"/>
    </xf>
    <xf numFmtId="49" fontId="3" fillId="25" borderId="12" xfId="0" applyNumberFormat="1" applyFont="1" applyFill="1" applyBorder="1" applyAlignment="1">
      <alignment horizontal="center"/>
    </xf>
    <xf numFmtId="0" fontId="3" fillId="25" borderId="13" xfId="0" applyFont="1" applyFill="1" applyBorder="1"/>
    <xf numFmtId="49" fontId="0" fillId="25" borderId="12" xfId="0" applyNumberFormat="1" applyFill="1" applyBorder="1"/>
    <xf numFmtId="0" fontId="13" fillId="25" borderId="13" xfId="0" applyFont="1" applyFill="1" applyBorder="1" applyAlignment="1">
      <alignment horizontal="justify" vertical="top" wrapText="1"/>
    </xf>
    <xf numFmtId="0" fontId="0" fillId="25" borderId="13" xfId="0" applyFill="1" applyBorder="1"/>
    <xf numFmtId="0" fontId="18" fillId="25" borderId="13" xfId="0" applyFont="1" applyFill="1" applyBorder="1" applyAlignment="1">
      <alignment horizontal="left" vertical="justify" wrapText="1"/>
    </xf>
    <xf numFmtId="49" fontId="3" fillId="25" borderId="12" xfId="0" applyNumberFormat="1" applyFont="1" applyFill="1" applyBorder="1"/>
    <xf numFmtId="49" fontId="0" fillId="25" borderId="14" xfId="0" applyNumberFormat="1" applyFill="1" applyBorder="1"/>
    <xf numFmtId="49" fontId="0" fillId="25" borderId="73" xfId="0" applyNumberFormat="1" applyFill="1" applyBorder="1" applyAlignment="1">
      <alignment horizontal="center" vertical="center"/>
    </xf>
    <xf numFmtId="0" fontId="4" fillId="25" borderId="73" xfId="0" applyFont="1" applyFill="1" applyBorder="1" applyAlignment="1">
      <alignment vertical="center" wrapText="1"/>
    </xf>
    <xf numFmtId="0" fontId="6" fillId="25" borderId="13" xfId="0" applyFont="1" applyFill="1" applyBorder="1" applyAlignment="1">
      <alignment horizontal="justify" vertical="top" wrapText="1"/>
    </xf>
    <xf numFmtId="0" fontId="6" fillId="25" borderId="13" xfId="0" applyFont="1" applyFill="1" applyBorder="1" applyAlignment="1">
      <alignment vertical="top" wrapText="1"/>
    </xf>
    <xf numFmtId="0" fontId="8" fillId="25" borderId="13" xfId="0" applyFont="1" applyFill="1" applyBorder="1"/>
    <xf numFmtId="164" fontId="2" fillId="0" borderId="37" xfId="37" applyFont="1" applyFill="1" applyBorder="1" applyAlignment="1">
      <alignment horizontal="center" wrapText="1"/>
    </xf>
    <xf numFmtId="174" fontId="3" fillId="0" borderId="39" xfId="31" applyNumberFormat="1" applyFont="1" applyFill="1" applyBorder="1" applyAlignment="1">
      <alignment horizontal="right"/>
    </xf>
    <xf numFmtId="167" fontId="56" fillId="0" borderId="123" xfId="31" applyNumberFormat="1" applyFont="1" applyBorder="1"/>
    <xf numFmtId="4" fontId="55" fillId="0" borderId="155" xfId="31" applyNumberFormat="1" applyFont="1" applyBorder="1" applyAlignment="1">
      <alignment horizontal="center"/>
    </xf>
    <xf numFmtId="49" fontId="56" fillId="0" borderId="112" xfId="31" applyNumberFormat="1" applyFont="1" applyBorder="1" applyAlignment="1">
      <alignment horizontal="left"/>
    </xf>
    <xf numFmtId="0" fontId="56" fillId="0" borderId="127" xfId="0" applyFont="1" applyBorder="1" applyAlignment="1">
      <alignment horizontal="left"/>
    </xf>
    <xf numFmtId="0" fontId="68" fillId="0" borderId="136" xfId="0" applyFont="1" applyBorder="1"/>
    <xf numFmtId="174" fontId="56" fillId="0" borderId="127" xfId="31" applyNumberFormat="1" applyFont="1" applyBorder="1"/>
    <xf numFmtId="174" fontId="56" fillId="0" borderId="46" xfId="31" applyNumberFormat="1" applyFont="1" applyBorder="1"/>
    <xf numFmtId="174" fontId="56" fillId="0" borderId="69" xfId="31" applyNumberFormat="1" applyFont="1" applyBorder="1"/>
    <xf numFmtId="167" fontId="56" fillId="0" borderId="46" xfId="31" applyNumberFormat="1" applyFont="1" applyBorder="1"/>
    <xf numFmtId="167" fontId="56" fillId="0" borderId="69" xfId="31" applyNumberFormat="1" applyFont="1" applyBorder="1"/>
    <xf numFmtId="167" fontId="56" fillId="0" borderId="57" xfId="31" applyNumberFormat="1" applyFont="1" applyBorder="1"/>
    <xf numFmtId="167" fontId="56" fillId="0" borderId="162" xfId="31" applyNumberFormat="1" applyFont="1" applyBorder="1"/>
    <xf numFmtId="167" fontId="56" fillId="0" borderId="63" xfId="31" applyNumberFormat="1" applyFont="1" applyBorder="1"/>
    <xf numFmtId="167" fontId="56" fillId="0" borderId="39" xfId="31" applyNumberFormat="1" applyFont="1" applyBorder="1"/>
    <xf numFmtId="171" fontId="56" fillId="0" borderId="77" xfId="31" applyNumberFormat="1" applyFont="1" applyBorder="1"/>
    <xf numFmtId="174" fontId="55" fillId="0" borderId="163" xfId="37" applyNumberFormat="1" applyFont="1" applyBorder="1"/>
    <xf numFmtId="49" fontId="6" fillId="0" borderId="117" xfId="31" applyNumberFormat="1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5" xfId="0" applyFont="1" applyBorder="1"/>
    <xf numFmtId="164" fontId="2" fillId="0" borderId="35" xfId="37" applyBorder="1"/>
    <xf numFmtId="49" fontId="8" fillId="0" borderId="34" xfId="31" applyNumberFormat="1" applyFont="1" applyBorder="1" applyAlignment="1">
      <alignment horizontal="left"/>
    </xf>
    <xf numFmtId="49" fontId="8" fillId="0" borderId="35" xfId="31" applyNumberFormat="1" applyFont="1" applyBorder="1" applyAlignment="1">
      <alignment horizontal="left"/>
    </xf>
    <xf numFmtId="4" fontId="8" fillId="0" borderId="35" xfId="31" applyNumberFormat="1" applyFont="1" applyBorder="1"/>
    <xf numFmtId="164" fontId="3" fillId="0" borderId="35" xfId="37" applyFont="1" applyBorder="1"/>
    <xf numFmtId="0" fontId="2" fillId="0" borderId="35" xfId="0" applyFont="1" applyFill="1" applyBorder="1" applyAlignment="1">
      <alignment horizontal="left"/>
    </xf>
    <xf numFmtId="49" fontId="52" fillId="0" borderId="35" xfId="0" applyNumberFormat="1" applyFont="1" applyFill="1" applyBorder="1" applyAlignment="1">
      <alignment horizontal="left"/>
    </xf>
    <xf numFmtId="4" fontId="2" fillId="0" borderId="35" xfId="31" applyNumberFormat="1" applyFill="1" applyBorder="1" applyAlignment="1">
      <alignment wrapText="1"/>
    </xf>
    <xf numFmtId="164" fontId="2" fillId="0" borderId="35" xfId="37" applyFont="1" applyFill="1" applyBorder="1" applyAlignment="1">
      <alignment horizontal="center" wrapText="1"/>
    </xf>
    <xf numFmtId="164" fontId="2" fillId="0" borderId="35" xfId="37" applyFill="1" applyBorder="1" applyAlignment="1">
      <alignment horizontal="center" wrapText="1"/>
    </xf>
    <xf numFmtId="167" fontId="2" fillId="0" borderId="35" xfId="31" applyNumberFormat="1" applyFill="1" applyBorder="1" applyAlignment="1">
      <alignment horizontal="right"/>
    </xf>
    <xf numFmtId="0" fontId="0" fillId="0" borderId="0" xfId="0" applyBorder="1"/>
    <xf numFmtId="49" fontId="3" fillId="25" borderId="10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vertical="center" wrapText="1"/>
    </xf>
    <xf numFmtId="0" fontId="8" fillId="25" borderId="13" xfId="0" applyFont="1" applyFill="1" applyBorder="1" applyAlignment="1">
      <alignment horizontal="justify" vertical="top" wrapText="1"/>
    </xf>
    <xf numFmtId="49" fontId="2" fillId="0" borderId="24" xfId="0" applyNumberFormat="1" applyFont="1" applyFill="1" applyBorder="1" applyAlignment="1">
      <alignment horizontal="center" vertical="center" wrapText="1"/>
    </xf>
    <xf numFmtId="164" fontId="2" fillId="0" borderId="0" xfId="37" applyFont="1" applyFill="1" applyBorder="1" applyAlignment="1">
      <alignment horizontal="center" wrapText="1"/>
    </xf>
    <xf numFmtId="49" fontId="54" fillId="0" borderId="24" xfId="0" applyNumberFormat="1" applyFont="1" applyFill="1" applyBorder="1" applyAlignment="1">
      <alignment horizontal="center" vertical="center" wrapText="1"/>
    </xf>
    <xf numFmtId="49" fontId="54" fillId="0" borderId="63" xfId="0" applyNumberFormat="1" applyFont="1" applyFill="1" applyBorder="1" applyAlignment="1">
      <alignment horizontal="center" vertical="center" wrapText="1"/>
    </xf>
    <xf numFmtId="0" fontId="13" fillId="25" borderId="13" xfId="0" applyFont="1" applyFill="1" applyBorder="1" applyAlignment="1">
      <alignment horizontal="justify" vertical="top" wrapText="1"/>
    </xf>
    <xf numFmtId="0" fontId="13" fillId="25" borderId="15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3" fillId="25" borderId="12" xfId="0" applyNumberFormat="1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49" fontId="3" fillId="25" borderId="13" xfId="0" applyNumberFormat="1" applyFont="1" applyFill="1" applyBorder="1" applyAlignment="1">
      <alignment horizontal="center"/>
    </xf>
    <xf numFmtId="0" fontId="6" fillId="25" borderId="13" xfId="0" applyFont="1" applyFill="1" applyBorder="1" applyAlignment="1">
      <alignment horizontal="justify" vertical="top" wrapText="1"/>
    </xf>
    <xf numFmtId="0" fontId="6" fillId="25" borderId="40" xfId="0" applyFont="1" applyFill="1" applyBorder="1" applyAlignment="1">
      <alignment horizontal="left" vertical="top" wrapText="1"/>
    </xf>
    <xf numFmtId="0" fontId="6" fillId="25" borderId="21" xfId="0" applyFont="1" applyFill="1" applyBorder="1" applyAlignment="1">
      <alignment horizontal="left" vertical="top" wrapText="1"/>
    </xf>
    <xf numFmtId="0" fontId="6" fillId="25" borderId="39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0" borderId="139" xfId="0" applyFont="1" applyFill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/>
    </xf>
    <xf numFmtId="0" fontId="8" fillId="27" borderId="0" xfId="0" applyFont="1" applyFill="1" applyAlignment="1">
      <alignment horizontal="center" vertical="center"/>
    </xf>
    <xf numFmtId="0" fontId="8" fillId="27" borderId="23" xfId="0" applyFont="1" applyFill="1" applyBorder="1" applyAlignment="1">
      <alignment horizontal="center" vertical="center"/>
    </xf>
    <xf numFmtId="0" fontId="8" fillId="27" borderId="41" xfId="0" applyFont="1" applyFill="1" applyBorder="1" applyAlignment="1">
      <alignment horizontal="center" vertical="center"/>
    </xf>
    <xf numFmtId="0" fontId="8" fillId="27" borderId="74" xfId="0" applyFont="1" applyFill="1" applyBorder="1" applyAlignment="1">
      <alignment horizontal="center" vertical="center"/>
    </xf>
    <xf numFmtId="0" fontId="8" fillId="27" borderId="78" xfId="0" applyFont="1" applyFill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9" fillId="0" borderId="41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9" fillId="0" borderId="35" xfId="0" applyFont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/>
    </xf>
    <xf numFmtId="0" fontId="39" fillId="26" borderId="35" xfId="0" applyFont="1" applyFill="1" applyBorder="1" applyAlignment="1">
      <alignment horizontal="center" vertical="center"/>
    </xf>
    <xf numFmtId="9" fontId="8" fillId="0" borderId="62" xfId="0" applyNumberFormat="1" applyFont="1" applyBorder="1" applyAlignment="1">
      <alignment horizontal="center" vertical="center"/>
    </xf>
    <xf numFmtId="9" fontId="8" fillId="0" borderId="47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26" xfId="0" applyNumberFormat="1" applyFont="1" applyBorder="1" applyAlignment="1">
      <alignment horizontal="center" vertical="center"/>
    </xf>
    <xf numFmtId="9" fontId="5" fillId="0" borderId="46" xfId="0" applyNumberFormat="1" applyFont="1" applyBorder="1" applyAlignment="1">
      <alignment horizontal="center" vertical="center"/>
    </xf>
    <xf numFmtId="174" fontId="3" fillId="0" borderId="33" xfId="31" applyNumberFormat="1" applyFont="1" applyFill="1" applyBorder="1" applyAlignment="1">
      <alignment horizontal="center" vertical="center" wrapText="1"/>
    </xf>
    <xf numFmtId="174" fontId="3" fillId="0" borderId="3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" fontId="3" fillId="0" borderId="33" xfId="31" applyNumberFormat="1" applyFont="1" applyFill="1" applyBorder="1" applyAlignment="1">
      <alignment horizontal="center" vertical="center" wrapText="1"/>
    </xf>
    <xf numFmtId="4" fontId="3" fillId="0" borderId="34" xfId="31" applyNumberFormat="1" applyFont="1" applyFill="1" applyBorder="1" applyAlignment="1">
      <alignment horizontal="center" vertical="center" wrapText="1"/>
    </xf>
    <xf numFmtId="4" fontId="3" fillId="0" borderId="35" xfId="31" applyNumberFormat="1" applyFont="1" applyFill="1" applyBorder="1" applyAlignment="1">
      <alignment horizontal="center" vertical="center" wrapText="1"/>
    </xf>
    <xf numFmtId="174" fontId="3" fillId="0" borderId="41" xfId="31" applyNumberFormat="1" applyFont="1" applyFill="1" applyBorder="1" applyAlignment="1">
      <alignment horizontal="center"/>
    </xf>
    <xf numFmtId="174" fontId="3" fillId="0" borderId="74" xfId="31" applyNumberFormat="1" applyFont="1" applyFill="1" applyBorder="1" applyAlignment="1">
      <alignment horizontal="center"/>
    </xf>
    <xf numFmtId="174" fontId="3" fillId="0" borderId="78" xfId="31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3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54" fillId="0" borderId="33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4" fontId="54" fillId="0" borderId="33" xfId="31" applyNumberFormat="1" applyFont="1" applyFill="1" applyBorder="1" applyAlignment="1">
      <alignment horizontal="center" vertical="center" wrapText="1"/>
    </xf>
    <xf numFmtId="0" fontId="54" fillId="0" borderId="44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 wrapText="1"/>
    </xf>
    <xf numFmtId="0" fontId="54" fillId="0" borderId="74" xfId="0" applyFont="1" applyFill="1" applyBorder="1" applyAlignment="1">
      <alignment horizontal="center" vertical="center" wrapText="1"/>
    </xf>
    <xf numFmtId="0" fontId="54" fillId="0" borderId="78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4" fontId="46" fillId="0" borderId="33" xfId="31" applyNumberFormat="1" applyFont="1" applyFill="1" applyBorder="1" applyAlignment="1">
      <alignment horizontal="center" vertical="center" wrapText="1"/>
    </xf>
    <xf numFmtId="4" fontId="46" fillId="0" borderId="35" xfId="3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4" fontId="6" fillId="0" borderId="0" xfId="31" applyNumberFormat="1" applyFont="1" applyAlignment="1">
      <alignment horizontal="center"/>
    </xf>
    <xf numFmtId="4" fontId="55" fillId="0" borderId="65" xfId="31" applyNumberFormat="1" applyFont="1" applyBorder="1" applyAlignment="1">
      <alignment horizontal="center"/>
    </xf>
    <xf numFmtId="4" fontId="55" fillId="0" borderId="64" xfId="31" applyNumberFormat="1" applyFont="1" applyBorder="1" applyAlignment="1">
      <alignment horizontal="center"/>
    </xf>
    <xf numFmtId="4" fontId="55" fillId="0" borderId="52" xfId="31" applyNumberFormat="1" applyFont="1" applyBorder="1" applyAlignment="1">
      <alignment horizontal="center"/>
    </xf>
    <xf numFmtId="4" fontId="55" fillId="0" borderId="46" xfId="31" applyNumberFormat="1" applyFont="1" applyBorder="1" applyAlignment="1">
      <alignment horizontal="center"/>
    </xf>
    <xf numFmtId="4" fontId="55" fillId="0" borderId="60" xfId="31" applyNumberFormat="1" applyFont="1" applyBorder="1" applyAlignment="1">
      <alignment horizontal="center" vertical="center" wrapText="1"/>
    </xf>
    <xf numFmtId="4" fontId="55" fillId="0" borderId="133" xfId="31" applyNumberFormat="1" applyFont="1" applyBorder="1" applyAlignment="1">
      <alignment horizontal="center" vertical="center" wrapText="1"/>
    </xf>
    <xf numFmtId="4" fontId="55" fillId="0" borderId="84" xfId="31" applyNumberFormat="1" applyFont="1" applyBorder="1" applyAlignment="1">
      <alignment horizontal="center" vertical="center" wrapText="1"/>
    </xf>
    <xf numFmtId="4" fontId="55" fillId="0" borderId="119" xfId="31" applyNumberFormat="1" applyFont="1" applyBorder="1" applyAlignment="1">
      <alignment horizontal="center" vertical="center"/>
    </xf>
    <xf numFmtId="4" fontId="55" fillId="0" borderId="120" xfId="31" applyNumberFormat="1" applyFont="1" applyBorder="1" applyAlignment="1">
      <alignment horizontal="center" vertical="center"/>
    </xf>
    <xf numFmtId="4" fontId="55" fillId="0" borderId="121" xfId="31" applyNumberFormat="1" applyFont="1" applyBorder="1" applyAlignment="1">
      <alignment horizontal="center" vertical="center"/>
    </xf>
    <xf numFmtId="4" fontId="55" fillId="0" borderId="41" xfId="31" applyNumberFormat="1" applyFont="1" applyBorder="1" applyAlignment="1">
      <alignment horizontal="center"/>
    </xf>
    <xf numFmtId="4" fontId="55" fillId="0" borderId="20" xfId="31" applyNumberFormat="1" applyFont="1" applyBorder="1" applyAlignment="1">
      <alignment horizontal="center"/>
    </xf>
    <xf numFmtId="4" fontId="55" fillId="0" borderId="137" xfId="31" applyNumberFormat="1" applyFont="1" applyBorder="1" applyAlignment="1">
      <alignment horizontal="center"/>
    </xf>
    <xf numFmtId="4" fontId="55" fillId="0" borderId="62" xfId="31" applyNumberFormat="1" applyFont="1" applyBorder="1" applyAlignment="1">
      <alignment horizontal="center"/>
    </xf>
    <xf numFmtId="4" fontId="55" fillId="0" borderId="32" xfId="31" applyNumberFormat="1" applyFont="1" applyBorder="1" applyAlignment="1">
      <alignment horizontal="center"/>
    </xf>
    <xf numFmtId="4" fontId="55" fillId="0" borderId="95" xfId="31" applyNumberFormat="1" applyFont="1" applyBorder="1" applyAlignment="1">
      <alignment horizontal="center"/>
    </xf>
    <xf numFmtId="4" fontId="55" fillId="0" borderId="96" xfId="31" applyNumberFormat="1" applyFont="1" applyBorder="1" applyAlignment="1">
      <alignment horizontal="center"/>
    </xf>
    <xf numFmtId="4" fontId="55" fillId="0" borderId="158" xfId="31" applyNumberFormat="1" applyFont="1" applyBorder="1" applyAlignment="1">
      <alignment horizontal="center"/>
    </xf>
    <xf numFmtId="4" fontId="55" fillId="0" borderId="33" xfId="31" applyNumberFormat="1" applyFont="1" applyBorder="1" applyAlignment="1">
      <alignment horizontal="center"/>
    </xf>
    <xf numFmtId="4" fontId="55" fillId="0" borderId="34" xfId="31" applyNumberFormat="1" applyFont="1" applyBorder="1" applyAlignment="1">
      <alignment horizontal="center"/>
    </xf>
    <xf numFmtId="4" fontId="55" fillId="0" borderId="100" xfId="31" applyNumberFormat="1" applyFont="1" applyBorder="1" applyAlignment="1">
      <alignment horizontal="center"/>
    </xf>
    <xf numFmtId="4" fontId="55" fillId="0" borderId="97" xfId="31" applyNumberFormat="1" applyFont="1" applyBorder="1" applyAlignment="1">
      <alignment horizontal="center"/>
    </xf>
    <xf numFmtId="4" fontId="55" fillId="0" borderId="98" xfId="31" applyNumberFormat="1" applyFont="1" applyBorder="1" applyAlignment="1">
      <alignment horizontal="center" vertical="center" wrapText="1"/>
    </xf>
    <xf numFmtId="4" fontId="55" fillId="0" borderId="132" xfId="31" applyNumberFormat="1" applyFont="1" applyBorder="1" applyAlignment="1">
      <alignment horizontal="center" vertical="center" wrapText="1"/>
    </xf>
    <xf numFmtId="4" fontId="55" fillId="0" borderId="99" xfId="31" applyNumberFormat="1" applyFont="1" applyBorder="1" applyAlignment="1">
      <alignment horizontal="center" vertical="center" wrapText="1"/>
    </xf>
    <xf numFmtId="4" fontId="55" fillId="0" borderId="79" xfId="31" applyNumberFormat="1" applyFont="1" applyBorder="1" applyAlignment="1">
      <alignment horizontal="center" vertical="center" wrapText="1"/>
    </xf>
    <xf numFmtId="4" fontId="55" fillId="0" borderId="119" xfId="31" applyNumberFormat="1" applyFont="1" applyBorder="1" applyAlignment="1">
      <alignment horizontal="center" vertical="center" wrapText="1"/>
    </xf>
    <xf numFmtId="4" fontId="55" fillId="0" borderId="120" xfId="31" applyNumberFormat="1" applyFont="1" applyBorder="1" applyAlignment="1">
      <alignment horizontal="center" vertical="center" wrapText="1"/>
    </xf>
    <xf numFmtId="174" fontId="55" fillId="0" borderId="113" xfId="37" applyNumberFormat="1" applyFont="1" applyBorder="1" applyAlignment="1">
      <alignment horizontal="center"/>
    </xf>
    <xf numFmtId="174" fontId="55" fillId="0" borderId="0" xfId="37" applyNumberFormat="1" applyFont="1" applyAlignment="1">
      <alignment horizontal="center"/>
    </xf>
    <xf numFmtId="174" fontId="55" fillId="0" borderId="125" xfId="37" applyNumberFormat="1" applyFont="1" applyBorder="1" applyAlignment="1">
      <alignment horizontal="center"/>
    </xf>
    <xf numFmtId="174" fontId="55" fillId="0" borderId="60" xfId="37" applyNumberFormat="1" applyFont="1" applyBorder="1" applyAlignment="1">
      <alignment horizontal="center" vertical="center" wrapText="1"/>
    </xf>
    <xf numFmtId="174" fontId="55" fillId="0" borderId="84" xfId="37" applyNumberFormat="1" applyFont="1" applyBorder="1" applyAlignment="1">
      <alignment horizontal="center" vertical="center" wrapText="1"/>
    </xf>
    <xf numFmtId="4" fontId="55" fillId="0" borderId="36" xfId="31" applyNumberFormat="1" applyFont="1" applyBorder="1" applyAlignment="1">
      <alignment horizontal="center"/>
    </xf>
    <xf numFmtId="4" fontId="55" fillId="0" borderId="10" xfId="31" applyNumberFormat="1" applyFont="1" applyBorder="1" applyAlignment="1">
      <alignment horizontal="center"/>
    </xf>
    <xf numFmtId="174" fontId="55" fillId="0" borderId="52" xfId="31" applyNumberFormat="1" applyFont="1" applyBorder="1" applyAlignment="1">
      <alignment horizontal="center" vertical="center" wrapText="1"/>
    </xf>
    <xf numFmtId="174" fontId="55" fillId="0" borderId="76" xfId="31" applyNumberFormat="1" applyFont="1" applyBorder="1" applyAlignment="1">
      <alignment horizontal="center" vertical="center" wrapText="1"/>
    </xf>
    <xf numFmtId="4" fontId="55" fillId="0" borderId="125" xfId="31" applyNumberFormat="1" applyFont="1" applyBorder="1" applyAlignment="1">
      <alignment horizontal="center" vertical="center" wrapText="1"/>
    </xf>
    <xf numFmtId="4" fontId="55" fillId="0" borderId="129" xfId="31" applyNumberFormat="1" applyFont="1" applyBorder="1" applyAlignment="1">
      <alignment horizontal="center" vertical="center" wrapText="1"/>
    </xf>
    <xf numFmtId="174" fontId="55" fillId="0" borderId="52" xfId="37" applyNumberFormat="1" applyFont="1" applyBorder="1" applyAlignment="1">
      <alignment horizontal="center" vertical="center" wrapText="1"/>
    </xf>
    <xf numFmtId="174" fontId="55" fillId="0" borderId="76" xfId="37" applyNumberFormat="1" applyFont="1" applyBorder="1" applyAlignment="1">
      <alignment horizontal="center" vertical="center" wrapText="1"/>
    </xf>
    <xf numFmtId="174" fontId="55" fillId="0" borderId="113" xfId="31" applyNumberFormat="1" applyFont="1" applyBorder="1" applyAlignment="1">
      <alignment horizontal="center"/>
    </xf>
    <xf numFmtId="174" fontId="55" fillId="0" borderId="0" xfId="31" applyNumberFormat="1" applyFont="1" applyBorder="1" applyAlignment="1">
      <alignment horizontal="center"/>
    </xf>
    <xf numFmtId="174" fontId="55" fillId="0" borderId="125" xfId="31" applyNumberFormat="1" applyFont="1" applyBorder="1" applyAlignment="1">
      <alignment horizontal="center"/>
    </xf>
    <xf numFmtId="174" fontId="55" fillId="0" borderId="75" xfId="31" applyNumberFormat="1" applyFont="1" applyBorder="1" applyAlignment="1">
      <alignment horizontal="center" vertical="center" wrapText="1"/>
    </xf>
    <xf numFmtId="174" fontId="55" fillId="0" borderId="131" xfId="31" applyNumberFormat="1" applyFont="1" applyBorder="1" applyAlignment="1">
      <alignment horizontal="center" vertical="center" wrapText="1"/>
    </xf>
    <xf numFmtId="4" fontId="55" fillId="0" borderId="115" xfId="31" applyNumberFormat="1" applyFont="1" applyBorder="1" applyAlignment="1">
      <alignment horizontal="center"/>
    </xf>
    <xf numFmtId="4" fontId="55" fillId="0" borderId="130" xfId="31" applyNumberFormat="1" applyFont="1" applyBorder="1" applyAlignment="1">
      <alignment horizontal="center"/>
    </xf>
    <xf numFmtId="4" fontId="55" fillId="0" borderId="153" xfId="31" applyNumberFormat="1" applyFont="1" applyBorder="1" applyAlignment="1">
      <alignment horizontal="center"/>
    </xf>
    <xf numFmtId="49" fontId="55" fillId="0" borderId="112" xfId="31" applyNumberFormat="1" applyFont="1" applyBorder="1" applyAlignment="1">
      <alignment horizontal="center" vertical="center" textRotation="90" wrapText="1"/>
    </xf>
    <xf numFmtId="0" fontId="55" fillId="0" borderId="113" xfId="0" applyFont="1" applyBorder="1" applyAlignment="1">
      <alignment horizontal="center" vertical="center" textRotation="90" wrapText="1"/>
    </xf>
    <xf numFmtId="0" fontId="55" fillId="0" borderId="114" xfId="0" applyFont="1" applyBorder="1" applyAlignment="1">
      <alignment horizontal="center" vertical="center" textRotation="90" wrapText="1"/>
    </xf>
    <xf numFmtId="0" fontId="55" fillId="0" borderId="120" xfId="0" applyFont="1" applyBorder="1" applyAlignment="1">
      <alignment horizontal="center" vertical="center" wrapText="1"/>
    </xf>
    <xf numFmtId="0" fontId="55" fillId="0" borderId="121" xfId="0" applyFont="1" applyBorder="1" applyAlignment="1">
      <alignment horizontal="center" vertical="center" wrapText="1"/>
    </xf>
    <xf numFmtId="174" fontId="55" fillId="0" borderId="115" xfId="31" applyNumberFormat="1" applyFont="1" applyBorder="1" applyAlignment="1">
      <alignment horizontal="center"/>
    </xf>
    <xf numFmtId="174" fontId="55" fillId="0" borderId="130" xfId="31" applyNumberFormat="1" applyFont="1" applyBorder="1" applyAlignment="1">
      <alignment horizontal="center"/>
    </xf>
    <xf numFmtId="174" fontId="55" fillId="0" borderId="153" xfId="31" applyNumberFormat="1" applyFont="1" applyBorder="1" applyAlignment="1">
      <alignment horizontal="center"/>
    </xf>
    <xf numFmtId="174" fontId="55" fillId="0" borderId="75" xfId="37" applyNumberFormat="1" applyFont="1" applyBorder="1" applyAlignment="1">
      <alignment horizontal="center" vertical="center" wrapText="1"/>
    </xf>
    <xf numFmtId="174" fontId="55" fillId="0" borderId="131" xfId="37" applyNumberFormat="1" applyFont="1" applyBorder="1" applyAlignment="1">
      <alignment horizontal="center" vertical="center" wrapText="1"/>
    </xf>
    <xf numFmtId="174" fontId="55" fillId="0" borderId="112" xfId="37" applyNumberFormat="1" applyFont="1" applyBorder="1" applyAlignment="1">
      <alignment horizontal="center" vertical="center"/>
    </xf>
    <xf numFmtId="174" fontId="55" fillId="0" borderId="98" xfId="37" applyNumberFormat="1" applyFont="1" applyBorder="1" applyAlignment="1">
      <alignment horizontal="center" vertical="center"/>
    </xf>
    <xf numFmtId="174" fontId="55" fillId="0" borderId="132" xfId="37" applyNumberFormat="1" applyFont="1" applyBorder="1" applyAlignment="1">
      <alignment horizontal="center" vertical="center"/>
    </xf>
    <xf numFmtId="174" fontId="55" fillId="0" borderId="127" xfId="37" applyNumberFormat="1" applyFont="1" applyBorder="1" applyAlignment="1">
      <alignment horizontal="center" vertical="center"/>
    </xf>
    <xf numFmtId="174" fontId="55" fillId="0" borderId="77" xfId="37" applyNumberFormat="1" applyFont="1" applyBorder="1" applyAlignment="1">
      <alignment horizontal="center" vertical="center"/>
    </xf>
    <xf numFmtId="174" fontId="55" fillId="0" borderId="129" xfId="37" applyNumberFormat="1" applyFont="1" applyBorder="1" applyAlignment="1">
      <alignment horizontal="center" vertical="center"/>
    </xf>
    <xf numFmtId="174" fontId="55" fillId="0" borderId="112" xfId="37" applyNumberFormat="1" applyFont="1" applyBorder="1" applyAlignment="1">
      <alignment horizontal="center"/>
    </xf>
    <xf numFmtId="174" fontId="55" fillId="0" borderId="98" xfId="37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9" fontId="41" fillId="0" borderId="20" xfId="0" applyNumberFormat="1" applyFont="1" applyBorder="1" applyAlignment="1">
      <alignment horizontal="center"/>
    </xf>
    <xf numFmtId="49" fontId="41" fillId="0" borderId="0" xfId="0" applyNumberFormat="1" applyFont="1" applyAlignment="1">
      <alignment horizontal="center"/>
    </xf>
    <xf numFmtId="49" fontId="41" fillId="0" borderId="23" xfId="0" applyNumberFormat="1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3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79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1" fillId="0" borderId="74" xfId="0" applyFont="1" applyBorder="1" applyAlignment="1">
      <alignment horizontal="center"/>
    </xf>
    <xf numFmtId="0" fontId="41" fillId="0" borderId="78" xfId="0" applyFont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40" fillId="0" borderId="0" xfId="0" applyFont="1" applyAlignment="1">
      <alignment horizontal="center" vertical="center" wrapText="1"/>
    </xf>
    <xf numFmtId="49" fontId="40" fillId="0" borderId="31" xfId="0" applyNumberFormat="1" applyFont="1" applyBorder="1" applyAlignment="1">
      <alignment horizontal="center"/>
    </xf>
    <xf numFmtId="0" fontId="44" fillId="0" borderId="33" xfId="0" applyFont="1" applyBorder="1" applyAlignment="1">
      <alignment horizontal="center" vertical="center" wrapText="1"/>
    </xf>
    <xf numFmtId="0" fontId="45" fillId="0" borderId="35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81" xfId="0" applyFont="1" applyBorder="1" applyAlignment="1">
      <alignment vertical="center" wrapText="1"/>
    </xf>
    <xf numFmtId="164" fontId="40" fillId="0" borderId="0" xfId="37" applyFont="1" applyAlignment="1">
      <alignment horizontal="center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73" fillId="0" borderId="0" xfId="0" applyFont="1"/>
    <xf numFmtId="49" fontId="71" fillId="0" borderId="0" xfId="0" applyNumberFormat="1" applyFont="1" applyAlignment="1">
      <alignment horizontal="center"/>
    </xf>
    <xf numFmtId="49" fontId="72" fillId="0" borderId="0" xfId="0" applyNumberFormat="1" applyFont="1" applyAlignment="1">
      <alignment horizontal="center"/>
    </xf>
    <xf numFmtId="49" fontId="71" fillId="0" borderId="31" xfId="0" applyNumberFormat="1" applyFont="1" applyBorder="1" applyAlignment="1">
      <alignment horizontal="center"/>
    </xf>
    <xf numFmtId="49" fontId="74" fillId="0" borderId="33" xfId="0" applyNumberFormat="1" applyFont="1" applyBorder="1" applyAlignment="1">
      <alignment horizontal="center" vertical="center" wrapText="1"/>
    </xf>
    <xf numFmtId="0" fontId="74" fillId="0" borderId="33" xfId="0" applyFont="1" applyBorder="1" applyAlignment="1">
      <alignment horizontal="center" vertical="center" wrapText="1"/>
    </xf>
    <xf numFmtId="0" fontId="74" fillId="0" borderId="27" xfId="0" applyFont="1" applyBorder="1" applyAlignment="1">
      <alignment horizontal="center" vertical="center" wrapText="1"/>
    </xf>
    <xf numFmtId="49" fontId="74" fillId="0" borderId="35" xfId="0" applyNumberFormat="1" applyFont="1" applyBorder="1" applyAlignment="1">
      <alignment horizontal="center" vertical="center" wrapText="1"/>
    </xf>
    <xf numFmtId="0" fontId="75" fillId="0" borderId="35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49" fontId="76" fillId="0" borderId="33" xfId="0" applyNumberFormat="1" applyFont="1" applyBorder="1" applyAlignment="1">
      <alignment horizontal="center"/>
    </xf>
    <xf numFmtId="0" fontId="76" fillId="0" borderId="74" xfId="0" applyFont="1" applyBorder="1" applyAlignment="1">
      <alignment horizontal="left"/>
    </xf>
    <xf numFmtId="164" fontId="76" fillId="0" borderId="33" xfId="37" applyFont="1" applyBorder="1" applyAlignment="1">
      <alignment horizontal="right"/>
    </xf>
    <xf numFmtId="49" fontId="76" fillId="0" borderId="34" xfId="0" applyNumberFormat="1" applyFont="1" applyBorder="1" applyAlignment="1">
      <alignment horizontal="center"/>
    </xf>
    <xf numFmtId="0" fontId="76" fillId="0" borderId="0" xfId="0" applyFont="1" applyBorder="1"/>
    <xf numFmtId="164" fontId="76" fillId="0" borderId="34" xfId="37" applyFont="1" applyBorder="1" applyAlignment="1">
      <alignment horizontal="right"/>
    </xf>
    <xf numFmtId="164" fontId="73" fillId="0" borderId="0" xfId="37" applyFont="1"/>
    <xf numFmtId="49" fontId="77" fillId="0" borderId="34" xfId="0" applyNumberFormat="1" applyFont="1" applyBorder="1" applyAlignment="1">
      <alignment horizontal="center"/>
    </xf>
    <xf numFmtId="0" fontId="77" fillId="0" borderId="0" xfId="0" applyFont="1" applyBorder="1"/>
    <xf numFmtId="164" fontId="77" fillId="0" borderId="34" xfId="37" applyFont="1" applyBorder="1" applyAlignment="1">
      <alignment horizontal="right"/>
    </xf>
    <xf numFmtId="165" fontId="73" fillId="0" borderId="0" xfId="0" applyNumberFormat="1" applyFont="1"/>
    <xf numFmtId="49" fontId="77" fillId="0" borderId="35" xfId="0" applyNumberFormat="1" applyFont="1" applyBorder="1" applyAlignment="1">
      <alignment horizontal="center"/>
    </xf>
    <xf numFmtId="0" fontId="77" fillId="0" borderId="31" xfId="0" applyFont="1" applyBorder="1"/>
    <xf numFmtId="164" fontId="77" fillId="0" borderId="35" xfId="37" applyFont="1" applyBorder="1" applyAlignment="1">
      <alignment horizontal="right"/>
    </xf>
    <xf numFmtId="164" fontId="76" fillId="0" borderId="35" xfId="37" applyFont="1" applyBorder="1" applyAlignment="1">
      <alignment horizontal="right"/>
    </xf>
    <xf numFmtId="43" fontId="73" fillId="0" borderId="0" xfId="0" applyNumberFormat="1" applyFont="1"/>
    <xf numFmtId="0" fontId="76" fillId="0" borderId="0" xfId="0" applyFont="1" applyBorder="1" applyAlignment="1">
      <alignment horizontal="left"/>
    </xf>
    <xf numFmtId="0" fontId="76" fillId="0" borderId="62" xfId="0" applyFont="1" applyBorder="1" applyAlignment="1">
      <alignment horizontal="center"/>
    </xf>
    <xf numFmtId="0" fontId="76" fillId="0" borderId="47" xfId="0" applyFont="1" applyBorder="1" applyAlignment="1">
      <alignment horizontal="center"/>
    </xf>
    <xf numFmtId="164" fontId="76" fillId="0" borderId="30" xfId="37" applyFont="1" applyBorder="1" applyAlignment="1">
      <alignment horizontal="right"/>
    </xf>
    <xf numFmtId="49" fontId="73" fillId="0" borderId="0" xfId="0" applyNumberFormat="1" applyFont="1"/>
    <xf numFmtId="164" fontId="73" fillId="0" borderId="0" xfId="0" applyNumberFormat="1" applyFont="1"/>
    <xf numFmtId="44" fontId="73" fillId="0" borderId="0" xfId="0" applyNumberFormat="1" applyFont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7030A0"/>
  </sheetPr>
  <dimension ref="B1:E32"/>
  <sheetViews>
    <sheetView topLeftCell="A16" zoomScale="115" zoomScaleNormal="115" workbookViewId="0">
      <selection activeCell="E18" sqref="E18:E20"/>
    </sheetView>
  </sheetViews>
  <sheetFormatPr baseColWidth="10" defaultRowHeight="12.75" x14ac:dyDescent="0.2"/>
  <cols>
    <col min="1" max="1" width="1.28515625" style="25" customWidth="1"/>
    <col min="2" max="2" width="7.28515625" style="25" customWidth="1"/>
    <col min="3" max="3" width="7.140625" style="25" customWidth="1"/>
    <col min="4" max="4" width="31.7109375" style="25" customWidth="1"/>
    <col min="5" max="5" width="42.5703125" style="25" customWidth="1"/>
    <col min="6" max="16384" width="11.42578125" style="25"/>
  </cols>
  <sheetData>
    <row r="1" spans="2:5" x14ac:dyDescent="0.2">
      <c r="B1" s="1159" t="s">
        <v>303</v>
      </c>
      <c r="C1" s="1159"/>
      <c r="D1" s="1159"/>
      <c r="E1" s="1159"/>
    </row>
    <row r="2" spans="2:5" x14ac:dyDescent="0.2">
      <c r="B2" s="1159" t="s">
        <v>440</v>
      </c>
      <c r="C2" s="1159"/>
      <c r="D2" s="1159"/>
      <c r="E2" s="1159"/>
    </row>
    <row r="3" spans="2:5" ht="13.5" thickBot="1" x14ac:dyDescent="0.25">
      <c r="B3" s="1159" t="s">
        <v>748</v>
      </c>
      <c r="C3" s="1159"/>
      <c r="D3" s="1159"/>
      <c r="E3" s="1159"/>
    </row>
    <row r="4" spans="2:5" ht="38.25" x14ac:dyDescent="0.2">
      <c r="B4" s="1100" t="s">
        <v>559</v>
      </c>
      <c r="C4" s="1101" t="s">
        <v>558</v>
      </c>
      <c r="D4" s="1101" t="s">
        <v>103</v>
      </c>
      <c r="E4" s="1102" t="s">
        <v>557</v>
      </c>
    </row>
    <row r="5" spans="2:5" x14ac:dyDescent="0.2">
      <c r="B5" s="1160" t="s">
        <v>702</v>
      </c>
      <c r="C5" s="1161"/>
      <c r="D5" s="1161"/>
      <c r="E5" s="1162"/>
    </row>
    <row r="6" spans="2:5" x14ac:dyDescent="0.2">
      <c r="B6" s="1103" t="s">
        <v>274</v>
      </c>
      <c r="C6" s="28"/>
      <c r="D6" s="28" t="s">
        <v>315</v>
      </c>
      <c r="E6" s="1104"/>
    </row>
    <row r="7" spans="2:5" ht="38.25" customHeight="1" x14ac:dyDescent="0.2">
      <c r="B7" s="1105"/>
      <c r="C7" s="448" t="s">
        <v>20</v>
      </c>
      <c r="D7" s="277" t="s">
        <v>452</v>
      </c>
      <c r="E7" s="1113" t="s">
        <v>722</v>
      </c>
    </row>
    <row r="8" spans="2:5" ht="30" customHeight="1" x14ac:dyDescent="0.2">
      <c r="B8" s="1105"/>
      <c r="C8" s="448" t="s">
        <v>21</v>
      </c>
      <c r="D8" s="277" t="s">
        <v>453</v>
      </c>
      <c r="E8" s="1113" t="s">
        <v>723</v>
      </c>
    </row>
    <row r="9" spans="2:5" x14ac:dyDescent="0.2">
      <c r="B9" s="1103" t="s">
        <v>278</v>
      </c>
      <c r="C9" s="27"/>
      <c r="D9" s="28" t="s">
        <v>279</v>
      </c>
      <c r="E9" s="1115"/>
    </row>
    <row r="10" spans="2:5" ht="48" customHeight="1" x14ac:dyDescent="0.2">
      <c r="B10" s="1105"/>
      <c r="C10" s="448" t="s">
        <v>24</v>
      </c>
      <c r="D10" s="276" t="s">
        <v>316</v>
      </c>
      <c r="E10" s="1113" t="s">
        <v>724</v>
      </c>
    </row>
    <row r="11" spans="2:5" ht="27" customHeight="1" x14ac:dyDescent="0.2">
      <c r="B11" s="1105"/>
      <c r="C11" s="448" t="s">
        <v>253</v>
      </c>
      <c r="D11" s="277" t="s">
        <v>317</v>
      </c>
      <c r="E11" s="1106" t="s">
        <v>725</v>
      </c>
    </row>
    <row r="12" spans="2:5" x14ac:dyDescent="0.2">
      <c r="B12" s="1160" t="s">
        <v>318</v>
      </c>
      <c r="C12" s="1161"/>
      <c r="D12" s="1161"/>
      <c r="E12" s="1162"/>
    </row>
    <row r="13" spans="2:5" x14ac:dyDescent="0.2">
      <c r="B13" s="1103" t="s">
        <v>281</v>
      </c>
      <c r="C13" s="27"/>
      <c r="D13" s="28" t="s">
        <v>319</v>
      </c>
      <c r="E13" s="1104"/>
    </row>
    <row r="14" spans="2:5" ht="45" customHeight="1" x14ac:dyDescent="0.2">
      <c r="B14" s="1105"/>
      <c r="C14" s="448" t="s">
        <v>231</v>
      </c>
      <c r="D14" s="29" t="s">
        <v>320</v>
      </c>
      <c r="E14" s="1163" t="s">
        <v>726</v>
      </c>
    </row>
    <row r="15" spans="2:5" ht="48" customHeight="1" x14ac:dyDescent="0.2">
      <c r="B15" s="1105"/>
      <c r="C15" s="448" t="s">
        <v>232</v>
      </c>
      <c r="D15" s="29" t="s">
        <v>321</v>
      </c>
      <c r="E15" s="1163"/>
    </row>
    <row r="16" spans="2:5" ht="91.5" customHeight="1" x14ac:dyDescent="0.2">
      <c r="B16" s="1105"/>
      <c r="C16" s="448" t="s">
        <v>819</v>
      </c>
      <c r="D16" s="29" t="s">
        <v>321</v>
      </c>
      <c r="E16" s="1113" t="s">
        <v>820</v>
      </c>
    </row>
    <row r="17" spans="2:5" ht="19.5" customHeight="1" x14ac:dyDescent="0.2">
      <c r="B17" s="1109" t="s">
        <v>823</v>
      </c>
      <c r="C17" s="1150"/>
      <c r="D17" s="1151" t="s">
        <v>824</v>
      </c>
      <c r="E17" s="1152"/>
    </row>
    <row r="18" spans="2:5" ht="24.75" customHeight="1" x14ac:dyDescent="0.2">
      <c r="B18" s="1105"/>
      <c r="C18" s="1099" t="s">
        <v>825</v>
      </c>
      <c r="D18" s="482" t="s">
        <v>826</v>
      </c>
      <c r="E18" s="1164" t="s">
        <v>832</v>
      </c>
    </row>
    <row r="19" spans="2:5" ht="24" customHeight="1" x14ac:dyDescent="0.2">
      <c r="B19" s="1105"/>
      <c r="C19" s="1099" t="s">
        <v>827</v>
      </c>
      <c r="D19" s="482" t="s">
        <v>828</v>
      </c>
      <c r="E19" s="1165"/>
    </row>
    <row r="20" spans="2:5" ht="23.25" customHeight="1" x14ac:dyDescent="0.2">
      <c r="B20" s="1105"/>
      <c r="C20" s="1099" t="s">
        <v>829</v>
      </c>
      <c r="D20" s="482" t="s">
        <v>830</v>
      </c>
      <c r="E20" s="1166"/>
    </row>
    <row r="21" spans="2:5" ht="19.5" customHeight="1" x14ac:dyDescent="0.2">
      <c r="B21" s="1109" t="s">
        <v>831</v>
      </c>
      <c r="C21" s="1150"/>
      <c r="D21" s="1151" t="s">
        <v>833</v>
      </c>
      <c r="E21" s="1152"/>
    </row>
    <row r="22" spans="2:5" ht="24" customHeight="1" x14ac:dyDescent="0.2">
      <c r="B22" s="1105"/>
      <c r="C22" s="1099" t="s">
        <v>834</v>
      </c>
      <c r="D22" s="482" t="s">
        <v>835</v>
      </c>
      <c r="E22" s="1164" t="s">
        <v>838</v>
      </c>
    </row>
    <row r="23" spans="2:5" ht="24" customHeight="1" x14ac:dyDescent="0.2">
      <c r="B23" s="1105"/>
      <c r="C23" s="1099" t="s">
        <v>836</v>
      </c>
      <c r="D23" s="482" t="s">
        <v>837</v>
      </c>
      <c r="E23" s="1166"/>
    </row>
    <row r="24" spans="2:5" x14ac:dyDescent="0.2">
      <c r="B24" s="1160" t="s">
        <v>322</v>
      </c>
      <c r="C24" s="1161"/>
      <c r="D24" s="1161"/>
      <c r="E24" s="1162"/>
    </row>
    <row r="25" spans="2:5" x14ac:dyDescent="0.2">
      <c r="B25" s="1103" t="s">
        <v>286</v>
      </c>
      <c r="C25" s="26"/>
      <c r="D25" s="28" t="s">
        <v>323</v>
      </c>
      <c r="E25" s="1107"/>
    </row>
    <row r="26" spans="2:5" ht="60" customHeight="1" x14ac:dyDescent="0.2">
      <c r="B26" s="1105"/>
      <c r="C26" s="1099" t="s">
        <v>233</v>
      </c>
      <c r="D26" s="29" t="s">
        <v>451</v>
      </c>
      <c r="E26" s="1114" t="s">
        <v>727</v>
      </c>
    </row>
    <row r="27" spans="2:5" ht="69" customHeight="1" x14ac:dyDescent="0.2">
      <c r="B27" s="1105"/>
      <c r="C27" s="1099" t="s">
        <v>449</v>
      </c>
      <c r="D27" s="29" t="s">
        <v>451</v>
      </c>
      <c r="E27" s="1114" t="s">
        <v>821</v>
      </c>
    </row>
    <row r="28" spans="2:5" x14ac:dyDescent="0.2">
      <c r="B28" s="1160" t="s">
        <v>324</v>
      </c>
      <c r="C28" s="1161"/>
      <c r="D28" s="1161"/>
      <c r="E28" s="1162"/>
    </row>
    <row r="29" spans="2:5" x14ac:dyDescent="0.2">
      <c r="B29" s="1103" t="s">
        <v>290</v>
      </c>
      <c r="C29" s="26"/>
      <c r="D29" s="28" t="s">
        <v>291</v>
      </c>
      <c r="E29" s="1108"/>
    </row>
    <row r="30" spans="2:5" ht="39.75" customHeight="1" x14ac:dyDescent="0.2">
      <c r="B30" s="1109"/>
      <c r="C30" s="448" t="s">
        <v>234</v>
      </c>
      <c r="D30" s="114" t="s">
        <v>459</v>
      </c>
      <c r="E30" s="1157" t="s">
        <v>728</v>
      </c>
    </row>
    <row r="31" spans="2:5" ht="20.25" customHeight="1" x14ac:dyDescent="0.2">
      <c r="B31" s="1109"/>
      <c r="C31" s="1099" t="s">
        <v>619</v>
      </c>
      <c r="D31" s="482" t="s">
        <v>638</v>
      </c>
      <c r="E31" s="1157"/>
    </row>
    <row r="32" spans="2:5" ht="13.5" thickBot="1" x14ac:dyDescent="0.25">
      <c r="B32" s="1110"/>
      <c r="C32" s="1111" t="s">
        <v>458</v>
      </c>
      <c r="D32" s="1112" t="s">
        <v>214</v>
      </c>
      <c r="E32" s="1158"/>
    </row>
  </sheetData>
  <mergeCells count="11">
    <mergeCell ref="E30:E32"/>
    <mergeCell ref="B2:E2"/>
    <mergeCell ref="B1:E1"/>
    <mergeCell ref="B3:E3"/>
    <mergeCell ref="B28:E28"/>
    <mergeCell ref="B12:E12"/>
    <mergeCell ref="E14:E15"/>
    <mergeCell ref="B24:E24"/>
    <mergeCell ref="B5:E5"/>
    <mergeCell ref="E18:E20"/>
    <mergeCell ref="E22:E23"/>
  </mergeCells>
  <phoneticPr fontId="6" type="noConversion"/>
  <printOptions horizontalCentered="1"/>
  <pageMargins left="0.55118110236220474" right="0.31496062992125984" top="0.51181102362204722" bottom="0.35433070866141736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indexed="22"/>
  </sheetPr>
  <dimension ref="B1:J91"/>
  <sheetViews>
    <sheetView showGridLines="0" zoomScale="115" zoomScaleNormal="115" workbookViewId="0">
      <pane ySplit="11" topLeftCell="A81" activePane="bottomLeft" state="frozen"/>
      <selection pane="bottomLeft" activeCell="F65" sqref="F65"/>
    </sheetView>
  </sheetViews>
  <sheetFormatPr baseColWidth="10" defaultRowHeight="12.75" x14ac:dyDescent="0.2"/>
  <cols>
    <col min="1" max="1" width="6.140625" customWidth="1"/>
    <col min="2" max="2" width="8.28515625" style="861" customWidth="1"/>
    <col min="3" max="3" width="9.42578125" style="909" customWidth="1"/>
    <col min="4" max="4" width="52.5703125" style="648" customWidth="1"/>
    <col min="5" max="5" width="18.28515625" style="583" customWidth="1"/>
    <col min="6" max="6" width="13.85546875" style="583" customWidth="1"/>
    <col min="7" max="7" width="14.140625" style="583" customWidth="1"/>
    <col min="8" max="8" width="13.28515625" style="583" customWidth="1"/>
    <col min="9" max="9" width="18.140625" style="583" hidden="1" customWidth="1"/>
    <col min="10" max="10" width="19.42578125" style="583" customWidth="1"/>
  </cols>
  <sheetData>
    <row r="1" spans="2:10" ht="15.75" x14ac:dyDescent="0.25">
      <c r="B1" s="1300" t="s">
        <v>208</v>
      </c>
      <c r="C1" s="1300"/>
      <c r="D1" s="1300"/>
      <c r="E1" s="1300"/>
      <c r="F1" s="1300"/>
      <c r="G1" s="1300"/>
      <c r="H1" s="1300"/>
      <c r="I1" s="1300"/>
      <c r="J1" s="1300"/>
    </row>
    <row r="2" spans="2:10" x14ac:dyDescent="0.2">
      <c r="B2" s="1301" t="s">
        <v>588</v>
      </c>
      <c r="C2" s="1301"/>
      <c r="D2" s="1301"/>
      <c r="E2" s="1301"/>
      <c r="F2" s="1301"/>
      <c r="G2" s="1301"/>
      <c r="H2" s="1301"/>
      <c r="I2" s="1301"/>
      <c r="J2" s="1301"/>
    </row>
    <row r="3" spans="2:10" ht="7.5" customHeight="1" x14ac:dyDescent="0.3">
      <c r="B3" s="584"/>
      <c r="C3" s="584"/>
      <c r="D3" s="584"/>
      <c r="E3" s="584"/>
      <c r="F3" s="584"/>
      <c r="G3" s="584"/>
      <c r="H3" s="584"/>
      <c r="I3" s="584"/>
      <c r="J3" s="584"/>
    </row>
    <row r="4" spans="2:10" ht="18" customHeight="1" x14ac:dyDescent="0.3">
      <c r="B4" s="1302" t="s">
        <v>446</v>
      </c>
      <c r="C4" s="1302"/>
      <c r="D4" s="1302"/>
      <c r="E4" s="1302"/>
      <c r="F4" s="1302"/>
      <c r="G4" s="1302"/>
      <c r="H4" s="1302"/>
      <c r="I4" s="1302"/>
      <c r="J4" s="1302"/>
    </row>
    <row r="5" spans="2:10" ht="18" customHeight="1" x14ac:dyDescent="0.3">
      <c r="B5" s="1302" t="s">
        <v>744</v>
      </c>
      <c r="C5" s="1302"/>
      <c r="D5" s="1302"/>
      <c r="E5" s="1302"/>
      <c r="F5" s="1302"/>
      <c r="G5" s="1302"/>
      <c r="H5" s="1302"/>
      <c r="I5" s="1302"/>
      <c r="J5" s="1302"/>
    </row>
    <row r="6" spans="2:10" ht="18" customHeight="1" x14ac:dyDescent="0.3">
      <c r="B6" s="1302" t="s">
        <v>329</v>
      </c>
      <c r="C6" s="1302"/>
      <c r="D6" s="1302"/>
      <c r="E6" s="1302"/>
      <c r="F6" s="1302"/>
      <c r="G6" s="1302"/>
      <c r="H6" s="1302"/>
      <c r="I6" s="1302"/>
      <c r="J6" s="1302"/>
    </row>
    <row r="7" spans="2:10" ht="18" customHeight="1" x14ac:dyDescent="0.3">
      <c r="B7" s="1302" t="s">
        <v>330</v>
      </c>
      <c r="C7" s="1302"/>
      <c r="D7" s="1302"/>
      <c r="E7" s="1302"/>
      <c r="F7" s="1302"/>
      <c r="G7" s="1302"/>
      <c r="H7" s="1302"/>
      <c r="I7" s="1302"/>
      <c r="J7" s="1302"/>
    </row>
    <row r="8" spans="2:10" ht="18" customHeight="1" x14ac:dyDescent="0.3">
      <c r="B8" s="1302" t="s">
        <v>331</v>
      </c>
      <c r="C8" s="1302"/>
      <c r="D8" s="1302"/>
      <c r="E8" s="1302"/>
      <c r="F8" s="1302"/>
      <c r="G8" s="1302"/>
      <c r="H8" s="1302"/>
      <c r="I8" s="1302"/>
      <c r="J8" s="1302"/>
    </row>
    <row r="9" spans="2:10" ht="3.75" customHeight="1" thickBot="1" x14ac:dyDescent="0.35">
      <c r="B9" s="585"/>
      <c r="C9" s="585"/>
      <c r="D9" s="585"/>
      <c r="E9" s="585"/>
      <c r="F9" s="585"/>
      <c r="G9" s="585"/>
      <c r="H9" s="585"/>
      <c r="I9" s="585"/>
      <c r="J9" s="585"/>
    </row>
    <row r="10" spans="2:10" ht="13.5" thickBot="1" x14ac:dyDescent="0.25">
      <c r="B10" s="1309" t="s">
        <v>188</v>
      </c>
      <c r="C10" s="1309" t="s">
        <v>189</v>
      </c>
      <c r="D10" s="1311" t="s">
        <v>576</v>
      </c>
      <c r="E10" s="1313" t="s">
        <v>116</v>
      </c>
      <c r="F10" s="1314"/>
      <c r="G10" s="1314"/>
      <c r="H10" s="1314"/>
      <c r="I10" s="1315"/>
      <c r="J10" s="1309" t="s">
        <v>578</v>
      </c>
    </row>
    <row r="11" spans="2:10" ht="25.5" customHeight="1" thickBot="1" x14ac:dyDescent="0.25">
      <c r="B11" s="1310"/>
      <c r="C11" s="1310"/>
      <c r="D11" s="1312"/>
      <c r="E11" s="872" t="s">
        <v>803</v>
      </c>
      <c r="F11" s="872" t="s">
        <v>804</v>
      </c>
      <c r="G11" s="873" t="s">
        <v>436</v>
      </c>
      <c r="H11" s="874" t="s">
        <v>3</v>
      </c>
      <c r="I11" s="874" t="s">
        <v>121</v>
      </c>
      <c r="J11" s="1310"/>
    </row>
    <row r="12" spans="2:10" x14ac:dyDescent="0.2">
      <c r="B12" s="875"/>
      <c r="C12" s="876" t="s">
        <v>463</v>
      </c>
      <c r="D12" s="877"/>
      <c r="E12" s="1043"/>
      <c r="F12" s="1043"/>
      <c r="G12" s="878"/>
      <c r="H12" s="878"/>
      <c r="I12" s="879"/>
      <c r="J12" s="880"/>
    </row>
    <row r="13" spans="2:10" s="59" customFormat="1" ht="25.5" x14ac:dyDescent="0.2">
      <c r="B13" s="843"/>
      <c r="C13" s="881" t="s">
        <v>463</v>
      </c>
      <c r="D13" s="842" t="s">
        <v>818</v>
      </c>
      <c r="E13" s="596">
        <f>SUM(E14)</f>
        <v>20000</v>
      </c>
      <c r="F13" s="594"/>
      <c r="G13" s="882"/>
      <c r="H13" s="882"/>
      <c r="I13" s="883"/>
      <c r="J13" s="884">
        <f>SUM(E13:I13)</f>
        <v>20000</v>
      </c>
    </row>
    <row r="14" spans="2:10" s="59" customFormat="1" x14ac:dyDescent="0.2">
      <c r="B14" s="843" t="s">
        <v>662</v>
      </c>
      <c r="C14" s="881" t="s">
        <v>463</v>
      </c>
      <c r="D14" s="851" t="s">
        <v>491</v>
      </c>
      <c r="E14" s="1044">
        <v>20000</v>
      </c>
      <c r="F14" s="594"/>
      <c r="G14" s="882"/>
      <c r="H14" s="882"/>
      <c r="I14" s="883"/>
      <c r="J14" s="885">
        <f>SUM(E14:I14)</f>
        <v>20000</v>
      </c>
    </row>
    <row r="15" spans="2:10" s="59" customFormat="1" x14ac:dyDescent="0.2">
      <c r="B15" s="843"/>
      <c r="C15" s="881" t="s">
        <v>463</v>
      </c>
      <c r="D15" s="842"/>
      <c r="E15" s="1044"/>
      <c r="F15" s="594"/>
      <c r="G15" s="882"/>
      <c r="H15" s="882"/>
      <c r="I15" s="883"/>
      <c r="J15" s="884"/>
    </row>
    <row r="16" spans="2:10" ht="25.5" x14ac:dyDescent="0.2">
      <c r="B16" s="843"/>
      <c r="C16" s="881" t="s">
        <v>463</v>
      </c>
      <c r="D16" s="853" t="s">
        <v>670</v>
      </c>
      <c r="E16" s="596">
        <f>SUM(E17)</f>
        <v>6943.96</v>
      </c>
      <c r="F16" s="595"/>
      <c r="G16" s="886"/>
      <c r="H16" s="886"/>
      <c r="I16" s="887"/>
      <c r="J16" s="884">
        <f>SUM(E16:I16)</f>
        <v>6943.96</v>
      </c>
    </row>
    <row r="17" spans="2:10" x14ac:dyDescent="0.2">
      <c r="B17" s="843" t="s">
        <v>662</v>
      </c>
      <c r="C17" s="881" t="s">
        <v>463</v>
      </c>
      <c r="D17" s="854" t="s">
        <v>491</v>
      </c>
      <c r="E17" s="1045">
        <v>6943.96</v>
      </c>
      <c r="F17" s="595"/>
      <c r="G17" s="886"/>
      <c r="H17" s="886"/>
      <c r="I17" s="887"/>
      <c r="J17" s="885">
        <f>SUM(E17:I17)</f>
        <v>6943.96</v>
      </c>
    </row>
    <row r="18" spans="2:10" x14ac:dyDescent="0.2">
      <c r="B18" s="843"/>
      <c r="C18" s="881" t="s">
        <v>463</v>
      </c>
      <c r="D18" s="853"/>
      <c r="E18" s="1045"/>
      <c r="F18" s="595"/>
      <c r="G18" s="886"/>
      <c r="H18" s="886"/>
      <c r="I18" s="887"/>
      <c r="J18" s="888"/>
    </row>
    <row r="19" spans="2:10" ht="25.5" x14ac:dyDescent="0.2">
      <c r="B19" s="843"/>
      <c r="C19" s="889" t="s">
        <v>463</v>
      </c>
      <c r="D19" s="839" t="s">
        <v>671</v>
      </c>
      <c r="E19" s="596">
        <f>SUM(E20)</f>
        <v>1442.77</v>
      </c>
      <c r="F19" s="1052"/>
      <c r="G19" s="890"/>
      <c r="H19" s="890"/>
      <c r="I19" s="891"/>
      <c r="J19" s="884">
        <f>SUM(E19:I19)</f>
        <v>1442.77</v>
      </c>
    </row>
    <row r="20" spans="2:10" x14ac:dyDescent="0.2">
      <c r="B20" s="577" t="s">
        <v>662</v>
      </c>
      <c r="C20" s="889" t="s">
        <v>463</v>
      </c>
      <c r="D20" s="836" t="s">
        <v>491</v>
      </c>
      <c r="E20" s="1046">
        <v>1442.77</v>
      </c>
      <c r="F20" s="1052"/>
      <c r="G20" s="890"/>
      <c r="H20" s="890"/>
      <c r="I20" s="891"/>
      <c r="J20" s="885">
        <f>SUM(E20:I20)</f>
        <v>1442.77</v>
      </c>
    </row>
    <row r="21" spans="2:10" x14ac:dyDescent="0.2">
      <c r="B21" s="577"/>
      <c r="C21" s="889" t="s">
        <v>463</v>
      </c>
      <c r="D21" s="839"/>
      <c r="E21" s="1046"/>
      <c r="F21" s="1052"/>
      <c r="G21" s="890"/>
      <c r="H21" s="890"/>
      <c r="I21" s="891"/>
      <c r="J21" s="892"/>
    </row>
    <row r="22" spans="2:10" x14ac:dyDescent="0.2">
      <c r="B22" s="577"/>
      <c r="C22" s="889" t="s">
        <v>463</v>
      </c>
      <c r="D22" s="842" t="s">
        <v>694</v>
      </c>
      <c r="E22" s="596">
        <f>SUM(E23)</f>
        <v>12035.22</v>
      </c>
      <c r="F22" s="1052"/>
      <c r="G22" s="890"/>
      <c r="H22" s="890"/>
      <c r="I22" s="891"/>
      <c r="J22" s="884">
        <f>SUM(E22:I22)</f>
        <v>12035.22</v>
      </c>
    </row>
    <row r="23" spans="2:10" x14ac:dyDescent="0.2">
      <c r="B23" s="577" t="s">
        <v>662</v>
      </c>
      <c r="C23" s="889" t="s">
        <v>463</v>
      </c>
      <c r="D23" s="851" t="s">
        <v>491</v>
      </c>
      <c r="E23" s="1046">
        <v>12035.22</v>
      </c>
      <c r="F23" s="1052"/>
      <c r="G23" s="890"/>
      <c r="H23" s="890"/>
      <c r="I23" s="891"/>
      <c r="J23" s="885">
        <f>SUM(E23:I23)</f>
        <v>12035.22</v>
      </c>
    </row>
    <row r="24" spans="2:10" x14ac:dyDescent="0.2">
      <c r="B24" s="577"/>
      <c r="C24" s="889" t="s">
        <v>463</v>
      </c>
      <c r="D24" s="842"/>
      <c r="E24" s="1046"/>
      <c r="F24" s="1052"/>
      <c r="G24" s="890"/>
      <c r="H24" s="890"/>
      <c r="I24" s="891"/>
      <c r="J24" s="892"/>
    </row>
    <row r="25" spans="2:10" ht="25.5" x14ac:dyDescent="0.2">
      <c r="B25" s="577"/>
      <c r="C25" s="889" t="s">
        <v>463</v>
      </c>
      <c r="D25" s="839" t="s">
        <v>672</v>
      </c>
      <c r="E25" s="596">
        <f>SUM(E26)</f>
        <v>8789.9699999999993</v>
      </c>
      <c r="F25" s="1052"/>
      <c r="G25" s="1030"/>
      <c r="H25" s="893"/>
      <c r="I25" s="891"/>
      <c r="J25" s="884">
        <f>SUM(E25:I25)</f>
        <v>8789.9699999999993</v>
      </c>
    </row>
    <row r="26" spans="2:10" x14ac:dyDescent="0.2">
      <c r="B26" s="577" t="s">
        <v>662</v>
      </c>
      <c r="C26" s="889" t="s">
        <v>463</v>
      </c>
      <c r="D26" s="836" t="s">
        <v>491</v>
      </c>
      <c r="E26" s="1046">
        <v>8789.9699999999993</v>
      </c>
      <c r="F26" s="1052"/>
      <c r="G26" s="1030"/>
      <c r="H26" s="893"/>
      <c r="I26" s="891"/>
      <c r="J26" s="885">
        <f>SUM(E26:I26)</f>
        <v>8789.9699999999993</v>
      </c>
    </row>
    <row r="27" spans="2:10" x14ac:dyDescent="0.2">
      <c r="B27" s="577"/>
      <c r="C27" s="889" t="s">
        <v>463</v>
      </c>
      <c r="D27" s="839"/>
      <c r="E27" s="1046"/>
      <c r="F27" s="1052"/>
      <c r="G27" s="1030"/>
      <c r="H27" s="893"/>
      <c r="I27" s="891"/>
      <c r="J27" s="888"/>
    </row>
    <row r="28" spans="2:10" x14ac:dyDescent="0.2">
      <c r="B28" s="577"/>
      <c r="C28" s="889" t="s">
        <v>463</v>
      </c>
      <c r="D28" s="839"/>
      <c r="E28" s="1046"/>
      <c r="F28" s="1052"/>
      <c r="G28" s="1030"/>
      <c r="H28" s="893"/>
      <c r="I28" s="891"/>
      <c r="J28" s="888"/>
    </row>
    <row r="29" spans="2:10" s="59" customFormat="1" ht="25.5" x14ac:dyDescent="0.2">
      <c r="B29" s="577"/>
      <c r="C29" s="881" t="s">
        <v>463</v>
      </c>
      <c r="D29" s="853" t="s">
        <v>695</v>
      </c>
      <c r="E29" s="596">
        <f>SUM(E30)</f>
        <v>56134.85</v>
      </c>
      <c r="F29" s="594"/>
      <c r="G29" s="882"/>
      <c r="H29" s="882"/>
      <c r="I29" s="883"/>
      <c r="J29" s="884">
        <f>SUM(E29:I29)</f>
        <v>56134.85</v>
      </c>
    </row>
    <row r="30" spans="2:10" s="59" customFormat="1" x14ac:dyDescent="0.2">
      <c r="B30" s="843" t="s">
        <v>662</v>
      </c>
      <c r="C30" s="881" t="s">
        <v>463</v>
      </c>
      <c r="D30" s="854" t="s">
        <v>491</v>
      </c>
      <c r="E30" s="1045">
        <v>56134.85</v>
      </c>
      <c r="F30" s="594"/>
      <c r="G30" s="882"/>
      <c r="H30" s="882"/>
      <c r="I30" s="883"/>
      <c r="J30" s="885">
        <f>SUM(E30:I30)</f>
        <v>56134.85</v>
      </c>
    </row>
    <row r="31" spans="2:10" s="59" customFormat="1" ht="9.75" customHeight="1" x14ac:dyDescent="0.2">
      <c r="B31" s="843"/>
      <c r="C31" s="881" t="s">
        <v>463</v>
      </c>
      <c r="D31" s="853"/>
      <c r="E31" s="1045"/>
      <c r="F31" s="594"/>
      <c r="G31" s="882"/>
      <c r="H31" s="882"/>
      <c r="I31" s="883"/>
      <c r="J31" s="884"/>
    </row>
    <row r="32" spans="2:10" ht="25.5" x14ac:dyDescent="0.2">
      <c r="B32" s="843"/>
      <c r="C32" s="881" t="s">
        <v>463</v>
      </c>
      <c r="D32" s="853" t="s">
        <v>676</v>
      </c>
      <c r="E32" s="596">
        <f>SUM(E33)</f>
        <v>69895.460000000006</v>
      </c>
      <c r="F32" s="595"/>
      <c r="G32" s="886"/>
      <c r="H32" s="886"/>
      <c r="I32" s="887"/>
      <c r="J32" s="884">
        <f>SUM(E32:I32)</f>
        <v>69895.460000000006</v>
      </c>
    </row>
    <row r="33" spans="2:10" x14ac:dyDescent="0.2">
      <c r="B33" s="843" t="s">
        <v>662</v>
      </c>
      <c r="C33" s="881" t="s">
        <v>463</v>
      </c>
      <c r="D33" s="854" t="s">
        <v>491</v>
      </c>
      <c r="E33" s="1045">
        <v>69895.460000000006</v>
      </c>
      <c r="F33" s="595"/>
      <c r="G33" s="886"/>
      <c r="H33" s="886"/>
      <c r="I33" s="887"/>
      <c r="J33" s="885">
        <f>SUM(E33:I33)</f>
        <v>69895.460000000006</v>
      </c>
    </row>
    <row r="34" spans="2:10" x14ac:dyDescent="0.2">
      <c r="B34" s="843"/>
      <c r="C34" s="881" t="s">
        <v>463</v>
      </c>
      <c r="D34" s="853"/>
      <c r="E34" s="1045"/>
      <c r="F34" s="595"/>
      <c r="G34" s="886"/>
      <c r="H34" s="886"/>
      <c r="I34" s="887"/>
      <c r="J34" s="888"/>
    </row>
    <row r="35" spans="2:10" x14ac:dyDescent="0.2">
      <c r="B35" s="843"/>
      <c r="C35" s="881"/>
      <c r="D35" s="853"/>
      <c r="E35" s="1045"/>
      <c r="F35" s="595"/>
      <c r="G35" s="886"/>
      <c r="H35" s="886"/>
      <c r="I35" s="887"/>
      <c r="J35" s="888"/>
    </row>
    <row r="36" spans="2:10" x14ac:dyDescent="0.2">
      <c r="B36" s="870"/>
      <c r="C36" s="894" t="s">
        <v>463</v>
      </c>
      <c r="D36" s="895"/>
      <c r="E36" s="1047"/>
      <c r="F36" s="911"/>
      <c r="G36" s="912"/>
      <c r="H36" s="912"/>
      <c r="I36" s="913"/>
      <c r="J36" s="914"/>
    </row>
    <row r="37" spans="2:10" s="59" customFormat="1" ht="25.5" x14ac:dyDescent="0.2">
      <c r="B37" s="843"/>
      <c r="C37" s="881" t="s">
        <v>463</v>
      </c>
      <c r="D37" s="842" t="s">
        <v>697</v>
      </c>
      <c r="E37" s="596">
        <f>SUM(E38)</f>
        <v>15000</v>
      </c>
      <c r="F37" s="596"/>
      <c r="G37" s="890"/>
      <c r="H37" s="890"/>
      <c r="I37" s="896"/>
      <c r="J37" s="884">
        <f>SUM(E37:I37)</f>
        <v>15000</v>
      </c>
    </row>
    <row r="38" spans="2:10" s="59" customFormat="1" x14ac:dyDescent="0.2">
      <c r="B38" s="843" t="s">
        <v>662</v>
      </c>
      <c r="C38" s="881" t="s">
        <v>463</v>
      </c>
      <c r="D38" s="851" t="s">
        <v>491</v>
      </c>
      <c r="E38" s="1046">
        <v>15000</v>
      </c>
      <c r="F38" s="596"/>
      <c r="G38" s="890"/>
      <c r="H38" s="890"/>
      <c r="I38" s="896"/>
      <c r="J38" s="885">
        <f>SUM(E38:I38)</f>
        <v>15000</v>
      </c>
    </row>
    <row r="39" spans="2:10" s="59" customFormat="1" x14ac:dyDescent="0.2">
      <c r="B39" s="843"/>
      <c r="C39" s="881" t="s">
        <v>463</v>
      </c>
      <c r="D39" s="842"/>
      <c r="E39" s="1046"/>
      <c r="F39" s="596"/>
      <c r="G39" s="890"/>
      <c r="H39" s="890"/>
      <c r="I39" s="896"/>
      <c r="J39" s="884"/>
    </row>
    <row r="40" spans="2:10" s="59" customFormat="1" ht="25.5" x14ac:dyDescent="0.2">
      <c r="B40" s="843"/>
      <c r="C40" s="897" t="s">
        <v>463</v>
      </c>
      <c r="D40" s="898" t="s">
        <v>698</v>
      </c>
      <c r="E40" s="596"/>
      <c r="F40" s="596">
        <f>SUM(F41)</f>
        <v>97499.63</v>
      </c>
      <c r="G40" s="1050"/>
      <c r="H40" s="899"/>
      <c r="I40" s="900"/>
      <c r="J40" s="884">
        <f>SUM(E40:I40)</f>
        <v>97499.63</v>
      </c>
    </row>
    <row r="41" spans="2:10" s="59" customFormat="1" x14ac:dyDescent="0.2">
      <c r="B41" s="843" t="s">
        <v>662</v>
      </c>
      <c r="C41" s="897" t="s">
        <v>463</v>
      </c>
      <c r="D41" s="901" t="s">
        <v>491</v>
      </c>
      <c r="E41" s="1048"/>
      <c r="F41" s="1048">
        <v>97499.63</v>
      </c>
      <c r="G41" s="1050"/>
      <c r="H41" s="899"/>
      <c r="I41" s="900"/>
      <c r="J41" s="885">
        <f>SUM(E41:I41)</f>
        <v>97499.63</v>
      </c>
    </row>
    <row r="42" spans="2:10" s="59" customFormat="1" x14ac:dyDescent="0.2">
      <c r="B42" s="843"/>
      <c r="C42" s="897" t="s">
        <v>463</v>
      </c>
      <c r="D42" s="898"/>
      <c r="E42" s="1048"/>
      <c r="F42" s="1053"/>
      <c r="G42" s="1050"/>
      <c r="H42" s="899"/>
      <c r="I42" s="900"/>
      <c r="J42" s="888"/>
    </row>
    <row r="43" spans="2:10" ht="38.25" x14ac:dyDescent="0.2">
      <c r="B43" s="843"/>
      <c r="C43" s="881" t="s">
        <v>463</v>
      </c>
      <c r="D43" s="845" t="s">
        <v>719</v>
      </c>
      <c r="E43" s="596">
        <f>SUM(E44:F51)</f>
        <v>20040</v>
      </c>
      <c r="F43" s="595"/>
      <c r="G43" s="886"/>
      <c r="H43" s="886"/>
      <c r="I43" s="887"/>
      <c r="J43" s="884">
        <f>SUM(E43:I43)</f>
        <v>20040</v>
      </c>
    </row>
    <row r="44" spans="2:10" x14ac:dyDescent="0.2">
      <c r="B44" s="843">
        <v>51201</v>
      </c>
      <c r="C44" s="881" t="s">
        <v>463</v>
      </c>
      <c r="D44" s="851" t="s">
        <v>776</v>
      </c>
      <c r="E44" s="1045">
        <v>16245</v>
      </c>
      <c r="F44" s="595"/>
      <c r="G44" s="886"/>
      <c r="H44" s="886"/>
      <c r="I44" s="887"/>
      <c r="J44" s="885">
        <f>SUM(E44:I44)</f>
        <v>16245</v>
      </c>
    </row>
    <row r="45" spans="2:10" x14ac:dyDescent="0.2">
      <c r="B45" s="843">
        <v>54104</v>
      </c>
      <c r="C45" s="881"/>
      <c r="D45" s="851" t="s">
        <v>758</v>
      </c>
      <c r="E45" s="1045">
        <v>576</v>
      </c>
      <c r="F45" s="595"/>
      <c r="G45" s="886"/>
      <c r="H45" s="886"/>
      <c r="I45" s="887"/>
      <c r="J45" s="885">
        <f t="shared" ref="J45:J51" si="0">SUM(E45:I45)</f>
        <v>576</v>
      </c>
    </row>
    <row r="46" spans="2:10" x14ac:dyDescent="0.2">
      <c r="B46" s="843">
        <v>54105</v>
      </c>
      <c r="C46" s="881"/>
      <c r="D46" s="851" t="s">
        <v>777</v>
      </c>
      <c r="E46" s="1045">
        <v>200</v>
      </c>
      <c r="F46" s="595"/>
      <c r="G46" s="886"/>
      <c r="H46" s="886"/>
      <c r="I46" s="887"/>
      <c r="J46" s="885">
        <f t="shared" si="0"/>
        <v>200</v>
      </c>
    </row>
    <row r="47" spans="2:10" x14ac:dyDescent="0.2">
      <c r="B47" s="843">
        <v>54107</v>
      </c>
      <c r="C47" s="881"/>
      <c r="D47" s="851" t="s">
        <v>759</v>
      </c>
      <c r="E47" s="1045">
        <v>250</v>
      </c>
      <c r="F47" s="595"/>
      <c r="G47" s="886"/>
      <c r="H47" s="886"/>
      <c r="I47" s="887"/>
      <c r="J47" s="885">
        <f t="shared" si="0"/>
        <v>250</v>
      </c>
    </row>
    <row r="48" spans="2:10" x14ac:dyDescent="0.2">
      <c r="B48" s="843">
        <v>54110</v>
      </c>
      <c r="C48" s="881"/>
      <c r="D48" s="851" t="s">
        <v>778</v>
      </c>
      <c r="E48" s="1045">
        <v>200</v>
      </c>
      <c r="F48" s="595"/>
      <c r="G48" s="886"/>
      <c r="H48" s="886"/>
      <c r="I48" s="887"/>
      <c r="J48" s="885">
        <f t="shared" si="0"/>
        <v>200</v>
      </c>
    </row>
    <row r="49" spans="2:10" x14ac:dyDescent="0.2">
      <c r="B49" s="843">
        <v>54118</v>
      </c>
      <c r="C49" s="881"/>
      <c r="D49" s="851" t="s">
        <v>779</v>
      </c>
      <c r="E49" s="1045">
        <v>429</v>
      </c>
      <c r="F49" s="595"/>
      <c r="G49" s="886"/>
      <c r="H49" s="886"/>
      <c r="I49" s="887"/>
      <c r="J49" s="885">
        <f t="shared" si="0"/>
        <v>429</v>
      </c>
    </row>
    <row r="50" spans="2:10" x14ac:dyDescent="0.2">
      <c r="B50" s="843">
        <v>54199</v>
      </c>
      <c r="C50" s="881"/>
      <c r="D50" s="851" t="s">
        <v>780</v>
      </c>
      <c r="E50" s="1045">
        <v>840</v>
      </c>
      <c r="F50" s="595"/>
      <c r="G50" s="886"/>
      <c r="H50" s="886"/>
      <c r="I50" s="887"/>
      <c r="J50" s="885">
        <f t="shared" si="0"/>
        <v>840</v>
      </c>
    </row>
    <row r="51" spans="2:10" x14ac:dyDescent="0.2">
      <c r="B51" s="843">
        <v>61199</v>
      </c>
      <c r="C51" s="881" t="s">
        <v>463</v>
      </c>
      <c r="D51" s="851" t="s">
        <v>781</v>
      </c>
      <c r="E51" s="1045">
        <v>1300</v>
      </c>
      <c r="F51" s="595"/>
      <c r="G51" s="886"/>
      <c r="H51" s="886"/>
      <c r="I51" s="887"/>
      <c r="J51" s="885">
        <f t="shared" si="0"/>
        <v>1300</v>
      </c>
    </row>
    <row r="52" spans="2:10" x14ac:dyDescent="0.2">
      <c r="B52" s="843"/>
      <c r="C52" s="881"/>
      <c r="D52" s="851"/>
      <c r="E52" s="1045"/>
      <c r="F52" s="595"/>
      <c r="G52" s="886"/>
      <c r="H52" s="886"/>
      <c r="I52" s="887"/>
      <c r="J52" s="885"/>
    </row>
    <row r="53" spans="2:10" ht="25.5" x14ac:dyDescent="0.2">
      <c r="B53" s="843"/>
      <c r="C53" s="881" t="s">
        <v>463</v>
      </c>
      <c r="D53" s="845" t="s">
        <v>699</v>
      </c>
      <c r="E53" s="596"/>
      <c r="F53" s="596">
        <f>SUM(F54)</f>
        <v>48572.33</v>
      </c>
      <c r="G53" s="886"/>
      <c r="H53" s="886"/>
      <c r="I53" s="887"/>
      <c r="J53" s="884">
        <f>SUM(E53:I53)</f>
        <v>48572.33</v>
      </c>
    </row>
    <row r="54" spans="2:10" x14ac:dyDescent="0.2">
      <c r="B54" s="843" t="s">
        <v>662</v>
      </c>
      <c r="C54" s="881" t="s">
        <v>463</v>
      </c>
      <c r="D54" s="851" t="s">
        <v>491</v>
      </c>
      <c r="E54" s="1045"/>
      <c r="F54" s="1045">
        <v>48572.33</v>
      </c>
      <c r="G54" s="886"/>
      <c r="H54" s="886"/>
      <c r="I54" s="887"/>
      <c r="J54" s="885">
        <f>SUM(E54:I54)</f>
        <v>48572.33</v>
      </c>
    </row>
    <row r="55" spans="2:10" x14ac:dyDescent="0.2">
      <c r="B55" s="843"/>
      <c r="C55" s="881"/>
      <c r="D55" s="851"/>
      <c r="E55" s="1045"/>
      <c r="F55" s="595"/>
      <c r="G55" s="886"/>
      <c r="H55" s="886"/>
      <c r="I55" s="887"/>
      <c r="J55" s="885"/>
    </row>
    <row r="56" spans="2:10" x14ac:dyDescent="0.2">
      <c r="B56" s="1023"/>
      <c r="C56" s="881" t="s">
        <v>463</v>
      </c>
      <c r="D56" s="842" t="s">
        <v>771</v>
      </c>
      <c r="E56" s="1045"/>
      <c r="F56" s="594">
        <f>+SUM(F57)</f>
        <v>122688.33</v>
      </c>
      <c r="G56" s="886"/>
      <c r="H56" s="886"/>
      <c r="I56" s="887"/>
      <c r="J56" s="885">
        <f>SUM(E56:I56)</f>
        <v>122688.33</v>
      </c>
    </row>
    <row r="57" spans="2:10" ht="13.5" x14ac:dyDescent="0.25">
      <c r="B57" s="843" t="s">
        <v>662</v>
      </c>
      <c r="C57" s="1057" t="s">
        <v>463</v>
      </c>
      <c r="D57" s="1056" t="s">
        <v>491</v>
      </c>
      <c r="E57" s="1045"/>
      <c r="F57" s="1045">
        <v>122688.33</v>
      </c>
      <c r="G57" s="886"/>
      <c r="H57" s="886"/>
      <c r="I57" s="887"/>
      <c r="J57" s="885">
        <f>SUM(E57:I57)</f>
        <v>122688.33</v>
      </c>
    </row>
    <row r="58" spans="2:10" x14ac:dyDescent="0.2">
      <c r="B58" s="843"/>
      <c r="C58" s="881" t="s">
        <v>463</v>
      </c>
      <c r="D58" s="842"/>
      <c r="E58" s="1045"/>
      <c r="F58" s="595"/>
      <c r="G58" s="886"/>
      <c r="H58" s="886"/>
      <c r="I58" s="887"/>
      <c r="J58" s="888"/>
    </row>
    <row r="59" spans="2:10" ht="25.5" x14ac:dyDescent="0.2">
      <c r="B59" s="577"/>
      <c r="C59" s="889" t="s">
        <v>463</v>
      </c>
      <c r="D59" s="839" t="s">
        <v>668</v>
      </c>
      <c r="E59" s="580">
        <f>SUM(E60)</f>
        <v>4050</v>
      </c>
      <c r="F59" s="588"/>
      <c r="G59" s="855"/>
      <c r="H59" s="588"/>
      <c r="I59" s="588"/>
      <c r="J59" s="884">
        <f>SUM(E59:I59)</f>
        <v>4050</v>
      </c>
    </row>
    <row r="60" spans="2:10" x14ac:dyDescent="0.2">
      <c r="B60" s="577" t="s">
        <v>662</v>
      </c>
      <c r="C60" s="889" t="s">
        <v>463</v>
      </c>
      <c r="D60" s="836" t="s">
        <v>491</v>
      </c>
      <c r="E60" s="1024">
        <v>4050</v>
      </c>
      <c r="F60" s="588"/>
      <c r="G60" s="855"/>
      <c r="H60" s="588"/>
      <c r="I60" s="588"/>
      <c r="J60" s="1077">
        <f t="shared" ref="J60:J67" si="1">SUM(E60:I60)</f>
        <v>4050</v>
      </c>
    </row>
    <row r="61" spans="2:10" x14ac:dyDescent="0.2">
      <c r="B61" s="577"/>
      <c r="C61" s="1155"/>
      <c r="D61" s="836"/>
      <c r="E61" s="1024"/>
      <c r="F61" s="1024"/>
      <c r="G61" s="855"/>
      <c r="H61" s="588"/>
      <c r="I61" s="588"/>
      <c r="J61" s="884">
        <f t="shared" si="1"/>
        <v>0</v>
      </c>
    </row>
    <row r="62" spans="2:10" x14ac:dyDescent="0.2">
      <c r="B62" s="848"/>
      <c r="C62" s="1156"/>
      <c r="D62" s="1093"/>
      <c r="E62" s="1116"/>
      <c r="F62" s="1116"/>
      <c r="G62" s="869"/>
      <c r="H62" s="868"/>
      <c r="I62" s="868"/>
      <c r="J62" s="1117"/>
    </row>
    <row r="63" spans="2:10" x14ac:dyDescent="0.2">
      <c r="B63" s="577"/>
      <c r="C63" s="1155" t="s">
        <v>463</v>
      </c>
      <c r="D63" s="839" t="s">
        <v>811</v>
      </c>
      <c r="E63" s="1024">
        <f>+SUM(E64)</f>
        <v>40000</v>
      </c>
      <c r="F63" s="1024"/>
      <c r="G63" s="855"/>
      <c r="H63" s="588"/>
      <c r="I63" s="588"/>
      <c r="J63" s="884">
        <f>SUM(E63:I63)</f>
        <v>40000</v>
      </c>
    </row>
    <row r="64" spans="2:10" x14ac:dyDescent="0.2">
      <c r="B64" s="577" t="s">
        <v>662</v>
      </c>
      <c r="C64" s="1155" t="s">
        <v>463</v>
      </c>
      <c r="D64" s="836" t="s">
        <v>491</v>
      </c>
      <c r="E64" s="1024">
        <v>40000</v>
      </c>
      <c r="F64" s="1024"/>
      <c r="G64" s="855"/>
      <c r="H64" s="588"/>
      <c r="I64" s="588"/>
      <c r="J64" s="1077">
        <f t="shared" si="1"/>
        <v>40000</v>
      </c>
    </row>
    <row r="65" spans="2:10" x14ac:dyDescent="0.2">
      <c r="B65" s="577"/>
      <c r="C65" s="1155"/>
      <c r="D65" s="836"/>
      <c r="E65" s="1024"/>
      <c r="F65" s="1024"/>
      <c r="G65" s="855"/>
      <c r="H65" s="588"/>
      <c r="I65" s="588"/>
      <c r="J65" s="884">
        <f t="shared" si="1"/>
        <v>0</v>
      </c>
    </row>
    <row r="66" spans="2:10" x14ac:dyDescent="0.2">
      <c r="B66" s="577"/>
      <c r="C66" s="1155" t="s">
        <v>463</v>
      </c>
      <c r="D66" s="839" t="s">
        <v>810</v>
      </c>
      <c r="E66" s="1024">
        <f>SUM(E67)</f>
        <v>2000</v>
      </c>
      <c r="F66" s="1024"/>
      <c r="G66" s="855"/>
      <c r="H66" s="588"/>
      <c r="I66" s="588"/>
      <c r="J66" s="884">
        <f t="shared" si="1"/>
        <v>2000</v>
      </c>
    </row>
    <row r="67" spans="2:10" x14ac:dyDescent="0.2">
      <c r="B67" s="577" t="s">
        <v>662</v>
      </c>
      <c r="C67" s="889" t="s">
        <v>463</v>
      </c>
      <c r="D67" s="836" t="s">
        <v>491</v>
      </c>
      <c r="E67" s="1024">
        <v>2000</v>
      </c>
      <c r="F67" s="588"/>
      <c r="G67" s="855"/>
      <c r="H67" s="588"/>
      <c r="I67" s="588"/>
      <c r="J67" s="1077">
        <f t="shared" si="1"/>
        <v>2000</v>
      </c>
    </row>
    <row r="68" spans="2:10" x14ac:dyDescent="0.2">
      <c r="B68" s="577"/>
      <c r="C68" s="889"/>
      <c r="D68" s="836"/>
      <c r="E68" s="1024"/>
      <c r="F68" s="588"/>
      <c r="G68" s="855"/>
      <c r="H68" s="588"/>
      <c r="I68" s="588"/>
      <c r="J68" s="1078"/>
    </row>
    <row r="69" spans="2:10" ht="25.5" x14ac:dyDescent="0.2">
      <c r="B69" s="577"/>
      <c r="C69" s="578"/>
      <c r="D69" s="867" t="s">
        <v>773</v>
      </c>
      <c r="E69" s="1024"/>
      <c r="F69" s="588"/>
      <c r="G69" s="855"/>
      <c r="H69" s="588"/>
      <c r="I69" s="588"/>
      <c r="J69" s="902"/>
    </row>
    <row r="70" spans="2:10" x14ac:dyDescent="0.2">
      <c r="B70" s="577" t="s">
        <v>662</v>
      </c>
      <c r="C70" s="889" t="s">
        <v>463</v>
      </c>
      <c r="D70" s="836" t="s">
        <v>491</v>
      </c>
      <c r="E70" s="580">
        <v>33630</v>
      </c>
      <c r="F70" s="588"/>
      <c r="G70" s="855"/>
      <c r="H70" s="580"/>
      <c r="I70" s="580"/>
      <c r="J70" s="580">
        <f>SUM(E70:I70)</f>
        <v>33630</v>
      </c>
    </row>
    <row r="71" spans="2:10" x14ac:dyDescent="0.2">
      <c r="B71" s="843"/>
      <c r="C71" s="881" t="s">
        <v>463</v>
      </c>
      <c r="D71" s="854"/>
      <c r="E71" s="1045"/>
      <c r="F71" s="595"/>
      <c r="G71" s="886"/>
      <c r="H71" s="886"/>
      <c r="I71" s="887"/>
      <c r="J71" s="885"/>
    </row>
    <row r="72" spans="2:10" x14ac:dyDescent="0.2">
      <c r="B72" s="843"/>
      <c r="C72" s="881"/>
      <c r="D72" s="1098"/>
      <c r="E72" s="1045"/>
      <c r="F72" s="595"/>
      <c r="G72" s="886"/>
      <c r="H72" s="886"/>
      <c r="I72" s="887"/>
      <c r="J72" s="885"/>
    </row>
    <row r="73" spans="2:10" ht="25.5" x14ac:dyDescent="0.2">
      <c r="B73" s="577"/>
      <c r="C73" s="889" t="s">
        <v>463</v>
      </c>
      <c r="D73" s="839" t="s">
        <v>772</v>
      </c>
      <c r="E73" s="596">
        <f>SUM(E74)</f>
        <v>26000</v>
      </c>
      <c r="F73" s="595"/>
      <c r="G73" s="886"/>
      <c r="H73" s="886"/>
      <c r="I73" s="887"/>
      <c r="J73" s="884">
        <f>+E73</f>
        <v>26000</v>
      </c>
    </row>
    <row r="74" spans="2:10" x14ac:dyDescent="0.2">
      <c r="B74" s="577">
        <v>54107</v>
      </c>
      <c r="C74" s="889" t="s">
        <v>463</v>
      </c>
      <c r="D74" s="836" t="s">
        <v>705</v>
      </c>
      <c r="E74" s="1045">
        <v>26000</v>
      </c>
      <c r="F74" s="595"/>
      <c r="G74" s="886"/>
      <c r="H74" s="886"/>
      <c r="I74" s="887"/>
      <c r="J74" s="888">
        <f>+E74</f>
        <v>26000</v>
      </c>
    </row>
    <row r="75" spans="2:10" x14ac:dyDescent="0.2">
      <c r="B75" s="843"/>
      <c r="C75" s="881" t="s">
        <v>463</v>
      </c>
      <c r="D75" s="853"/>
      <c r="E75" s="1045"/>
      <c r="F75" s="595"/>
      <c r="G75" s="886"/>
      <c r="H75" s="886"/>
      <c r="I75" s="887"/>
      <c r="J75" s="888"/>
    </row>
    <row r="76" spans="2:10" x14ac:dyDescent="0.2">
      <c r="B76" s="843"/>
      <c r="C76" s="881"/>
      <c r="D76" s="1029"/>
      <c r="E76" s="1045"/>
      <c r="F76" s="595"/>
      <c r="G76" s="886"/>
      <c r="H76" s="886"/>
      <c r="I76" s="887"/>
      <c r="J76" s="888"/>
    </row>
    <row r="77" spans="2:10" x14ac:dyDescent="0.2">
      <c r="B77" s="577"/>
      <c r="C77" s="889" t="s">
        <v>463</v>
      </c>
      <c r="D77" s="839" t="s">
        <v>592</v>
      </c>
      <c r="E77" s="1045"/>
      <c r="F77" s="595"/>
      <c r="G77" s="882">
        <f>SUM(G78)</f>
        <v>148.32</v>
      </c>
      <c r="H77" s="882">
        <f>SUM(H78)</f>
        <v>0</v>
      </c>
      <c r="I77" s="887"/>
      <c r="J77" s="884">
        <f>SUM(E77:I77)</f>
        <v>148.32</v>
      </c>
    </row>
    <row r="78" spans="2:10" x14ac:dyDescent="0.2">
      <c r="B78" s="577" t="s">
        <v>667</v>
      </c>
      <c r="C78" s="889" t="s">
        <v>463</v>
      </c>
      <c r="D78" s="836" t="s">
        <v>492</v>
      </c>
      <c r="E78" s="1045"/>
      <c r="F78" s="595"/>
      <c r="G78" s="1030">
        <f>253.32-105</f>
        <v>148.32</v>
      </c>
      <c r="H78" s="588"/>
      <c r="I78" s="838"/>
      <c r="J78" s="885">
        <f>SUM(E78:I78)</f>
        <v>148.32</v>
      </c>
    </row>
    <row r="79" spans="2:10" x14ac:dyDescent="0.2">
      <c r="B79" s="577"/>
      <c r="C79" s="889"/>
      <c r="D79" s="836"/>
      <c r="E79" s="1045"/>
      <c r="F79" s="595"/>
      <c r="G79" s="1030"/>
      <c r="H79" s="1030"/>
      <c r="I79" s="838"/>
      <c r="J79" s="885">
        <f t="shared" ref="J79:J82" si="2">SUM(E79:I79)</f>
        <v>0</v>
      </c>
    </row>
    <row r="80" spans="2:10" x14ac:dyDescent="0.2">
      <c r="B80" s="1031">
        <v>72</v>
      </c>
      <c r="C80" s="889"/>
      <c r="D80" s="867" t="s">
        <v>805</v>
      </c>
      <c r="E80" s="594">
        <f>E81</f>
        <v>199.46</v>
      </c>
      <c r="F80" s="594"/>
      <c r="G80" s="882">
        <f>SUM(G81)</f>
        <v>640</v>
      </c>
      <c r="H80" s="1032"/>
      <c r="I80" s="841"/>
      <c r="J80" s="885">
        <f t="shared" si="2"/>
        <v>839.46</v>
      </c>
    </row>
    <row r="81" spans="2:10" x14ac:dyDescent="0.2">
      <c r="B81" s="577">
        <v>72201</v>
      </c>
      <c r="C81" s="578" t="s">
        <v>463</v>
      </c>
      <c r="D81" s="579" t="s">
        <v>704</v>
      </c>
      <c r="E81" s="1045">
        <f>199.46</f>
        <v>199.46</v>
      </c>
      <c r="F81" s="595"/>
      <c r="G81" s="1030">
        <v>640</v>
      </c>
      <c r="H81" s="1030"/>
      <c r="I81" s="838"/>
      <c r="J81" s="885">
        <f>SUM(E81:I81)</f>
        <v>839.46</v>
      </c>
    </row>
    <row r="82" spans="2:10" x14ac:dyDescent="0.2">
      <c r="B82" s="577"/>
      <c r="C82" s="889"/>
      <c r="D82" s="836"/>
      <c r="E82" s="1045"/>
      <c r="F82" s="595"/>
      <c r="G82" s="1030"/>
      <c r="H82" s="1030"/>
      <c r="I82" s="838"/>
      <c r="J82" s="885">
        <f t="shared" si="2"/>
        <v>0</v>
      </c>
    </row>
    <row r="83" spans="2:10" ht="13.5" thickBot="1" x14ac:dyDescent="0.25">
      <c r="B83" s="843"/>
      <c r="C83" s="881" t="s">
        <v>463</v>
      </c>
      <c r="D83" s="854"/>
      <c r="E83" s="1049"/>
      <c r="F83" s="597"/>
      <c r="G83" s="1051"/>
      <c r="H83" s="902"/>
      <c r="I83" s="887"/>
      <c r="J83" s="885"/>
    </row>
    <row r="84" spans="2:10" ht="16.5" customHeight="1" thickBot="1" x14ac:dyDescent="0.25">
      <c r="B84" s="903"/>
      <c r="C84" s="904"/>
      <c r="D84" s="905" t="s">
        <v>579</v>
      </c>
      <c r="E84" s="906">
        <f>E13+E16+E19+E22+E25+E29+E32+E37+E40+E43+E53+E56+E59+E63+E66+E70+E73+E80</f>
        <v>316161.69</v>
      </c>
      <c r="F84" s="906">
        <f t="shared" ref="F84:J84" si="3">F13+F16+F19+F22+F25+F29+F32+F37+F40+F43+F53+F56+F59+F63+F66+F70+F73+F80</f>
        <v>268760.29000000004</v>
      </c>
      <c r="G84" s="906">
        <f t="shared" si="3"/>
        <v>640</v>
      </c>
      <c r="H84" s="906">
        <f t="shared" si="3"/>
        <v>0</v>
      </c>
      <c r="I84" s="906">
        <f t="shared" si="3"/>
        <v>0</v>
      </c>
      <c r="J84" s="1054">
        <f t="shared" si="3"/>
        <v>585561.98</v>
      </c>
    </row>
    <row r="85" spans="2:10" x14ac:dyDescent="0.2">
      <c r="B85" s="907"/>
      <c r="C85" s="907"/>
      <c r="D85" s="908"/>
      <c r="E85" s="847"/>
      <c r="F85" s="847"/>
      <c r="G85" s="847"/>
      <c r="H85" s="847"/>
      <c r="I85" s="847"/>
      <c r="J85" s="847"/>
    </row>
    <row r="86" spans="2:10" x14ac:dyDescent="0.2">
      <c r="G86" s="592"/>
      <c r="H86" s="675"/>
      <c r="J86" s="675"/>
    </row>
    <row r="87" spans="2:10" x14ac:dyDescent="0.2">
      <c r="E87" s="910"/>
      <c r="F87" s="1034"/>
      <c r="G87" s="592"/>
      <c r="H87" s="675"/>
    </row>
    <row r="88" spans="2:10" x14ac:dyDescent="0.2">
      <c r="H88" s="675"/>
    </row>
    <row r="89" spans="2:10" x14ac:dyDescent="0.2">
      <c r="D89" s="970"/>
    </row>
    <row r="91" spans="2:10" x14ac:dyDescent="0.2">
      <c r="F91" s="1034"/>
    </row>
  </sheetData>
  <autoFilter ref="B10:J84">
    <filterColumn colId="3" showButton="0"/>
    <filterColumn colId="4" showButton="0"/>
    <filterColumn colId="5" showButton="0"/>
    <filterColumn colId="6" showButton="0"/>
  </autoFilter>
  <mergeCells count="12">
    <mergeCell ref="B7:J7"/>
    <mergeCell ref="B8:J8"/>
    <mergeCell ref="B10:B11"/>
    <mergeCell ref="C10:C11"/>
    <mergeCell ref="D10:D11"/>
    <mergeCell ref="E10:I10"/>
    <mergeCell ref="J10:J11"/>
    <mergeCell ref="B1:J1"/>
    <mergeCell ref="B2:J2"/>
    <mergeCell ref="B4:J4"/>
    <mergeCell ref="B5:J5"/>
    <mergeCell ref="B6:J6"/>
  </mergeCells>
  <phoneticPr fontId="0" type="noConversion"/>
  <pageMargins left="0.19685039370078741" right="0.15748031496062992" top="0.86614173228346458" bottom="0.78740157480314965" header="0" footer="0"/>
  <pageSetup scale="85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2:K68"/>
  <sheetViews>
    <sheetView showGridLines="0" workbookViewId="0">
      <selection activeCell="B21" sqref="B21"/>
    </sheetView>
  </sheetViews>
  <sheetFormatPr baseColWidth="10" defaultRowHeight="12.75" x14ac:dyDescent="0.2"/>
  <cols>
    <col min="1" max="1" width="9.7109375" style="909" customWidth="1"/>
    <col min="2" max="2" width="65.140625" style="583" customWidth="1"/>
    <col min="3" max="3" width="19.85546875" style="583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10" max="10" width="12.42578125" bestFit="1" customWidth="1"/>
    <col min="11" max="11" width="12.28515625" bestFit="1" customWidth="1"/>
  </cols>
  <sheetData>
    <row r="2" spans="1:8" ht="15" x14ac:dyDescent="0.2">
      <c r="A2" s="1316" t="s">
        <v>496</v>
      </c>
      <c r="B2" s="1316"/>
      <c r="C2" s="1316"/>
      <c r="D2" s="1316"/>
      <c r="E2" s="1316"/>
      <c r="F2" s="1316"/>
      <c r="G2" s="1316"/>
      <c r="H2" s="1316"/>
    </row>
    <row r="3" spans="1:8" x14ac:dyDescent="0.2">
      <c r="A3" s="1317" t="s">
        <v>588</v>
      </c>
      <c r="B3" s="1317"/>
      <c r="C3" s="1317"/>
      <c r="D3" s="1317"/>
      <c r="E3" s="1317"/>
      <c r="F3" s="1317"/>
      <c r="G3" s="1317"/>
      <c r="H3" s="1317"/>
    </row>
    <row r="4" spans="1:8" x14ac:dyDescent="0.2">
      <c r="A4" s="915"/>
      <c r="B4" s="915"/>
      <c r="C4" s="915"/>
      <c r="D4" s="112"/>
      <c r="E4" s="112"/>
      <c r="F4" s="112"/>
      <c r="G4" s="112"/>
      <c r="H4" s="112"/>
    </row>
    <row r="5" spans="1:8" ht="16.7" customHeight="1" x14ac:dyDescent="0.2">
      <c r="A5" s="1325" t="s">
        <v>447</v>
      </c>
      <c r="B5" s="1325"/>
      <c r="C5" s="1325"/>
      <c r="D5" s="1325"/>
      <c r="E5" s="1325"/>
      <c r="F5" s="1325"/>
      <c r="G5" s="1325"/>
      <c r="H5" s="1325"/>
    </row>
    <row r="6" spans="1:8" ht="16.7" customHeight="1" x14ac:dyDescent="0.2">
      <c r="A6" s="1325" t="s">
        <v>745</v>
      </c>
      <c r="B6" s="1325"/>
      <c r="C6" s="1325"/>
      <c r="D6" s="1325"/>
      <c r="E6" s="1325"/>
      <c r="F6" s="1325"/>
      <c r="G6" s="1325"/>
      <c r="H6" s="1325"/>
    </row>
    <row r="7" spans="1:8" ht="16.7" customHeight="1" x14ac:dyDescent="0.2">
      <c r="A7" s="1325" t="s">
        <v>332</v>
      </c>
      <c r="B7" s="1325"/>
      <c r="C7" s="1325"/>
      <c r="D7" s="1325"/>
      <c r="E7" s="1325"/>
      <c r="F7" s="1325"/>
      <c r="G7" s="1325"/>
      <c r="H7" s="1325"/>
    </row>
    <row r="8" spans="1:8" ht="16.7" customHeight="1" x14ac:dyDescent="0.2">
      <c r="A8" s="1325" t="s">
        <v>333</v>
      </c>
      <c r="B8" s="1325"/>
      <c r="C8" s="1325"/>
      <c r="D8" s="1325"/>
      <c r="E8" s="1325"/>
      <c r="F8" s="1325"/>
      <c r="G8" s="1325"/>
      <c r="H8" s="1325"/>
    </row>
    <row r="9" spans="1:8" ht="16.7" customHeight="1" x14ac:dyDescent="0.2">
      <c r="A9" s="1325" t="s">
        <v>505</v>
      </c>
      <c r="B9" s="1325"/>
      <c r="C9" s="1325"/>
      <c r="D9" s="1325"/>
      <c r="E9" s="1325"/>
      <c r="F9" s="1325"/>
      <c r="G9" s="1325"/>
      <c r="H9" s="1325"/>
    </row>
    <row r="10" spans="1:8" ht="13.5" thickBot="1" x14ac:dyDescent="0.25">
      <c r="A10" s="916"/>
      <c r="B10" s="916"/>
      <c r="C10" s="916"/>
      <c r="D10" s="210"/>
      <c r="E10" s="210"/>
      <c r="F10" s="210"/>
      <c r="G10" s="210"/>
      <c r="H10" s="210"/>
    </row>
    <row r="11" spans="1:8" ht="28.5" customHeight="1" thickBot="1" x14ac:dyDescent="0.25">
      <c r="A11" s="917" t="s">
        <v>209</v>
      </c>
      <c r="B11" s="1323" t="s">
        <v>190</v>
      </c>
      <c r="C11" s="1318" t="s">
        <v>191</v>
      </c>
      <c r="D11" s="1319"/>
      <c r="E11" s="1319"/>
      <c r="F11" s="1319"/>
      <c r="G11" s="1320"/>
      <c r="H11" s="1321" t="s">
        <v>483</v>
      </c>
    </row>
    <row r="12" spans="1:8" ht="18.75" customHeight="1" thickBot="1" x14ac:dyDescent="0.3">
      <c r="A12" s="918" t="s">
        <v>210</v>
      </c>
      <c r="B12" s="1324"/>
      <c r="C12" s="919" t="s">
        <v>192</v>
      </c>
      <c r="D12" s="226" t="s">
        <v>1</v>
      </c>
      <c r="E12" s="226" t="s">
        <v>2</v>
      </c>
      <c r="F12" s="227" t="s">
        <v>3</v>
      </c>
      <c r="G12" s="39" t="s">
        <v>121</v>
      </c>
      <c r="H12" s="1322"/>
    </row>
    <row r="13" spans="1:8" hidden="1" x14ac:dyDescent="0.2">
      <c r="A13" s="920"/>
      <c r="B13" s="921"/>
      <c r="C13" s="922"/>
      <c r="D13" s="8"/>
      <c r="E13" s="8"/>
      <c r="F13" s="8"/>
      <c r="G13" s="8"/>
      <c r="H13" s="9"/>
    </row>
    <row r="14" spans="1:8" hidden="1" x14ac:dyDescent="0.2">
      <c r="A14" s="923"/>
      <c r="B14" s="924"/>
      <c r="C14" s="925"/>
      <c r="D14" s="6"/>
      <c r="E14" s="6"/>
      <c r="F14" s="6"/>
      <c r="G14" s="6"/>
      <c r="H14" s="10"/>
    </row>
    <row r="15" spans="1:8" ht="7.5" customHeight="1" x14ac:dyDescent="0.2">
      <c r="A15" s="926"/>
      <c r="B15" s="927"/>
      <c r="C15" s="928"/>
      <c r="D15" s="120"/>
      <c r="E15" s="120"/>
      <c r="F15" s="120"/>
      <c r="G15" s="120"/>
      <c r="H15" s="120"/>
    </row>
    <row r="16" spans="1:8" ht="17.25" customHeight="1" x14ac:dyDescent="0.2">
      <c r="A16" s="929">
        <v>55</v>
      </c>
      <c r="B16" s="930" t="s">
        <v>83</v>
      </c>
      <c r="C16" s="931">
        <f>C17+C23</f>
        <v>67838.099999999991</v>
      </c>
      <c r="D16" s="121">
        <f>+D17</f>
        <v>0</v>
      </c>
      <c r="E16" s="121">
        <f>+E17</f>
        <v>0</v>
      </c>
      <c r="F16" s="121">
        <f>+F17</f>
        <v>0</v>
      </c>
      <c r="G16" s="121">
        <f>+G17</f>
        <v>0</v>
      </c>
      <c r="H16" s="121">
        <f t="shared" ref="H16:H23" si="0">SUM(C16:G16)</f>
        <v>67838.099999999991</v>
      </c>
    </row>
    <row r="17" spans="1:11" ht="17.25" customHeight="1" x14ac:dyDescent="0.2">
      <c r="A17" s="929">
        <v>553</v>
      </c>
      <c r="B17" s="932" t="s">
        <v>84</v>
      </c>
      <c r="C17" s="931">
        <f>SUM(C18:C21)</f>
        <v>67838.099999999991</v>
      </c>
      <c r="D17" s="121">
        <f>SUM(D18:D21)</f>
        <v>0</v>
      </c>
      <c r="E17" s="121">
        <f>SUM(E18:E21)</f>
        <v>0</v>
      </c>
      <c r="F17" s="121">
        <f>SUM(F18:F21)</f>
        <v>0</v>
      </c>
      <c r="G17" s="121">
        <f>SUM(G18:G21)</f>
        <v>0</v>
      </c>
      <c r="H17" s="121">
        <f>SUM(C17:G17)</f>
        <v>67838.099999999991</v>
      </c>
    </row>
    <row r="18" spans="1:11" ht="21" hidden="1" customHeight="1" x14ac:dyDescent="0.2">
      <c r="A18" s="926">
        <v>55303</v>
      </c>
      <c r="B18" s="933" t="s">
        <v>211</v>
      </c>
      <c r="C18" s="928"/>
      <c r="D18" s="120">
        <v>0</v>
      </c>
      <c r="E18" s="120">
        <v>0</v>
      </c>
      <c r="F18" s="120">
        <v>0</v>
      </c>
      <c r="G18" s="120">
        <v>0</v>
      </c>
      <c r="H18" s="120">
        <f t="shared" si="0"/>
        <v>0</v>
      </c>
    </row>
    <row r="19" spans="1:11" ht="21" customHeight="1" x14ac:dyDescent="0.2">
      <c r="A19" s="926">
        <v>55302</v>
      </c>
      <c r="B19" s="934" t="s">
        <v>506</v>
      </c>
      <c r="C19" s="1026">
        <v>4638.53</v>
      </c>
      <c r="D19" s="120"/>
      <c r="E19" s="120"/>
      <c r="F19" s="120"/>
      <c r="G19" s="120"/>
      <c r="H19" s="120">
        <f>SUM(C19:G19)</f>
        <v>4638.53</v>
      </c>
    </row>
    <row r="20" spans="1:11" ht="21" hidden="1" customHeight="1" x14ac:dyDescent="0.2">
      <c r="A20" s="933">
        <v>55304</v>
      </c>
      <c r="B20" s="933" t="s">
        <v>212</v>
      </c>
      <c r="C20" s="928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f t="shared" si="0"/>
        <v>0</v>
      </c>
    </row>
    <row r="21" spans="1:11" ht="17.25" customHeight="1" x14ac:dyDescent="0.2">
      <c r="A21" s="926">
        <v>55304</v>
      </c>
      <c r="B21" s="934" t="s">
        <v>439</v>
      </c>
      <c r="C21" s="935">
        <v>63199.569999999992</v>
      </c>
      <c r="D21" s="120">
        <v>0</v>
      </c>
      <c r="E21" s="120">
        <v>0</v>
      </c>
      <c r="F21" s="120">
        <v>0</v>
      </c>
      <c r="G21" s="120">
        <v>0</v>
      </c>
      <c r="H21" s="120">
        <f>SUM(C21:G21)</f>
        <v>63199.569999999992</v>
      </c>
      <c r="J21" s="19"/>
      <c r="K21" s="19"/>
    </row>
    <row r="22" spans="1:11" ht="17.25" customHeight="1" x14ac:dyDescent="0.2">
      <c r="A22" s="926"/>
      <c r="B22" s="933"/>
      <c r="C22" s="928"/>
      <c r="D22" s="120"/>
      <c r="E22" s="120"/>
      <c r="F22" s="120"/>
      <c r="G22" s="120"/>
      <c r="H22" s="120"/>
    </row>
    <row r="23" spans="1:11" ht="17.25" hidden="1" customHeight="1" x14ac:dyDescent="0.2">
      <c r="A23" s="929">
        <v>556</v>
      </c>
      <c r="B23" s="936" t="s">
        <v>213</v>
      </c>
      <c r="C23" s="931">
        <f>C24</f>
        <v>0</v>
      </c>
      <c r="D23" s="121">
        <f>SUM(D24:D27)</f>
        <v>0</v>
      </c>
      <c r="E23" s="121">
        <f>SUM(E24:E27)</f>
        <v>0</v>
      </c>
      <c r="F23" s="121">
        <f>SUM(F24:F27)</f>
        <v>0</v>
      </c>
      <c r="G23" s="121">
        <f>SUM(G24:G27)</f>
        <v>0</v>
      </c>
      <c r="H23" s="121">
        <f t="shared" si="0"/>
        <v>0</v>
      </c>
      <c r="J23" s="12"/>
    </row>
    <row r="24" spans="1:11" ht="17.25" hidden="1" customHeight="1" x14ac:dyDescent="0.2">
      <c r="A24" s="926">
        <v>55603</v>
      </c>
      <c r="B24" s="937" t="s">
        <v>214</v>
      </c>
      <c r="C24" s="928"/>
      <c r="D24" s="120"/>
      <c r="E24" s="120"/>
      <c r="F24" s="120">
        <v>0</v>
      </c>
      <c r="G24" s="120"/>
      <c r="H24" s="120">
        <f>+C24</f>
        <v>0</v>
      </c>
    </row>
    <row r="25" spans="1:11" ht="17.25" customHeight="1" x14ac:dyDescent="0.2">
      <c r="A25" s="929">
        <v>71</v>
      </c>
      <c r="B25" s="932" t="s">
        <v>215</v>
      </c>
      <c r="C25" s="931">
        <f>+C26</f>
        <v>321951.68999999994</v>
      </c>
      <c r="D25" s="121">
        <f>+D26</f>
        <v>0</v>
      </c>
      <c r="E25" s="121">
        <f>+E26</f>
        <v>0</v>
      </c>
      <c r="F25" s="121">
        <f>+F26</f>
        <v>0</v>
      </c>
      <c r="G25" s="121">
        <f>+G26</f>
        <v>0</v>
      </c>
      <c r="H25" s="121">
        <f>SUM(C25:G25)</f>
        <v>321951.68999999994</v>
      </c>
    </row>
    <row r="26" spans="1:11" ht="17.25" customHeight="1" x14ac:dyDescent="0.2">
      <c r="A26" s="926">
        <v>713</v>
      </c>
      <c r="B26" s="932" t="s">
        <v>216</v>
      </c>
      <c r="C26" s="931">
        <f>SUM(C27:C28)</f>
        <v>321951.68999999994</v>
      </c>
      <c r="D26" s="121">
        <f>SUM(D27:D28)</f>
        <v>0</v>
      </c>
      <c r="E26" s="121">
        <f>SUM(E27:E28)</f>
        <v>0</v>
      </c>
      <c r="F26" s="121">
        <f>SUM(F27:F28)</f>
        <v>0</v>
      </c>
      <c r="G26" s="121">
        <f>SUM(G27:G28)</f>
        <v>0</v>
      </c>
      <c r="H26" s="121">
        <f>SUM(C26:G26)</f>
        <v>321951.68999999994</v>
      </c>
      <c r="J26" s="12"/>
    </row>
    <row r="27" spans="1:11" ht="21" hidden="1" customHeight="1" x14ac:dyDescent="0.2">
      <c r="A27" s="926">
        <v>71303</v>
      </c>
      <c r="B27" s="933" t="s">
        <v>211</v>
      </c>
      <c r="C27" s="928"/>
      <c r="D27" s="120">
        <v>0</v>
      </c>
      <c r="E27" s="120">
        <v>0</v>
      </c>
      <c r="F27" s="120">
        <v>0</v>
      </c>
      <c r="G27" s="120">
        <v>0</v>
      </c>
      <c r="H27" s="120">
        <f>SUM(C27:G27)</f>
        <v>0</v>
      </c>
    </row>
    <row r="28" spans="1:11" ht="17.25" customHeight="1" thickBot="1" x14ac:dyDescent="0.25">
      <c r="A28" s="926">
        <v>71304</v>
      </c>
      <c r="B28" s="933" t="s">
        <v>479</v>
      </c>
      <c r="C28" s="935">
        <v>321951.68999999994</v>
      </c>
      <c r="D28" s="120">
        <v>0</v>
      </c>
      <c r="E28" s="120">
        <v>0</v>
      </c>
      <c r="F28" s="120">
        <v>0</v>
      </c>
      <c r="G28" s="120">
        <v>0</v>
      </c>
      <c r="H28" s="120">
        <f>SUM(C28:G28)</f>
        <v>321951.68999999994</v>
      </c>
      <c r="J28" s="19"/>
      <c r="K28" s="19"/>
    </row>
    <row r="29" spans="1:11" hidden="1" x14ac:dyDescent="0.2">
      <c r="A29" s="938"/>
      <c r="B29" s="939"/>
      <c r="C29" s="940"/>
      <c r="D29" s="140"/>
      <c r="E29" s="140"/>
      <c r="F29" s="140"/>
      <c r="G29" s="140"/>
      <c r="H29" s="139"/>
      <c r="J29" s="12"/>
    </row>
    <row r="30" spans="1:11" hidden="1" x14ac:dyDescent="0.2">
      <c r="A30" s="923"/>
      <c r="B30" s="941"/>
      <c r="C30" s="940"/>
      <c r="D30" s="140"/>
      <c r="E30" s="140"/>
      <c r="F30" s="140"/>
      <c r="G30" s="140"/>
      <c r="H30" s="141"/>
    </row>
    <row r="31" spans="1:11" hidden="1" x14ac:dyDescent="0.2">
      <c r="A31" s="938"/>
      <c r="B31" s="939"/>
      <c r="C31" s="942"/>
      <c r="D31" s="138"/>
      <c r="E31" s="138"/>
      <c r="F31" s="138"/>
      <c r="G31" s="138"/>
      <c r="H31" s="141"/>
    </row>
    <row r="32" spans="1:11" hidden="1" x14ac:dyDescent="0.2">
      <c r="A32" s="938"/>
      <c r="B32" s="939"/>
      <c r="C32" s="943"/>
      <c r="D32" s="142"/>
      <c r="E32" s="142"/>
      <c r="F32" s="142"/>
      <c r="G32" s="142"/>
      <c r="H32" s="141"/>
    </row>
    <row r="33" spans="1:10" hidden="1" x14ac:dyDescent="0.2">
      <c r="A33" s="938"/>
      <c r="B33" s="939"/>
      <c r="C33" s="943"/>
      <c r="D33" s="142"/>
      <c r="E33" s="142"/>
      <c r="F33" s="142"/>
      <c r="G33" s="142"/>
      <c r="H33" s="141"/>
    </row>
    <row r="34" spans="1:10" hidden="1" x14ac:dyDescent="0.2">
      <c r="A34" s="938"/>
      <c r="B34" s="939"/>
      <c r="C34" s="942"/>
      <c r="D34" s="138"/>
      <c r="E34" s="138"/>
      <c r="F34" s="138"/>
      <c r="G34" s="138"/>
      <c r="H34" s="141"/>
    </row>
    <row r="35" spans="1:10" hidden="1" x14ac:dyDescent="0.2">
      <c r="A35" s="923"/>
      <c r="B35" s="944"/>
      <c r="C35" s="940"/>
      <c r="D35" s="140"/>
      <c r="E35" s="140"/>
      <c r="F35" s="140"/>
      <c r="G35" s="140"/>
      <c r="H35" s="141"/>
    </row>
    <row r="36" spans="1:10" hidden="1" x14ac:dyDescent="0.2">
      <c r="A36" s="938"/>
      <c r="B36" s="945"/>
      <c r="C36" s="942"/>
      <c r="D36" s="138"/>
      <c r="E36" s="138"/>
      <c r="F36" s="138"/>
      <c r="G36" s="138"/>
      <c r="H36" s="141"/>
    </row>
    <row r="37" spans="1:10" hidden="1" x14ac:dyDescent="0.2">
      <c r="A37" s="923"/>
      <c r="B37" s="944"/>
      <c r="C37" s="940"/>
      <c r="D37" s="140"/>
      <c r="E37" s="140"/>
      <c r="F37" s="140"/>
      <c r="G37" s="140"/>
      <c r="H37" s="141"/>
    </row>
    <row r="38" spans="1:10" hidden="1" x14ac:dyDescent="0.2">
      <c r="A38" s="938"/>
      <c r="B38" s="939"/>
      <c r="C38" s="942"/>
      <c r="D38" s="138"/>
      <c r="E38" s="138"/>
      <c r="F38" s="138"/>
      <c r="G38" s="138"/>
      <c r="H38" s="139"/>
    </row>
    <row r="39" spans="1:10" hidden="1" x14ac:dyDescent="0.2">
      <c r="A39" s="938"/>
      <c r="B39" s="939"/>
      <c r="C39" s="942"/>
      <c r="D39" s="138"/>
      <c r="E39" s="138"/>
      <c r="F39" s="138"/>
      <c r="G39" s="138"/>
      <c r="H39" s="139"/>
    </row>
    <row r="40" spans="1:10" hidden="1" x14ac:dyDescent="0.2">
      <c r="A40" s="938"/>
      <c r="B40" s="939"/>
      <c r="C40" s="942"/>
      <c r="D40" s="138"/>
      <c r="E40" s="138"/>
      <c r="F40" s="138"/>
      <c r="G40" s="138"/>
      <c r="H40" s="139"/>
    </row>
    <row r="41" spans="1:10" hidden="1" x14ac:dyDescent="0.2">
      <c r="A41" s="938"/>
      <c r="B41" s="939"/>
      <c r="C41" s="942"/>
      <c r="D41" s="138"/>
      <c r="E41" s="138"/>
      <c r="F41" s="138"/>
      <c r="G41" s="138"/>
      <c r="H41" s="141"/>
    </row>
    <row r="42" spans="1:10" hidden="1" x14ac:dyDescent="0.2">
      <c r="A42" s="938"/>
      <c r="B42" s="939"/>
      <c r="C42" s="942"/>
      <c r="D42" s="138"/>
      <c r="E42" s="138"/>
      <c r="F42" s="138"/>
      <c r="G42" s="138"/>
      <c r="H42" s="141"/>
    </row>
    <row r="43" spans="1:10" hidden="1" x14ac:dyDescent="0.2">
      <c r="A43" s="938"/>
      <c r="B43" s="939"/>
      <c r="C43" s="942"/>
      <c r="D43" s="138"/>
      <c r="E43" s="138"/>
      <c r="F43" s="138"/>
      <c r="G43" s="138"/>
      <c r="H43" s="143"/>
    </row>
    <row r="44" spans="1:10" ht="18" hidden="1" x14ac:dyDescent="0.25">
      <c r="A44" s="946"/>
      <c r="B44" s="947"/>
      <c r="C44" s="948"/>
      <c r="D44" s="144"/>
      <c r="E44" s="144"/>
      <c r="F44" s="144"/>
      <c r="G44" s="144"/>
      <c r="H44" s="145"/>
    </row>
    <row r="45" spans="1:10" hidden="1" x14ac:dyDescent="0.2">
      <c r="A45" s="938"/>
      <c r="B45" s="939"/>
      <c r="C45" s="943"/>
      <c r="D45" s="142"/>
      <c r="E45" s="142"/>
      <c r="F45" s="142"/>
      <c r="G45" s="142"/>
      <c r="H45" s="143"/>
    </row>
    <row r="46" spans="1:10" ht="13.5" hidden="1" thickBot="1" x14ac:dyDescent="0.25">
      <c r="A46" s="949"/>
      <c r="B46" s="950"/>
      <c r="C46" s="951"/>
      <c r="D46" s="146"/>
      <c r="E46" s="146"/>
      <c r="F46" s="146"/>
      <c r="G46" s="146"/>
      <c r="H46" s="147"/>
    </row>
    <row r="47" spans="1:10" ht="15" customHeight="1" thickBot="1" x14ac:dyDescent="0.25">
      <c r="A47" s="952"/>
      <c r="B47" s="953" t="s">
        <v>185</v>
      </c>
      <c r="C47" s="954">
        <f>C16+C25</f>
        <v>389789.78999999992</v>
      </c>
      <c r="D47" s="148" t="e">
        <f>+D16+D20+D25+#REF!+D30</f>
        <v>#REF!</v>
      </c>
      <c r="E47" s="129" t="e">
        <f>+E16+E20+E25+#REF!+E30</f>
        <v>#REF!</v>
      </c>
      <c r="F47" s="148">
        <f>+F16+F20+F25+F30</f>
        <v>0</v>
      </c>
      <c r="G47" s="129" t="e">
        <f>+G16+G20+G25+#REF!+G30</f>
        <v>#REF!</v>
      </c>
      <c r="H47" s="129">
        <f>+H16+H25</f>
        <v>389789.78999999992</v>
      </c>
      <c r="J47" s="430"/>
    </row>
    <row r="48" spans="1:10" x14ac:dyDescent="0.2">
      <c r="C48" s="863"/>
      <c r="H48" s="12"/>
    </row>
    <row r="49" spans="3:8" x14ac:dyDescent="0.2">
      <c r="C49" s="955"/>
      <c r="H49" s="1"/>
    </row>
    <row r="50" spans="3:8" x14ac:dyDescent="0.2">
      <c r="C50" s="955"/>
      <c r="H50" s="1"/>
    </row>
    <row r="51" spans="3:8" x14ac:dyDescent="0.2">
      <c r="C51" s="956"/>
      <c r="H51" s="12"/>
    </row>
    <row r="52" spans="3:8" x14ac:dyDescent="0.2">
      <c r="C52" s="592"/>
      <c r="H52" s="1"/>
    </row>
    <row r="53" spans="3:8" x14ac:dyDescent="0.2">
      <c r="C53" s="957"/>
      <c r="H53" s="12"/>
    </row>
    <row r="54" spans="3:8" x14ac:dyDescent="0.2">
      <c r="C54" s="863"/>
      <c r="H54" s="12"/>
    </row>
    <row r="55" spans="3:8" x14ac:dyDescent="0.2">
      <c r="C55" s="863"/>
      <c r="H55" s="12"/>
    </row>
    <row r="56" spans="3:8" x14ac:dyDescent="0.2">
      <c r="C56" s="863"/>
      <c r="H56" s="12"/>
    </row>
    <row r="57" spans="3:8" x14ac:dyDescent="0.2">
      <c r="C57" s="863"/>
      <c r="H57" s="12"/>
    </row>
    <row r="58" spans="3:8" x14ac:dyDescent="0.2">
      <c r="C58" s="863"/>
      <c r="H58" s="12"/>
    </row>
    <row r="59" spans="3:8" x14ac:dyDescent="0.2">
      <c r="C59" s="863"/>
      <c r="H59" s="12"/>
    </row>
    <row r="60" spans="3:8" x14ac:dyDescent="0.2">
      <c r="C60" s="863"/>
      <c r="H60" s="12"/>
    </row>
    <row r="61" spans="3:8" x14ac:dyDescent="0.2">
      <c r="C61" s="863"/>
      <c r="H61" s="12"/>
    </row>
    <row r="62" spans="3:8" x14ac:dyDescent="0.2">
      <c r="C62" s="863"/>
      <c r="H62" s="12"/>
    </row>
    <row r="63" spans="3:8" x14ac:dyDescent="0.2">
      <c r="C63" s="592"/>
      <c r="H63" s="1"/>
    </row>
    <row r="66" spans="8:8" x14ac:dyDescent="0.2">
      <c r="H66" s="430"/>
    </row>
    <row r="68" spans="8:8" x14ac:dyDescent="0.2">
      <c r="H68" s="430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48"/>
  </sheetPr>
  <dimension ref="A1:AL180"/>
  <sheetViews>
    <sheetView showGridLines="0" zoomScaleNormal="100" workbookViewId="0">
      <pane xSplit="2" ySplit="8" topLeftCell="E125" activePane="bottomRight" state="frozen"/>
      <selection pane="topRight" activeCell="C1" sqref="C1"/>
      <selection pane="bottomLeft" activeCell="A9" sqref="A9"/>
      <selection pane="bottomRight" activeCell="M128" sqref="M128"/>
    </sheetView>
  </sheetViews>
  <sheetFormatPr baseColWidth="10" defaultRowHeight="18" customHeight="1" x14ac:dyDescent="0.2"/>
  <cols>
    <col min="1" max="1" width="6" style="14" customWidth="1"/>
    <col min="2" max="2" width="35.42578125" style="13" customWidth="1"/>
    <col min="3" max="3" width="10.5703125" style="427" customWidth="1"/>
    <col min="4" max="7" width="10.42578125" style="427" customWidth="1"/>
    <col min="8" max="12" width="10.42578125" style="428" customWidth="1"/>
    <col min="13" max="16" width="10.42578125" style="13" customWidth="1"/>
    <col min="17" max="17" width="9.85546875" style="13" customWidth="1"/>
    <col min="18" max="18" width="10" style="13" customWidth="1"/>
    <col min="19" max="19" width="12.140625" style="13" customWidth="1"/>
    <col min="20" max="20" width="10.85546875" style="13" customWidth="1"/>
    <col min="21" max="22" width="10.5703125" style="13" customWidth="1"/>
    <col min="23" max="23" width="8.7109375" style="13" customWidth="1"/>
    <col min="24" max="24" width="7" style="13" customWidth="1"/>
    <col min="25" max="25" width="7.42578125" style="13" customWidth="1"/>
    <col min="26" max="26" width="7.140625" style="13" customWidth="1"/>
    <col min="27" max="27" width="15.42578125" style="13" hidden="1" customWidth="1"/>
    <col min="28" max="35" width="16.7109375" style="13" hidden="1" customWidth="1"/>
    <col min="36" max="36" width="11.140625" style="13" hidden="1" customWidth="1"/>
    <col min="37" max="37" width="11.7109375" style="13" customWidth="1"/>
    <col min="38" max="38" width="0.5703125" style="260" customWidth="1"/>
    <col min="39" max="16384" width="11.42578125" style="13"/>
  </cols>
  <sheetData>
    <row r="1" spans="1:38" ht="18" customHeight="1" x14ac:dyDescent="0.2">
      <c r="A1" s="576" t="s">
        <v>798</v>
      </c>
      <c r="B1" s="252"/>
      <c r="C1" s="333"/>
      <c r="D1" s="333"/>
      <c r="E1" s="333"/>
      <c r="F1" s="333"/>
      <c r="G1" s="333"/>
      <c r="H1" s="334"/>
      <c r="I1" s="334"/>
      <c r="J1" s="334"/>
      <c r="K1" s="334"/>
      <c r="L1" s="334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</row>
    <row r="2" spans="1:38" ht="18" customHeight="1" thickBot="1" x14ac:dyDescent="0.25">
      <c r="A2" s="252"/>
      <c r="B2" s="252"/>
      <c r="C2" s="333"/>
      <c r="D2" s="333"/>
      <c r="E2" s="333"/>
      <c r="F2" s="333"/>
      <c r="G2" s="333"/>
      <c r="H2" s="334"/>
      <c r="I2" s="334"/>
      <c r="J2" s="334"/>
      <c r="K2" s="334"/>
      <c r="L2" s="334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</row>
    <row r="3" spans="1:38" s="336" customFormat="1" ht="29.25" customHeight="1" thickTop="1" thickBot="1" x14ac:dyDescent="0.25">
      <c r="A3" s="1376" t="s">
        <v>587</v>
      </c>
      <c r="B3" s="1353" t="s">
        <v>103</v>
      </c>
      <c r="C3" s="1386" t="s">
        <v>218</v>
      </c>
      <c r="D3" s="1387"/>
      <c r="E3" s="1387"/>
      <c r="F3" s="1387"/>
      <c r="G3" s="1388"/>
      <c r="H3" s="1392" t="s">
        <v>217</v>
      </c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53" t="s">
        <v>464</v>
      </c>
      <c r="X3" s="1349" t="s">
        <v>466</v>
      </c>
      <c r="Y3" s="1349"/>
      <c r="Z3" s="1350"/>
      <c r="AA3" s="1351" t="s">
        <v>221</v>
      </c>
      <c r="AB3" s="1342" t="s">
        <v>219</v>
      </c>
      <c r="AC3" s="1343"/>
      <c r="AD3" s="1348"/>
      <c r="AE3" s="1342" t="s">
        <v>220</v>
      </c>
      <c r="AF3" s="1343"/>
      <c r="AG3" s="1348"/>
      <c r="AH3" s="1342" t="s">
        <v>221</v>
      </c>
      <c r="AI3" s="1343"/>
      <c r="AJ3" s="1344"/>
      <c r="AK3" s="1334" t="s">
        <v>25</v>
      </c>
      <c r="AL3" s="335"/>
    </row>
    <row r="4" spans="1:38" s="336" customFormat="1" ht="14.25" customHeight="1" thickTop="1" thickBot="1" x14ac:dyDescent="0.25">
      <c r="A4" s="1377"/>
      <c r="B4" s="1379"/>
      <c r="C4" s="1389"/>
      <c r="D4" s="1390"/>
      <c r="E4" s="1390"/>
      <c r="F4" s="1390"/>
      <c r="G4" s="1391"/>
      <c r="H4" s="1381" t="s">
        <v>222</v>
      </c>
      <c r="I4" s="1382"/>
      <c r="J4" s="1382"/>
      <c r="K4" s="1382"/>
      <c r="L4" s="1383"/>
      <c r="M4" s="1373" t="s">
        <v>806</v>
      </c>
      <c r="N4" s="1374"/>
      <c r="O4" s="1374"/>
      <c r="P4" s="1374"/>
      <c r="Q4" s="1374"/>
      <c r="R4" s="1374"/>
      <c r="S4" s="1375"/>
      <c r="T4" s="1373" t="s">
        <v>807</v>
      </c>
      <c r="U4" s="1374"/>
      <c r="V4" s="1375"/>
      <c r="W4" s="1354"/>
      <c r="X4" s="1327" t="s">
        <v>636</v>
      </c>
      <c r="Y4" s="1329" t="s">
        <v>586</v>
      </c>
      <c r="Z4" s="1331" t="s">
        <v>108</v>
      </c>
      <c r="AA4" s="1352"/>
      <c r="AB4" s="1340" t="s">
        <v>223</v>
      </c>
      <c r="AC4" s="1341"/>
      <c r="AD4" s="542"/>
      <c r="AE4" s="1340" t="s">
        <v>223</v>
      </c>
      <c r="AF4" s="1341"/>
      <c r="AG4" s="542"/>
      <c r="AH4" s="1340" t="s">
        <v>223</v>
      </c>
      <c r="AI4" s="1341"/>
      <c r="AJ4" s="543"/>
      <c r="AK4" s="1335"/>
      <c r="AL4" s="335"/>
    </row>
    <row r="5" spans="1:38" s="336" customFormat="1" ht="15" customHeight="1" x14ac:dyDescent="0.2">
      <c r="A5" s="1377"/>
      <c r="B5" s="1379"/>
      <c r="C5" s="1355" t="s">
        <v>455</v>
      </c>
      <c r="D5" s="1356"/>
      <c r="E5" s="1356"/>
      <c r="F5" s="1356"/>
      <c r="G5" s="1357"/>
      <c r="H5" s="1368" t="s">
        <v>455</v>
      </c>
      <c r="I5" s="1369"/>
      <c r="J5" s="1369"/>
      <c r="K5" s="1369"/>
      <c r="L5" s="1370"/>
      <c r="M5" s="1328" t="s">
        <v>224</v>
      </c>
      <c r="N5" s="1330"/>
      <c r="O5" s="1040" t="s">
        <v>225</v>
      </c>
      <c r="P5" s="1330" t="s">
        <v>226</v>
      </c>
      <c r="Q5" s="1330"/>
      <c r="R5" s="1330"/>
      <c r="S5" s="1332" t="s">
        <v>108</v>
      </c>
      <c r="T5" s="1040" t="s">
        <v>225</v>
      </c>
      <c r="U5" s="1040" t="s">
        <v>225</v>
      </c>
      <c r="V5" s="1331" t="s">
        <v>108</v>
      </c>
      <c r="W5" s="1364" t="s">
        <v>432</v>
      </c>
      <c r="X5" s="1328"/>
      <c r="Y5" s="1330"/>
      <c r="Z5" s="1332"/>
      <c r="AA5" s="545" t="s">
        <v>224</v>
      </c>
      <c r="AB5" s="546" t="s">
        <v>224</v>
      </c>
      <c r="AC5" s="546" t="s">
        <v>227</v>
      </c>
      <c r="AD5" s="1345" t="s">
        <v>108</v>
      </c>
      <c r="AE5" s="546" t="s">
        <v>224</v>
      </c>
      <c r="AF5" s="546" t="s">
        <v>227</v>
      </c>
      <c r="AG5" s="1345" t="s">
        <v>108</v>
      </c>
      <c r="AH5" s="546" t="s">
        <v>224</v>
      </c>
      <c r="AI5" s="546" t="s">
        <v>227</v>
      </c>
      <c r="AJ5" s="1337" t="s">
        <v>108</v>
      </c>
      <c r="AK5" s="1335"/>
      <c r="AL5" s="335"/>
    </row>
    <row r="6" spans="1:38" s="336" customFormat="1" ht="15.75" customHeight="1" thickBot="1" x14ac:dyDescent="0.25">
      <c r="A6" s="1377"/>
      <c r="B6" s="1379"/>
      <c r="C6" s="1355" t="s">
        <v>457</v>
      </c>
      <c r="D6" s="1356"/>
      <c r="E6" s="1356"/>
      <c r="F6" s="1356"/>
      <c r="G6" s="1357"/>
      <c r="H6" s="1368" t="s">
        <v>456</v>
      </c>
      <c r="I6" s="1369"/>
      <c r="J6" s="1369"/>
      <c r="K6" s="1369"/>
      <c r="L6" s="1370"/>
      <c r="M6" s="1360" t="s">
        <v>228</v>
      </c>
      <c r="N6" s="1361"/>
      <c r="O6" s="1035" t="s">
        <v>229</v>
      </c>
      <c r="P6" s="1361" t="s">
        <v>230</v>
      </c>
      <c r="Q6" s="1361"/>
      <c r="R6" s="1361"/>
      <c r="S6" s="1332"/>
      <c r="T6" s="1033" t="s">
        <v>801</v>
      </c>
      <c r="U6" s="1033" t="s">
        <v>800</v>
      </c>
      <c r="V6" s="1332"/>
      <c r="W6" s="1365"/>
      <c r="X6" s="544" t="s">
        <v>228</v>
      </c>
      <c r="Y6" s="544" t="s">
        <v>229</v>
      </c>
      <c r="Z6" s="1332"/>
      <c r="AA6" s="547" t="s">
        <v>228</v>
      </c>
      <c r="AB6" s="548" t="s">
        <v>228</v>
      </c>
      <c r="AC6" s="548" t="s">
        <v>229</v>
      </c>
      <c r="AD6" s="1346"/>
      <c r="AE6" s="548" t="s">
        <v>228</v>
      </c>
      <c r="AF6" s="548" t="s">
        <v>229</v>
      </c>
      <c r="AG6" s="1346"/>
      <c r="AH6" s="548" t="s">
        <v>228</v>
      </c>
      <c r="AI6" s="548" t="s">
        <v>229</v>
      </c>
      <c r="AJ6" s="1338"/>
      <c r="AK6" s="1335"/>
      <c r="AL6" s="335"/>
    </row>
    <row r="7" spans="1:38" s="336" customFormat="1" ht="14.25" customHeight="1" x14ac:dyDescent="0.2">
      <c r="A7" s="1377"/>
      <c r="B7" s="1379"/>
      <c r="C7" s="1384" t="s">
        <v>478</v>
      </c>
      <c r="D7" s="1366" t="s">
        <v>477</v>
      </c>
      <c r="E7" s="1366" t="s">
        <v>467</v>
      </c>
      <c r="F7" s="1366" t="s">
        <v>468</v>
      </c>
      <c r="G7" s="1358" t="s">
        <v>108</v>
      </c>
      <c r="H7" s="1371" t="s">
        <v>478</v>
      </c>
      <c r="I7" s="1362" t="s">
        <v>477</v>
      </c>
      <c r="J7" s="1362" t="s">
        <v>467</v>
      </c>
      <c r="K7" s="1362" t="s">
        <v>468</v>
      </c>
      <c r="L7" s="1358" t="s">
        <v>108</v>
      </c>
      <c r="M7" s="1042" t="s">
        <v>231</v>
      </c>
      <c r="N7" s="551" t="s">
        <v>232</v>
      </c>
      <c r="O7" s="551" t="s">
        <v>233</v>
      </c>
      <c r="P7" s="549" t="s">
        <v>234</v>
      </c>
      <c r="Q7" s="549" t="s">
        <v>619</v>
      </c>
      <c r="R7" s="549" t="s">
        <v>458</v>
      </c>
      <c r="S7" s="1332"/>
      <c r="T7" s="551" t="s">
        <v>232</v>
      </c>
      <c r="U7" s="551" t="s">
        <v>233</v>
      </c>
      <c r="V7" s="1332"/>
      <c r="W7" s="1074" t="s">
        <v>233</v>
      </c>
      <c r="X7" s="550" t="s">
        <v>232</v>
      </c>
      <c r="Y7" s="551" t="s">
        <v>233</v>
      </c>
      <c r="Z7" s="1332"/>
      <c r="AA7" s="552" t="s">
        <v>232</v>
      </c>
      <c r="AB7" s="553" t="s">
        <v>231</v>
      </c>
      <c r="AC7" s="553" t="s">
        <v>233</v>
      </c>
      <c r="AD7" s="1346"/>
      <c r="AE7" s="553" t="s">
        <v>231</v>
      </c>
      <c r="AF7" s="553" t="s">
        <v>233</v>
      </c>
      <c r="AG7" s="1346"/>
      <c r="AH7" s="553" t="s">
        <v>231</v>
      </c>
      <c r="AI7" s="553" t="s">
        <v>233</v>
      </c>
      <c r="AJ7" s="1338"/>
      <c r="AK7" s="1335"/>
      <c r="AL7" s="335"/>
    </row>
    <row r="8" spans="1:38" s="336" customFormat="1" ht="68.25" customHeight="1" thickBot="1" x14ac:dyDescent="0.25">
      <c r="A8" s="1378"/>
      <c r="B8" s="1380"/>
      <c r="C8" s="1385"/>
      <c r="D8" s="1367"/>
      <c r="E8" s="1367"/>
      <c r="F8" s="1367"/>
      <c r="G8" s="1359"/>
      <c r="H8" s="1372"/>
      <c r="I8" s="1363"/>
      <c r="J8" s="1363"/>
      <c r="K8" s="1363"/>
      <c r="L8" s="1359"/>
      <c r="M8" s="556" t="s">
        <v>589</v>
      </c>
      <c r="N8" s="555" t="s">
        <v>590</v>
      </c>
      <c r="O8" s="555" t="s">
        <v>498</v>
      </c>
      <c r="P8" s="554" t="s">
        <v>620</v>
      </c>
      <c r="Q8" s="554" t="s">
        <v>621</v>
      </c>
      <c r="R8" s="554" t="s">
        <v>460</v>
      </c>
      <c r="S8" s="1333"/>
      <c r="T8" s="555" t="s">
        <v>590</v>
      </c>
      <c r="U8" s="555" t="s">
        <v>498</v>
      </c>
      <c r="V8" s="1333"/>
      <c r="W8" s="1075" t="s">
        <v>635</v>
      </c>
      <c r="X8" s="556" t="s">
        <v>497</v>
      </c>
      <c r="Y8" s="555" t="s">
        <v>499</v>
      </c>
      <c r="Z8" s="1333"/>
      <c r="AA8" s="557" t="s">
        <v>235</v>
      </c>
      <c r="AB8" s="558" t="s">
        <v>235</v>
      </c>
      <c r="AC8" s="558" t="s">
        <v>236</v>
      </c>
      <c r="AD8" s="1347"/>
      <c r="AE8" s="558" t="s">
        <v>235</v>
      </c>
      <c r="AF8" s="558" t="s">
        <v>236</v>
      </c>
      <c r="AG8" s="1347"/>
      <c r="AH8" s="558" t="s">
        <v>235</v>
      </c>
      <c r="AI8" s="558" t="s">
        <v>236</v>
      </c>
      <c r="AJ8" s="1339"/>
      <c r="AK8" s="1336"/>
      <c r="AL8" s="335"/>
    </row>
    <row r="9" spans="1:38" s="352" customFormat="1" ht="18" customHeight="1" thickTop="1" x14ac:dyDescent="0.25">
      <c r="A9" s="253">
        <v>51</v>
      </c>
      <c r="B9" s="1084" t="s">
        <v>122</v>
      </c>
      <c r="C9" s="337">
        <f>C10+C17+C22+C25+C28+C31+C34+C37+C39</f>
        <v>127948.36000000002</v>
      </c>
      <c r="D9" s="338">
        <f>D10+D17+D22+D25+D28+D31+D34+D37+D39</f>
        <v>47600</v>
      </c>
      <c r="E9" s="338">
        <f>E10+E17+E22+E25+E28+E31+E34+E37+E39</f>
        <v>38296.58</v>
      </c>
      <c r="F9" s="338">
        <f>F10+F17+F22+F25+F28+F31+F34+F37+F39</f>
        <v>57821.48</v>
      </c>
      <c r="G9" s="339">
        <f>+G10+G17+G22+G25+G28+G31+G34+G39</f>
        <v>271666.42</v>
      </c>
      <c r="H9" s="340">
        <f>H10+H17+H22+H25+H28+H31+H34+H37+H39</f>
        <v>102483.93</v>
      </c>
      <c r="I9" s="341">
        <f>I10+I17+I22+I25+I28+I31+I34+I37</f>
        <v>29250</v>
      </c>
      <c r="J9" s="341">
        <f>J10+J17+J22+J25+J28+J31+J34+J37</f>
        <v>19041.7</v>
      </c>
      <c r="K9" s="341">
        <f>K10+K17+K22+K25+K28+K31+K34+K37</f>
        <v>35417.520000000004</v>
      </c>
      <c r="L9" s="342">
        <f>L10+L17+L22+L25+L28+L31+L34+L37+L39</f>
        <v>186193.15000000002</v>
      </c>
      <c r="M9" s="1036">
        <f t="shared" ref="M9" si="0">M10+M17+M22+M25+M28+M31+M34+M37</f>
        <v>1238.21</v>
      </c>
      <c r="N9" s="1037">
        <f>N10+N17+N22+N25+N28+N31+N34+N37+N39</f>
        <v>88878.55</v>
      </c>
      <c r="O9" s="1038">
        <f>O10+O17+O22+O25+O28+O31+O34+O37</f>
        <v>16245</v>
      </c>
      <c r="P9" s="344">
        <v>0</v>
      </c>
      <c r="Q9" s="344">
        <v>0</v>
      </c>
      <c r="R9" s="344">
        <v>0</v>
      </c>
      <c r="S9" s="345">
        <f>+M9+N9+O9+P9+R9</f>
        <v>106361.76000000001</v>
      </c>
      <c r="T9" s="1037"/>
      <c r="U9" s="1037"/>
      <c r="V9" s="364">
        <f>+T9+U9</f>
        <v>0</v>
      </c>
      <c r="W9" s="346">
        <v>0</v>
      </c>
      <c r="X9" s="477">
        <v>0</v>
      </c>
      <c r="Y9" s="343">
        <v>0</v>
      </c>
      <c r="Z9" s="347">
        <f>+X9+Y9</f>
        <v>0</v>
      </c>
      <c r="AA9" s="343"/>
      <c r="AB9" s="348"/>
      <c r="AC9" s="344"/>
      <c r="AD9" s="349"/>
      <c r="AE9" s="343"/>
      <c r="AF9" s="344"/>
      <c r="AG9" s="350"/>
      <c r="AH9" s="348"/>
      <c r="AI9" s="344"/>
      <c r="AJ9" s="350"/>
      <c r="AK9" s="431">
        <f>+L9+S9+G9+AD9+AG9+AJ9+V9+W9+Z9+AA9</f>
        <v>564221.33000000007</v>
      </c>
      <c r="AL9" s="351"/>
    </row>
    <row r="10" spans="1:38" s="352" customFormat="1" ht="18" customHeight="1" x14ac:dyDescent="0.25">
      <c r="A10" s="254">
        <v>511</v>
      </c>
      <c r="B10" s="1085" t="s">
        <v>123</v>
      </c>
      <c r="C10" s="353">
        <f t="shared" ref="C10:J10" si="1">SUM(C11:C16)</f>
        <v>91350</v>
      </c>
      <c r="D10" s="354">
        <f t="shared" si="1"/>
        <v>47600</v>
      </c>
      <c r="E10" s="354">
        <f t="shared" si="1"/>
        <v>31266.720000000001</v>
      </c>
      <c r="F10" s="354">
        <f>SUM(F11:F16)</f>
        <v>57821.48</v>
      </c>
      <c r="G10" s="355">
        <f>SUM(G11:G16)</f>
        <v>228038.2</v>
      </c>
      <c r="H10" s="356">
        <f>SUM(H11:H16)</f>
        <v>77700</v>
      </c>
      <c r="I10" s="357">
        <f t="shared" si="1"/>
        <v>29250</v>
      </c>
      <c r="J10" s="357">
        <f t="shared" si="1"/>
        <v>19041.7</v>
      </c>
      <c r="K10" s="358">
        <f>SUM(K11:K21)</f>
        <v>35067.520000000004</v>
      </c>
      <c r="L10" s="359">
        <f>SUM(L11:L21)</f>
        <v>161059.22</v>
      </c>
      <c r="M10" s="361">
        <f>SUM(M11:M16)</f>
        <v>0</v>
      </c>
      <c r="N10" s="361">
        <f>SUM(N11:N16)</f>
        <v>0</v>
      </c>
      <c r="O10" s="361"/>
      <c r="P10" s="361">
        <f t="shared" ref="P10:R10" si="2">SUM(P11:P16)</f>
        <v>0</v>
      </c>
      <c r="Q10" s="361">
        <f t="shared" si="2"/>
        <v>0</v>
      </c>
      <c r="R10" s="361">
        <f t="shared" si="2"/>
        <v>0</v>
      </c>
      <c r="S10" s="388">
        <f t="shared" ref="S10:S17" si="3">M10+N10+O10+P10+R10</f>
        <v>0</v>
      </c>
      <c r="T10" s="361"/>
      <c r="U10" s="361"/>
      <c r="V10" s="1073">
        <f t="shared" ref="V10:V73" si="4">+T10+U10</f>
        <v>0</v>
      </c>
      <c r="W10" s="363">
        <v>0</v>
      </c>
      <c r="X10" s="478">
        <v>0</v>
      </c>
      <c r="Y10" s="360">
        <v>0</v>
      </c>
      <c r="Z10" s="364">
        <f t="shared" ref="Z10:Z73" si="5">+X10+Y10</f>
        <v>0</v>
      </c>
      <c r="AA10" s="360"/>
      <c r="AB10" s="365"/>
      <c r="AC10" s="361"/>
      <c r="AD10" s="366"/>
      <c r="AE10" s="360"/>
      <c r="AF10" s="361"/>
      <c r="AG10" s="367"/>
      <c r="AH10" s="365"/>
      <c r="AI10" s="361"/>
      <c r="AJ10" s="367"/>
      <c r="AK10" s="407">
        <f t="shared" ref="AK10:AK73" si="6">+L10+S10+G10+AD10+AG10+AJ10+V10+W10+Z10+AA10</f>
        <v>389097.42000000004</v>
      </c>
      <c r="AL10" s="351"/>
    </row>
    <row r="11" spans="1:38" s="336" customFormat="1" ht="18" customHeight="1" x14ac:dyDescent="0.25">
      <c r="A11" s="255" t="s">
        <v>124</v>
      </c>
      <c r="B11" s="1086" t="s">
        <v>125</v>
      </c>
      <c r="C11" s="368">
        <f>'PLLA MUNICIPAL LEY SAL'!AH19</f>
        <v>46550</v>
      </c>
      <c r="D11" s="369">
        <f>'PLLA MUNICIPAL LEY SAL'!AH28</f>
        <v>46800</v>
      </c>
      <c r="E11" s="369">
        <f>'PLLA MUNICIPAL LEY SAL'!AH61</f>
        <v>30466.720000000001</v>
      </c>
      <c r="F11" s="370">
        <f>'PLLA MUNICIPAL LEY SAL'!AH79</f>
        <v>50582.98</v>
      </c>
      <c r="G11" s="371">
        <f t="shared" ref="G11:G16" si="7">SUM(C11:F11)</f>
        <v>174399.7</v>
      </c>
      <c r="H11" s="372">
        <f>'PLLA MUNICIPAL LEY SAL'!W19</f>
        <v>33250</v>
      </c>
      <c r="I11" s="373">
        <f>'PLLA MUNICIPAL LEY SAL'!W28</f>
        <v>23400</v>
      </c>
      <c r="J11" s="374">
        <f>'PLLA MUNICIPAL LEY SAL'!W61</f>
        <v>15233.36</v>
      </c>
      <c r="K11" s="373">
        <f>'PLLA MUNICIPAL LEY SAL'!W79</f>
        <v>28479.02</v>
      </c>
      <c r="L11" s="375">
        <f>SUM(H11:K11)</f>
        <v>100362.38</v>
      </c>
      <c r="M11" s="376">
        <v>0</v>
      </c>
      <c r="N11" s="377">
        <v>0</v>
      </c>
      <c r="O11" s="377">
        <v>0</v>
      </c>
      <c r="P11" s="377">
        <v>0</v>
      </c>
      <c r="Q11" s="377">
        <v>0</v>
      </c>
      <c r="R11" s="377">
        <v>0</v>
      </c>
      <c r="S11" s="362">
        <f t="shared" si="3"/>
        <v>0</v>
      </c>
      <c r="T11" s="377"/>
      <c r="U11" s="377"/>
      <c r="V11" s="406">
        <f t="shared" si="4"/>
        <v>0</v>
      </c>
      <c r="W11" s="378">
        <v>0</v>
      </c>
      <c r="X11" s="479">
        <v>0</v>
      </c>
      <c r="Y11" s="376">
        <v>0</v>
      </c>
      <c r="Z11" s="379">
        <f t="shared" si="5"/>
        <v>0</v>
      </c>
      <c r="AA11" s="376"/>
      <c r="AB11" s="380"/>
      <c r="AC11" s="377"/>
      <c r="AD11" s="366"/>
      <c r="AE11" s="376"/>
      <c r="AF11" s="377"/>
      <c r="AG11" s="367"/>
      <c r="AH11" s="380"/>
      <c r="AI11" s="377"/>
      <c r="AJ11" s="367"/>
      <c r="AK11" s="432">
        <f t="shared" si="6"/>
        <v>274762.08</v>
      </c>
      <c r="AL11" s="335"/>
    </row>
    <row r="12" spans="1:38" s="352" customFormat="1" ht="18" hidden="1" customHeight="1" x14ac:dyDescent="0.25">
      <c r="A12" s="256">
        <v>51102</v>
      </c>
      <c r="B12" s="1087" t="s">
        <v>126</v>
      </c>
      <c r="C12" s="381"/>
      <c r="D12" s="369"/>
      <c r="E12" s="369"/>
      <c r="F12" s="369"/>
      <c r="G12" s="371">
        <f t="shared" si="7"/>
        <v>0</v>
      </c>
      <c r="H12" s="382">
        <v>0</v>
      </c>
      <c r="I12" s="373">
        <v>0</v>
      </c>
      <c r="J12" s="373">
        <v>0</v>
      </c>
      <c r="K12" s="373">
        <v>0</v>
      </c>
      <c r="L12" s="375">
        <f t="shared" ref="L12:L23" si="8">SUM(H12:K12)</f>
        <v>0</v>
      </c>
      <c r="M12" s="376">
        <v>0</v>
      </c>
      <c r="N12" s="377">
        <v>0</v>
      </c>
      <c r="O12" s="377">
        <v>0</v>
      </c>
      <c r="P12" s="377">
        <v>0</v>
      </c>
      <c r="Q12" s="377">
        <v>0</v>
      </c>
      <c r="R12" s="377">
        <v>0</v>
      </c>
      <c r="S12" s="362">
        <f t="shared" si="3"/>
        <v>0</v>
      </c>
      <c r="T12" s="377"/>
      <c r="U12" s="377"/>
      <c r="V12" s="406">
        <f t="shared" si="4"/>
        <v>0</v>
      </c>
      <c r="W12" s="378">
        <v>0</v>
      </c>
      <c r="X12" s="479">
        <v>0</v>
      </c>
      <c r="Y12" s="376">
        <v>0</v>
      </c>
      <c r="Z12" s="379">
        <f t="shared" si="5"/>
        <v>0</v>
      </c>
      <c r="AA12" s="376"/>
      <c r="AB12" s="380"/>
      <c r="AC12" s="377"/>
      <c r="AD12" s="366"/>
      <c r="AE12" s="376"/>
      <c r="AF12" s="377"/>
      <c r="AG12" s="367"/>
      <c r="AH12" s="380"/>
      <c r="AI12" s="377"/>
      <c r="AJ12" s="367"/>
      <c r="AK12" s="432">
        <f t="shared" si="6"/>
        <v>0</v>
      </c>
      <c r="AL12" s="351"/>
    </row>
    <row r="13" spans="1:38" s="336" customFormat="1" ht="18" customHeight="1" x14ac:dyDescent="0.25">
      <c r="A13" s="256">
        <v>51103</v>
      </c>
      <c r="B13" s="1086" t="s">
        <v>127</v>
      </c>
      <c r="C13" s="368">
        <v>0</v>
      </c>
      <c r="D13" s="369">
        <v>0</v>
      </c>
      <c r="E13" s="369">
        <v>0</v>
      </c>
      <c r="F13" s="369">
        <v>0</v>
      </c>
      <c r="G13" s="371">
        <f t="shared" si="7"/>
        <v>0</v>
      </c>
      <c r="H13" s="383">
        <f>'PLLA MUNICIPAL LEY SAL'!L19</f>
        <v>6650</v>
      </c>
      <c r="I13" s="373">
        <f>'PLLA MUNICIPAL LEY SAL'!L28</f>
        <v>5850</v>
      </c>
      <c r="J13" s="373">
        <f>'PLLA MUNICIPAL LEY SAL'!L61</f>
        <v>3808.34</v>
      </c>
      <c r="K13" s="373">
        <f>'PLLA MUNICIPAL LEY SAL'!L79</f>
        <v>6588.5000000000009</v>
      </c>
      <c r="L13" s="375">
        <f t="shared" si="8"/>
        <v>22896.84</v>
      </c>
      <c r="M13" s="376">
        <v>0</v>
      </c>
      <c r="N13" s="377">
        <v>0</v>
      </c>
      <c r="O13" s="377">
        <v>0</v>
      </c>
      <c r="P13" s="377">
        <v>0</v>
      </c>
      <c r="Q13" s="377">
        <v>0</v>
      </c>
      <c r="R13" s="377">
        <v>0</v>
      </c>
      <c r="S13" s="362">
        <f t="shared" si="3"/>
        <v>0</v>
      </c>
      <c r="T13" s="377"/>
      <c r="U13" s="377"/>
      <c r="V13" s="406">
        <f t="shared" si="4"/>
        <v>0</v>
      </c>
      <c r="W13" s="378">
        <v>0</v>
      </c>
      <c r="X13" s="479">
        <v>0</v>
      </c>
      <c r="Y13" s="376">
        <v>0</v>
      </c>
      <c r="Z13" s="379">
        <f t="shared" si="5"/>
        <v>0</v>
      </c>
      <c r="AA13" s="376"/>
      <c r="AB13" s="380"/>
      <c r="AC13" s="377"/>
      <c r="AD13" s="366"/>
      <c r="AE13" s="376"/>
      <c r="AF13" s="377"/>
      <c r="AG13" s="367"/>
      <c r="AH13" s="380"/>
      <c r="AI13" s="377"/>
      <c r="AJ13" s="367"/>
      <c r="AK13" s="432">
        <f t="shared" si="6"/>
        <v>22896.84</v>
      </c>
      <c r="AL13" s="335"/>
    </row>
    <row r="14" spans="1:38" s="352" customFormat="1" ht="18" hidden="1" customHeight="1" x14ac:dyDescent="0.25">
      <c r="A14" s="256">
        <v>51104</v>
      </c>
      <c r="B14" s="1086" t="s">
        <v>128</v>
      </c>
      <c r="C14" s="384"/>
      <c r="D14" s="369"/>
      <c r="E14" s="369"/>
      <c r="F14" s="369"/>
      <c r="G14" s="385">
        <f t="shared" si="7"/>
        <v>0</v>
      </c>
      <c r="H14" s="383"/>
      <c r="I14" s="373"/>
      <c r="J14" s="373"/>
      <c r="K14" s="373"/>
      <c r="L14" s="375">
        <f t="shared" si="8"/>
        <v>0</v>
      </c>
      <c r="M14" s="376">
        <v>0</v>
      </c>
      <c r="N14" s="361">
        <v>0</v>
      </c>
      <c r="O14" s="361">
        <v>0</v>
      </c>
      <c r="P14" s="361">
        <v>0</v>
      </c>
      <c r="Q14" s="361">
        <v>0</v>
      </c>
      <c r="R14" s="361">
        <v>0</v>
      </c>
      <c r="S14" s="362">
        <f t="shared" si="3"/>
        <v>0</v>
      </c>
      <c r="T14" s="361"/>
      <c r="U14" s="361"/>
      <c r="V14" s="1073">
        <f t="shared" si="4"/>
        <v>0</v>
      </c>
      <c r="W14" s="363">
        <v>0</v>
      </c>
      <c r="X14" s="478">
        <v>0</v>
      </c>
      <c r="Y14" s="360">
        <v>0</v>
      </c>
      <c r="Z14" s="379">
        <f t="shared" si="5"/>
        <v>0</v>
      </c>
      <c r="AA14" s="360"/>
      <c r="AB14" s="380"/>
      <c r="AC14" s="377"/>
      <c r="AD14" s="366"/>
      <c r="AE14" s="376"/>
      <c r="AF14" s="377"/>
      <c r="AG14" s="367"/>
      <c r="AH14" s="380"/>
      <c r="AI14" s="377"/>
      <c r="AJ14" s="367"/>
      <c r="AK14" s="432">
        <f t="shared" si="6"/>
        <v>0</v>
      </c>
      <c r="AL14" s="351"/>
    </row>
    <row r="15" spans="1:38" s="336" customFormat="1" ht="18" customHeight="1" x14ac:dyDescent="0.25">
      <c r="A15" s="255" t="s">
        <v>129</v>
      </c>
      <c r="B15" s="1086" t="s">
        <v>130</v>
      </c>
      <c r="C15" s="384">
        <f>+'PLLA DIETAS'!E19/2</f>
        <v>37800</v>
      </c>
      <c r="D15" s="369">
        <v>0</v>
      </c>
      <c r="E15" s="369">
        <v>0</v>
      </c>
      <c r="F15" s="369">
        <v>0</v>
      </c>
      <c r="G15" s="385">
        <f t="shared" si="7"/>
        <v>37800</v>
      </c>
      <c r="H15" s="383">
        <f>'AG1'!C18</f>
        <v>37800</v>
      </c>
      <c r="I15" s="373">
        <v>0</v>
      </c>
      <c r="J15" s="373">
        <v>0</v>
      </c>
      <c r="K15" s="373">
        <v>0</v>
      </c>
      <c r="L15" s="375">
        <f t="shared" si="8"/>
        <v>37800</v>
      </c>
      <c r="M15" s="376">
        <v>0</v>
      </c>
      <c r="N15" s="377">
        <v>0</v>
      </c>
      <c r="O15" s="377">
        <v>0</v>
      </c>
      <c r="P15" s="377">
        <v>0</v>
      </c>
      <c r="Q15" s="377">
        <v>0</v>
      </c>
      <c r="R15" s="377">
        <v>0</v>
      </c>
      <c r="S15" s="362">
        <f t="shared" si="3"/>
        <v>0</v>
      </c>
      <c r="T15" s="377"/>
      <c r="U15" s="377"/>
      <c r="V15" s="406">
        <f t="shared" si="4"/>
        <v>0</v>
      </c>
      <c r="W15" s="378">
        <v>0</v>
      </c>
      <c r="X15" s="479">
        <v>0</v>
      </c>
      <c r="Y15" s="376">
        <v>0</v>
      </c>
      <c r="Z15" s="379">
        <f t="shared" si="5"/>
        <v>0</v>
      </c>
      <c r="AA15" s="376"/>
      <c r="AB15" s="380"/>
      <c r="AC15" s="377"/>
      <c r="AD15" s="366"/>
      <c r="AE15" s="376"/>
      <c r="AF15" s="377"/>
      <c r="AG15" s="367"/>
      <c r="AH15" s="380"/>
      <c r="AI15" s="377"/>
      <c r="AJ15" s="367"/>
      <c r="AK15" s="432">
        <f t="shared" si="6"/>
        <v>75600</v>
      </c>
      <c r="AL15" s="335"/>
    </row>
    <row r="16" spans="1:38" s="352" customFormat="1" ht="18" customHeight="1" x14ac:dyDescent="0.25">
      <c r="A16" s="255" t="s">
        <v>131</v>
      </c>
      <c r="B16" s="1086" t="s">
        <v>132</v>
      </c>
      <c r="C16" s="384">
        <f>'PLLA MUNICIPAL LEY SAL'!J19+'PLLA DIETAS'!D18</f>
        <v>7000</v>
      </c>
      <c r="D16" s="369">
        <f>'PLLA MUNICIPAL LEY SAL'!J28</f>
        <v>800</v>
      </c>
      <c r="E16" s="369">
        <f>'PLLA MUNICIPAL LEY SAL'!J61</f>
        <v>800</v>
      </c>
      <c r="F16" s="369">
        <f>'PLLA MUNICIPAL LEY SAL'!AI79+'PLLA MUNICIPAL LEY SAL'!AJ79</f>
        <v>7238.5</v>
      </c>
      <c r="G16" s="385">
        <f t="shared" si="7"/>
        <v>15838.5</v>
      </c>
      <c r="H16" s="383">
        <f>'PLLA MUNICIPAL LEY SAL'!X19+'PLLA MUNICIPAL LEY SAL'!Y19</f>
        <v>0</v>
      </c>
      <c r="I16" s="373">
        <f>'PLLA MUNICIPAL LEY SAL'!X28+'PLLA MUNICIPAL LEY SAL'!Y28</f>
        <v>0</v>
      </c>
      <c r="J16" s="373">
        <f>'PLLA MUNICIPAL LEY SAL'!X61+'PLLA MUNICIPAL LEY SAL'!Y61</f>
        <v>0</v>
      </c>
      <c r="K16" s="369">
        <f>'PLLA MUNICIPAL LEY SAL'!X82+'PLLA MUNICIPAL LEY SAL'!Y82</f>
        <v>0</v>
      </c>
      <c r="L16" s="375">
        <f>SUM(H16:K16)</f>
        <v>0</v>
      </c>
      <c r="M16" s="376">
        <v>0</v>
      </c>
      <c r="N16" s="361">
        <v>0</v>
      </c>
      <c r="O16" s="377">
        <v>0</v>
      </c>
      <c r="P16" s="377">
        <v>0</v>
      </c>
      <c r="Q16" s="377">
        <v>0</v>
      </c>
      <c r="R16" s="377">
        <v>0</v>
      </c>
      <c r="S16" s="362">
        <f t="shared" si="3"/>
        <v>0</v>
      </c>
      <c r="T16" s="377"/>
      <c r="U16" s="377"/>
      <c r="V16" s="406">
        <f t="shared" si="4"/>
        <v>0</v>
      </c>
      <c r="W16" s="378">
        <v>0</v>
      </c>
      <c r="X16" s="479">
        <v>0</v>
      </c>
      <c r="Y16" s="376">
        <v>0</v>
      </c>
      <c r="Z16" s="379">
        <f t="shared" si="5"/>
        <v>0</v>
      </c>
      <c r="AA16" s="360"/>
      <c r="AB16" s="380"/>
      <c r="AC16" s="377"/>
      <c r="AD16" s="366"/>
      <c r="AE16" s="376"/>
      <c r="AF16" s="377"/>
      <c r="AG16" s="367"/>
      <c r="AH16" s="380"/>
      <c r="AI16" s="377"/>
      <c r="AJ16" s="367"/>
      <c r="AK16" s="432">
        <f t="shared" si="6"/>
        <v>15838.5</v>
      </c>
      <c r="AL16" s="351"/>
    </row>
    <row r="17" spans="1:38" s="336" customFormat="1" ht="18" customHeight="1" x14ac:dyDescent="0.25">
      <c r="A17" s="258" t="s">
        <v>133</v>
      </c>
      <c r="B17" s="1088" t="s">
        <v>134</v>
      </c>
      <c r="C17" s="353">
        <f t="shared" ref="C17:K17" si="9">SUM(C18:C21)</f>
        <v>0</v>
      </c>
      <c r="D17" s="386">
        <f t="shared" si="9"/>
        <v>0</v>
      </c>
      <c r="E17" s="386">
        <f t="shared" si="9"/>
        <v>0</v>
      </c>
      <c r="F17" s="386">
        <f t="shared" si="9"/>
        <v>0</v>
      </c>
      <c r="G17" s="387">
        <f t="shared" si="9"/>
        <v>0</v>
      </c>
      <c r="H17" s="382">
        <f t="shared" si="9"/>
        <v>0</v>
      </c>
      <c r="I17" s="357">
        <f t="shared" si="9"/>
        <v>0</v>
      </c>
      <c r="J17" s="357">
        <f t="shared" si="9"/>
        <v>0</v>
      </c>
      <c r="K17" s="357">
        <f t="shared" si="9"/>
        <v>0</v>
      </c>
      <c r="L17" s="375">
        <f t="shared" si="8"/>
        <v>0</v>
      </c>
      <c r="M17" s="360">
        <f>M18</f>
        <v>1238.21</v>
      </c>
      <c r="N17" s="360">
        <f>N18</f>
        <v>88878.55</v>
      </c>
      <c r="O17" s="360">
        <f>SUM(O18)</f>
        <v>16245</v>
      </c>
      <c r="P17" s="360">
        <f t="shared" ref="P17:R17" si="10">P19</f>
        <v>0</v>
      </c>
      <c r="Q17" s="360">
        <f t="shared" si="10"/>
        <v>0</v>
      </c>
      <c r="R17" s="360">
        <f t="shared" si="10"/>
        <v>0</v>
      </c>
      <c r="S17" s="388">
        <f t="shared" si="3"/>
        <v>106361.76000000001</v>
      </c>
      <c r="T17" s="360"/>
      <c r="U17" s="360"/>
      <c r="V17" s="1073">
        <f t="shared" si="4"/>
        <v>0</v>
      </c>
      <c r="W17" s="378">
        <v>0</v>
      </c>
      <c r="X17" s="479">
        <v>0</v>
      </c>
      <c r="Y17" s="376">
        <v>0</v>
      </c>
      <c r="Z17" s="364">
        <f t="shared" si="5"/>
        <v>0</v>
      </c>
      <c r="AA17" s="376"/>
      <c r="AB17" s="380"/>
      <c r="AC17" s="377"/>
      <c r="AD17" s="366"/>
      <c r="AE17" s="376"/>
      <c r="AF17" s="377"/>
      <c r="AG17" s="367"/>
      <c r="AH17" s="380"/>
      <c r="AI17" s="377"/>
      <c r="AJ17" s="367"/>
      <c r="AK17" s="407">
        <f t="shared" si="6"/>
        <v>106361.76000000001</v>
      </c>
      <c r="AL17" s="335"/>
    </row>
    <row r="18" spans="1:38" s="336" customFormat="1" ht="18" customHeight="1" x14ac:dyDescent="0.25">
      <c r="A18" s="255" t="s">
        <v>135</v>
      </c>
      <c r="B18" s="1086" t="s">
        <v>125</v>
      </c>
      <c r="C18" s="384"/>
      <c r="D18" s="369"/>
      <c r="E18" s="369"/>
      <c r="F18" s="369"/>
      <c r="G18" s="385">
        <f>SUM(C18:F18)</f>
        <v>0</v>
      </c>
      <c r="H18" s="383"/>
      <c r="I18" s="373"/>
      <c r="J18" s="373"/>
      <c r="K18" s="373"/>
      <c r="L18" s="375">
        <f t="shared" si="8"/>
        <v>0</v>
      </c>
      <c r="M18" s="376">
        <f>'AG3'!E24</f>
        <v>1238.21</v>
      </c>
      <c r="N18" s="377">
        <f>'AG3'!E51+'AG3'!E87+'AG3'!E96+'AG3'!E106+'AG3'!E121+'AG3'!E147+'AG3'!E91+'AG3'!E103</f>
        <v>88878.55</v>
      </c>
      <c r="O18" s="377">
        <f>'AG4'!E44</f>
        <v>16245</v>
      </c>
      <c r="P18" s="377">
        <v>0</v>
      </c>
      <c r="Q18" s="377">
        <v>0</v>
      </c>
      <c r="R18" s="377">
        <v>0</v>
      </c>
      <c r="S18" s="362">
        <f>M18+N18+O18+P18</f>
        <v>106361.76000000001</v>
      </c>
      <c r="T18" s="377"/>
      <c r="U18" s="377"/>
      <c r="V18" s="406">
        <f t="shared" si="4"/>
        <v>0</v>
      </c>
      <c r="W18" s="378">
        <v>0</v>
      </c>
      <c r="X18" s="479">
        <v>0</v>
      </c>
      <c r="Y18" s="376">
        <v>0</v>
      </c>
      <c r="Z18" s="364">
        <f t="shared" si="5"/>
        <v>0</v>
      </c>
      <c r="AA18" s="376"/>
      <c r="AB18" s="380"/>
      <c r="AC18" s="377"/>
      <c r="AD18" s="366"/>
      <c r="AE18" s="376"/>
      <c r="AF18" s="377"/>
      <c r="AG18" s="367"/>
      <c r="AH18" s="380"/>
      <c r="AI18" s="377"/>
      <c r="AJ18" s="367"/>
      <c r="AK18" s="432">
        <f t="shared" si="6"/>
        <v>106361.76000000001</v>
      </c>
      <c r="AL18" s="335"/>
    </row>
    <row r="19" spans="1:38" s="336" customFormat="1" ht="18" hidden="1" customHeight="1" x14ac:dyDescent="0.25">
      <c r="A19" s="256">
        <v>51202</v>
      </c>
      <c r="B19" s="1087" t="s">
        <v>126</v>
      </c>
      <c r="C19" s="384">
        <v>0</v>
      </c>
      <c r="D19" s="369">
        <v>0</v>
      </c>
      <c r="E19" s="369">
        <v>0</v>
      </c>
      <c r="F19" s="369">
        <v>0</v>
      </c>
      <c r="G19" s="385">
        <v>0</v>
      </c>
      <c r="H19" s="383">
        <v>0</v>
      </c>
      <c r="I19" s="373">
        <v>0</v>
      </c>
      <c r="J19" s="373">
        <v>0</v>
      </c>
      <c r="K19" s="373">
        <v>0</v>
      </c>
      <c r="L19" s="375">
        <f t="shared" si="8"/>
        <v>0</v>
      </c>
      <c r="M19" s="376">
        <v>0</v>
      </c>
      <c r="N19" s="377">
        <v>0</v>
      </c>
      <c r="O19" s="377">
        <v>0</v>
      </c>
      <c r="P19" s="377">
        <v>0</v>
      </c>
      <c r="Q19" s="377">
        <v>0</v>
      </c>
      <c r="R19" s="377">
        <v>0</v>
      </c>
      <c r="S19" s="362">
        <f>M19+N19+O19+P19+R19</f>
        <v>0</v>
      </c>
      <c r="T19" s="377"/>
      <c r="U19" s="377"/>
      <c r="V19" s="406">
        <f t="shared" si="4"/>
        <v>0</v>
      </c>
      <c r="W19" s="378">
        <v>0</v>
      </c>
      <c r="X19" s="479">
        <v>0</v>
      </c>
      <c r="Y19" s="376">
        <v>0</v>
      </c>
      <c r="Z19" s="379">
        <f t="shared" si="5"/>
        <v>0</v>
      </c>
      <c r="AA19" s="376"/>
      <c r="AB19" s="380"/>
      <c r="AC19" s="377"/>
      <c r="AD19" s="366"/>
      <c r="AE19" s="376"/>
      <c r="AF19" s="377"/>
      <c r="AG19" s="367"/>
      <c r="AH19" s="380"/>
      <c r="AI19" s="377"/>
      <c r="AJ19" s="367"/>
      <c r="AK19" s="432">
        <f t="shared" si="6"/>
        <v>0</v>
      </c>
      <c r="AL19" s="335"/>
    </row>
    <row r="20" spans="1:38" s="352" customFormat="1" ht="18" hidden="1" customHeight="1" x14ac:dyDescent="0.25">
      <c r="A20" s="255" t="s">
        <v>137</v>
      </c>
      <c r="B20" s="1086" t="s">
        <v>127</v>
      </c>
      <c r="C20" s="384"/>
      <c r="D20" s="369"/>
      <c r="E20" s="369"/>
      <c r="F20" s="369"/>
      <c r="G20" s="385"/>
      <c r="H20" s="383"/>
      <c r="I20" s="373"/>
      <c r="J20" s="373"/>
      <c r="K20" s="373"/>
      <c r="L20" s="375">
        <f t="shared" si="8"/>
        <v>0</v>
      </c>
      <c r="M20" s="360">
        <v>0</v>
      </c>
      <c r="N20" s="361">
        <v>0</v>
      </c>
      <c r="O20" s="361">
        <v>0</v>
      </c>
      <c r="P20" s="361">
        <v>0</v>
      </c>
      <c r="Q20" s="361">
        <v>0</v>
      </c>
      <c r="R20" s="361">
        <v>0</v>
      </c>
      <c r="S20" s="362">
        <f>M20+N20+O20+P20</f>
        <v>0</v>
      </c>
      <c r="T20" s="361"/>
      <c r="U20" s="361"/>
      <c r="V20" s="1073">
        <f t="shared" si="4"/>
        <v>0</v>
      </c>
      <c r="W20" s="363">
        <v>0</v>
      </c>
      <c r="X20" s="478">
        <v>0</v>
      </c>
      <c r="Y20" s="360">
        <v>0</v>
      </c>
      <c r="Z20" s="364">
        <f t="shared" si="5"/>
        <v>0</v>
      </c>
      <c r="AA20" s="360"/>
      <c r="AB20" s="380"/>
      <c r="AC20" s="377"/>
      <c r="AD20" s="366"/>
      <c r="AE20" s="376"/>
      <c r="AF20" s="377"/>
      <c r="AG20" s="367"/>
      <c r="AH20" s="380"/>
      <c r="AI20" s="377"/>
      <c r="AJ20" s="367"/>
      <c r="AK20" s="407">
        <f t="shared" si="6"/>
        <v>0</v>
      </c>
      <c r="AL20" s="351"/>
    </row>
    <row r="21" spans="1:38" s="352" customFormat="1" ht="18" hidden="1" customHeight="1" x14ac:dyDescent="0.25">
      <c r="A21" s="255" t="s">
        <v>138</v>
      </c>
      <c r="B21" s="1086" t="s">
        <v>132</v>
      </c>
      <c r="C21" s="384"/>
      <c r="D21" s="369"/>
      <c r="E21" s="369"/>
      <c r="F21" s="369"/>
      <c r="G21" s="385"/>
      <c r="H21" s="383"/>
      <c r="I21" s="373"/>
      <c r="J21" s="373"/>
      <c r="K21" s="373"/>
      <c r="L21" s="375">
        <f t="shared" si="8"/>
        <v>0</v>
      </c>
      <c r="M21" s="360">
        <v>0</v>
      </c>
      <c r="N21" s="361">
        <v>0</v>
      </c>
      <c r="O21" s="361">
        <v>0</v>
      </c>
      <c r="P21" s="361">
        <v>0</v>
      </c>
      <c r="Q21" s="361">
        <v>0</v>
      </c>
      <c r="R21" s="361">
        <v>0</v>
      </c>
      <c r="S21" s="362">
        <f>M21+N21+O21+P21</f>
        <v>0</v>
      </c>
      <c r="T21" s="361"/>
      <c r="U21" s="361"/>
      <c r="V21" s="1073">
        <f t="shared" si="4"/>
        <v>0</v>
      </c>
      <c r="W21" s="363">
        <v>0</v>
      </c>
      <c r="X21" s="478">
        <v>0</v>
      </c>
      <c r="Y21" s="360">
        <v>0</v>
      </c>
      <c r="Z21" s="364">
        <f t="shared" si="5"/>
        <v>0</v>
      </c>
      <c r="AA21" s="360"/>
      <c r="AB21" s="380"/>
      <c r="AC21" s="377"/>
      <c r="AD21" s="366"/>
      <c r="AE21" s="376"/>
      <c r="AF21" s="377"/>
      <c r="AG21" s="367"/>
      <c r="AH21" s="380"/>
      <c r="AI21" s="377"/>
      <c r="AJ21" s="367"/>
      <c r="AK21" s="407">
        <f t="shared" si="6"/>
        <v>0</v>
      </c>
      <c r="AL21" s="351"/>
    </row>
    <row r="22" spans="1:38" s="336" customFormat="1" ht="18" customHeight="1" x14ac:dyDescent="0.25">
      <c r="A22" s="258" t="s">
        <v>139</v>
      </c>
      <c r="B22" s="1088" t="s">
        <v>140</v>
      </c>
      <c r="C22" s="353">
        <f t="shared" ref="C22:K22" si="11">SUM(C23:C24)</f>
        <v>0</v>
      </c>
      <c r="D22" s="386">
        <f t="shared" si="11"/>
        <v>0</v>
      </c>
      <c r="E22" s="386">
        <f t="shared" si="11"/>
        <v>0</v>
      </c>
      <c r="F22" s="386">
        <f t="shared" si="11"/>
        <v>0</v>
      </c>
      <c r="G22" s="387">
        <f>SUM(G23:G24)</f>
        <v>0</v>
      </c>
      <c r="H22" s="382">
        <f t="shared" si="11"/>
        <v>0</v>
      </c>
      <c r="I22" s="357">
        <f t="shared" si="11"/>
        <v>0</v>
      </c>
      <c r="J22" s="357">
        <f t="shared" si="11"/>
        <v>0</v>
      </c>
      <c r="K22" s="357">
        <f t="shared" si="11"/>
        <v>350</v>
      </c>
      <c r="L22" s="359">
        <f t="shared" si="8"/>
        <v>350</v>
      </c>
      <c r="M22" s="376">
        <v>0</v>
      </c>
      <c r="N22" s="377">
        <v>0</v>
      </c>
      <c r="O22" s="377">
        <v>0</v>
      </c>
      <c r="P22" s="377">
        <v>0</v>
      </c>
      <c r="Q22" s="377">
        <v>0</v>
      </c>
      <c r="R22" s="377">
        <v>0</v>
      </c>
      <c r="S22" s="388">
        <f>M22+N22+O22+P22</f>
        <v>0</v>
      </c>
      <c r="T22" s="377"/>
      <c r="U22" s="377"/>
      <c r="V22" s="406">
        <f t="shared" si="4"/>
        <v>0</v>
      </c>
      <c r="W22" s="378">
        <v>0</v>
      </c>
      <c r="X22" s="479">
        <v>0</v>
      </c>
      <c r="Y22" s="376">
        <v>0</v>
      </c>
      <c r="Z22" s="364">
        <f t="shared" si="5"/>
        <v>0</v>
      </c>
      <c r="AA22" s="376"/>
      <c r="AB22" s="380"/>
      <c r="AC22" s="377"/>
      <c r="AD22" s="366"/>
      <c r="AE22" s="376"/>
      <c r="AF22" s="377"/>
      <c r="AG22" s="367"/>
      <c r="AH22" s="380"/>
      <c r="AI22" s="377"/>
      <c r="AJ22" s="367"/>
      <c r="AK22" s="407">
        <f t="shared" si="6"/>
        <v>350</v>
      </c>
      <c r="AL22" s="335"/>
    </row>
    <row r="23" spans="1:38" s="336" customFormat="1" ht="18" customHeight="1" x14ac:dyDescent="0.25">
      <c r="A23" s="256">
        <v>51301</v>
      </c>
      <c r="B23" s="1087" t="s">
        <v>141</v>
      </c>
      <c r="C23" s="384">
        <v>0</v>
      </c>
      <c r="D23" s="369">
        <v>0</v>
      </c>
      <c r="E23" s="369">
        <v>0</v>
      </c>
      <c r="F23" s="369">
        <f>'AG1'!D26</f>
        <v>0</v>
      </c>
      <c r="G23" s="385">
        <f>C23+D23+E23+F23</f>
        <v>0</v>
      </c>
      <c r="H23" s="383">
        <v>0</v>
      </c>
      <c r="I23" s="373">
        <v>0</v>
      </c>
      <c r="J23" s="373">
        <v>0</v>
      </c>
      <c r="K23" s="373">
        <f>'AG1'!C26</f>
        <v>350</v>
      </c>
      <c r="L23" s="375">
        <f t="shared" si="8"/>
        <v>350</v>
      </c>
      <c r="M23" s="376">
        <v>0</v>
      </c>
      <c r="N23" s="377">
        <v>0</v>
      </c>
      <c r="O23" s="377">
        <v>0</v>
      </c>
      <c r="P23" s="377">
        <v>0</v>
      </c>
      <c r="Q23" s="377">
        <v>0</v>
      </c>
      <c r="R23" s="377">
        <v>0</v>
      </c>
      <c r="S23" s="362">
        <f>M23+N23+O23+P23+R23</f>
        <v>0</v>
      </c>
      <c r="T23" s="377"/>
      <c r="U23" s="377"/>
      <c r="V23" s="406">
        <f t="shared" si="4"/>
        <v>0</v>
      </c>
      <c r="W23" s="378">
        <v>0</v>
      </c>
      <c r="X23" s="479">
        <v>0</v>
      </c>
      <c r="Y23" s="376">
        <v>0</v>
      </c>
      <c r="Z23" s="379">
        <f t="shared" si="5"/>
        <v>0</v>
      </c>
      <c r="AA23" s="376"/>
      <c r="AB23" s="380"/>
      <c r="AC23" s="377"/>
      <c r="AD23" s="366"/>
      <c r="AE23" s="376"/>
      <c r="AF23" s="377"/>
      <c r="AG23" s="367"/>
      <c r="AH23" s="380"/>
      <c r="AI23" s="377"/>
      <c r="AJ23" s="367"/>
      <c r="AK23" s="432">
        <f t="shared" si="6"/>
        <v>350</v>
      </c>
      <c r="AL23" s="335"/>
    </row>
    <row r="24" spans="1:38" s="352" customFormat="1" ht="18" hidden="1" customHeight="1" x14ac:dyDescent="0.25">
      <c r="A24" s="256">
        <v>51302</v>
      </c>
      <c r="B24" s="1087" t="s">
        <v>142</v>
      </c>
      <c r="C24" s="384"/>
      <c r="D24" s="369"/>
      <c r="E24" s="369"/>
      <c r="F24" s="369"/>
      <c r="G24" s="385"/>
      <c r="H24" s="383"/>
      <c r="I24" s="373"/>
      <c r="J24" s="373"/>
      <c r="K24" s="373"/>
      <c r="L24" s="375"/>
      <c r="M24" s="376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62">
        <f>M24+N24+O24+P24</f>
        <v>0</v>
      </c>
      <c r="T24" s="377"/>
      <c r="U24" s="377"/>
      <c r="V24" s="406">
        <f t="shared" si="4"/>
        <v>0</v>
      </c>
      <c r="W24" s="378">
        <v>0</v>
      </c>
      <c r="X24" s="479">
        <v>0</v>
      </c>
      <c r="Y24" s="376">
        <v>0</v>
      </c>
      <c r="Z24" s="379">
        <f t="shared" si="5"/>
        <v>0</v>
      </c>
      <c r="AA24" s="376"/>
      <c r="AB24" s="380"/>
      <c r="AC24" s="377"/>
      <c r="AD24" s="366"/>
      <c r="AE24" s="376"/>
      <c r="AF24" s="377"/>
      <c r="AG24" s="367"/>
      <c r="AH24" s="380"/>
      <c r="AI24" s="377"/>
      <c r="AJ24" s="367"/>
      <c r="AK24" s="407">
        <f t="shared" si="6"/>
        <v>0</v>
      </c>
      <c r="AL24" s="351"/>
    </row>
    <row r="25" spans="1:38" s="336" customFormat="1" ht="18" customHeight="1" x14ac:dyDescent="0.25">
      <c r="A25" s="254">
        <v>514</v>
      </c>
      <c r="B25" s="1089" t="s">
        <v>143</v>
      </c>
      <c r="C25" s="353">
        <f t="shared" ref="C25:L25" si="12">SUM(C26:C27)</f>
        <v>15520.02</v>
      </c>
      <c r="D25" s="386">
        <f t="shared" si="12"/>
        <v>0</v>
      </c>
      <c r="E25" s="386">
        <f t="shared" si="12"/>
        <v>0</v>
      </c>
      <c r="F25" s="386">
        <f t="shared" si="12"/>
        <v>0</v>
      </c>
      <c r="G25" s="387">
        <f>SUM(G26:G27)</f>
        <v>15520.02</v>
      </c>
      <c r="H25" s="382">
        <f t="shared" si="12"/>
        <v>9570.76</v>
      </c>
      <c r="I25" s="357">
        <f t="shared" si="12"/>
        <v>0</v>
      </c>
      <c r="J25" s="357">
        <f t="shared" si="12"/>
        <v>0</v>
      </c>
      <c r="K25" s="357">
        <f t="shared" si="12"/>
        <v>0</v>
      </c>
      <c r="L25" s="359">
        <f t="shared" si="12"/>
        <v>9570.76</v>
      </c>
      <c r="M25" s="376">
        <v>0</v>
      </c>
      <c r="N25" s="377">
        <v>0</v>
      </c>
      <c r="O25" s="377">
        <v>0</v>
      </c>
      <c r="P25" s="377">
        <v>0</v>
      </c>
      <c r="Q25" s="377">
        <v>0</v>
      </c>
      <c r="R25" s="377">
        <v>0</v>
      </c>
      <c r="S25" s="362">
        <f>M25+N25+O25+P25+R25</f>
        <v>0</v>
      </c>
      <c r="T25" s="377"/>
      <c r="U25" s="377"/>
      <c r="V25" s="406">
        <f t="shared" si="4"/>
        <v>0</v>
      </c>
      <c r="W25" s="378">
        <v>0</v>
      </c>
      <c r="X25" s="479">
        <v>0</v>
      </c>
      <c r="Y25" s="376">
        <v>0</v>
      </c>
      <c r="Z25" s="364">
        <f t="shared" si="5"/>
        <v>0</v>
      </c>
      <c r="AA25" s="376"/>
      <c r="AB25" s="380"/>
      <c r="AC25" s="377"/>
      <c r="AD25" s="366"/>
      <c r="AE25" s="376"/>
      <c r="AF25" s="377"/>
      <c r="AG25" s="367"/>
      <c r="AH25" s="380"/>
      <c r="AI25" s="377"/>
      <c r="AJ25" s="367"/>
      <c r="AK25" s="407">
        <f t="shared" si="6"/>
        <v>25090.78</v>
      </c>
      <c r="AL25" s="335"/>
    </row>
    <row r="26" spans="1:38" s="336" customFormat="1" ht="18" customHeight="1" x14ac:dyDescent="0.25">
      <c r="A26" s="255" t="s">
        <v>144</v>
      </c>
      <c r="B26" s="1086" t="s">
        <v>145</v>
      </c>
      <c r="C26" s="384">
        <f>'AG1'!D29</f>
        <v>15520.02</v>
      </c>
      <c r="D26" s="369">
        <v>0</v>
      </c>
      <c r="E26" s="369">
        <v>0</v>
      </c>
      <c r="F26" s="369">
        <v>0</v>
      </c>
      <c r="G26" s="385">
        <f>C26+D26+E26+F26</f>
        <v>15520.02</v>
      </c>
      <c r="H26" s="383">
        <f>'AG1'!C29</f>
        <v>9570.76</v>
      </c>
      <c r="I26" s="373">
        <v>0</v>
      </c>
      <c r="J26" s="373">
        <v>0</v>
      </c>
      <c r="K26" s="373">
        <v>0</v>
      </c>
      <c r="L26" s="375">
        <f>SUM(H26:K26)</f>
        <v>9570.76</v>
      </c>
      <c r="M26" s="376">
        <v>0</v>
      </c>
      <c r="N26" s="377">
        <v>0</v>
      </c>
      <c r="O26" s="377">
        <v>0</v>
      </c>
      <c r="P26" s="377">
        <v>0</v>
      </c>
      <c r="Q26" s="377">
        <v>0</v>
      </c>
      <c r="R26" s="377">
        <v>0</v>
      </c>
      <c r="S26" s="362">
        <f>M26+N26+O26+P26+R26</f>
        <v>0</v>
      </c>
      <c r="T26" s="377"/>
      <c r="U26" s="377"/>
      <c r="V26" s="406">
        <f t="shared" si="4"/>
        <v>0</v>
      </c>
      <c r="W26" s="378">
        <v>0</v>
      </c>
      <c r="X26" s="479">
        <v>0</v>
      </c>
      <c r="Y26" s="376">
        <v>0</v>
      </c>
      <c r="Z26" s="379">
        <f t="shared" si="5"/>
        <v>0</v>
      </c>
      <c r="AA26" s="376"/>
      <c r="AB26" s="380"/>
      <c r="AC26" s="377"/>
      <c r="AD26" s="366"/>
      <c r="AE26" s="376"/>
      <c r="AF26" s="377"/>
      <c r="AG26" s="367"/>
      <c r="AH26" s="380"/>
      <c r="AI26" s="377"/>
      <c r="AJ26" s="367"/>
      <c r="AK26" s="432">
        <f t="shared" si="6"/>
        <v>25090.78</v>
      </c>
      <c r="AL26" s="335"/>
    </row>
    <row r="27" spans="1:38" s="336" customFormat="1" ht="18" hidden="1" customHeight="1" x14ac:dyDescent="0.25">
      <c r="A27" s="255" t="s">
        <v>146</v>
      </c>
      <c r="B27" s="1086" t="s">
        <v>147</v>
      </c>
      <c r="C27" s="384"/>
      <c r="D27" s="369"/>
      <c r="E27" s="369"/>
      <c r="F27" s="369"/>
      <c r="G27" s="385"/>
      <c r="H27" s="383"/>
      <c r="I27" s="373"/>
      <c r="J27" s="373"/>
      <c r="K27" s="373"/>
      <c r="L27" s="375"/>
      <c r="M27" s="376">
        <v>0</v>
      </c>
      <c r="N27" s="377">
        <v>0</v>
      </c>
      <c r="O27" s="377">
        <v>0</v>
      </c>
      <c r="P27" s="377">
        <v>0</v>
      </c>
      <c r="Q27" s="377">
        <v>0</v>
      </c>
      <c r="R27" s="377">
        <v>0</v>
      </c>
      <c r="S27" s="362">
        <f>M27+N27+O27+P27</f>
        <v>0</v>
      </c>
      <c r="T27" s="377"/>
      <c r="U27" s="377"/>
      <c r="V27" s="406">
        <f t="shared" si="4"/>
        <v>0</v>
      </c>
      <c r="W27" s="378">
        <v>0</v>
      </c>
      <c r="X27" s="479">
        <v>0</v>
      </c>
      <c r="Y27" s="376">
        <v>0</v>
      </c>
      <c r="Z27" s="379">
        <f t="shared" si="5"/>
        <v>0</v>
      </c>
      <c r="AA27" s="376"/>
      <c r="AB27" s="380"/>
      <c r="AC27" s="377"/>
      <c r="AD27" s="366"/>
      <c r="AE27" s="376"/>
      <c r="AF27" s="377"/>
      <c r="AG27" s="367"/>
      <c r="AH27" s="380"/>
      <c r="AI27" s="377"/>
      <c r="AJ27" s="367"/>
      <c r="AK27" s="407">
        <f t="shared" si="6"/>
        <v>0</v>
      </c>
      <c r="AL27" s="335"/>
    </row>
    <row r="28" spans="1:38" s="352" customFormat="1" ht="18" customHeight="1" x14ac:dyDescent="0.25">
      <c r="A28" s="254">
        <v>515</v>
      </c>
      <c r="B28" s="1089" t="s">
        <v>148</v>
      </c>
      <c r="C28" s="353">
        <f t="shared" ref="C28:L28" si="13">SUM(C29:C30)</f>
        <v>13811.68</v>
      </c>
      <c r="D28" s="386">
        <f t="shared" si="13"/>
        <v>0</v>
      </c>
      <c r="E28" s="386">
        <f t="shared" si="13"/>
        <v>0</v>
      </c>
      <c r="F28" s="386">
        <f t="shared" si="13"/>
        <v>0</v>
      </c>
      <c r="G28" s="387">
        <f t="shared" si="13"/>
        <v>13811.68</v>
      </c>
      <c r="H28" s="382">
        <f t="shared" si="13"/>
        <v>7946.51</v>
      </c>
      <c r="I28" s="357">
        <f t="shared" si="13"/>
        <v>0</v>
      </c>
      <c r="J28" s="357">
        <f t="shared" si="13"/>
        <v>0</v>
      </c>
      <c r="K28" s="357">
        <f t="shared" si="13"/>
        <v>0</v>
      </c>
      <c r="L28" s="359">
        <f t="shared" si="13"/>
        <v>7946.51</v>
      </c>
      <c r="M28" s="360">
        <v>0</v>
      </c>
      <c r="N28" s="361">
        <v>0</v>
      </c>
      <c r="O28" s="361">
        <v>0</v>
      </c>
      <c r="P28" s="361">
        <v>0</v>
      </c>
      <c r="Q28" s="361">
        <v>0</v>
      </c>
      <c r="R28" s="361">
        <v>0</v>
      </c>
      <c r="S28" s="362">
        <f>M28+N28+O28+P28+R28</f>
        <v>0</v>
      </c>
      <c r="T28" s="361"/>
      <c r="U28" s="361"/>
      <c r="V28" s="1073">
        <f t="shared" si="4"/>
        <v>0</v>
      </c>
      <c r="W28" s="363">
        <v>0</v>
      </c>
      <c r="X28" s="478">
        <v>0</v>
      </c>
      <c r="Y28" s="360">
        <v>0</v>
      </c>
      <c r="Z28" s="364">
        <f t="shared" si="5"/>
        <v>0</v>
      </c>
      <c r="AA28" s="360"/>
      <c r="AB28" s="380"/>
      <c r="AC28" s="377"/>
      <c r="AD28" s="366"/>
      <c r="AE28" s="376"/>
      <c r="AF28" s="377"/>
      <c r="AG28" s="367"/>
      <c r="AH28" s="380"/>
      <c r="AI28" s="377"/>
      <c r="AJ28" s="367"/>
      <c r="AK28" s="407">
        <f t="shared" si="6"/>
        <v>21758.190000000002</v>
      </c>
      <c r="AL28" s="351"/>
    </row>
    <row r="29" spans="1:38" s="352" customFormat="1" ht="18" customHeight="1" x14ac:dyDescent="0.25">
      <c r="A29" s="255" t="s">
        <v>149</v>
      </c>
      <c r="B29" s="1086" t="s">
        <v>145</v>
      </c>
      <c r="C29" s="384">
        <f>'AG1'!D32</f>
        <v>13811.68</v>
      </c>
      <c r="D29" s="369">
        <v>0</v>
      </c>
      <c r="E29" s="369">
        <v>0</v>
      </c>
      <c r="F29" s="369">
        <v>0</v>
      </c>
      <c r="G29" s="385">
        <f>C29+D29+E29+F29</f>
        <v>13811.68</v>
      </c>
      <c r="H29" s="383">
        <f>'AG1'!C32</f>
        <v>7946.51</v>
      </c>
      <c r="I29" s="373">
        <v>0</v>
      </c>
      <c r="J29" s="373">
        <v>0</v>
      </c>
      <c r="K29" s="373">
        <v>0</v>
      </c>
      <c r="L29" s="375">
        <f>SUM(H29:K29)</f>
        <v>7946.51</v>
      </c>
      <c r="M29" s="376">
        <v>0</v>
      </c>
      <c r="N29" s="377">
        <v>0</v>
      </c>
      <c r="O29" s="377">
        <v>0</v>
      </c>
      <c r="P29" s="377">
        <v>0</v>
      </c>
      <c r="Q29" s="377">
        <v>0</v>
      </c>
      <c r="R29" s="377">
        <v>0</v>
      </c>
      <c r="S29" s="362">
        <f>M29+N29+O29+P29+R29</f>
        <v>0</v>
      </c>
      <c r="T29" s="377"/>
      <c r="U29" s="377"/>
      <c r="V29" s="406">
        <f t="shared" si="4"/>
        <v>0</v>
      </c>
      <c r="W29" s="378">
        <v>0</v>
      </c>
      <c r="X29" s="479">
        <v>0</v>
      </c>
      <c r="Y29" s="376">
        <v>0</v>
      </c>
      <c r="Z29" s="379">
        <f t="shared" si="5"/>
        <v>0</v>
      </c>
      <c r="AA29" s="376"/>
      <c r="AB29" s="380"/>
      <c r="AC29" s="377"/>
      <c r="AD29" s="366"/>
      <c r="AE29" s="376"/>
      <c r="AF29" s="377"/>
      <c r="AG29" s="367"/>
      <c r="AH29" s="380"/>
      <c r="AI29" s="377"/>
      <c r="AJ29" s="367"/>
      <c r="AK29" s="432">
        <f t="shared" si="6"/>
        <v>21758.190000000002</v>
      </c>
      <c r="AL29" s="351"/>
    </row>
    <row r="30" spans="1:38" s="336" customFormat="1" ht="18" hidden="1" customHeight="1" x14ac:dyDescent="0.25">
      <c r="A30" s="255" t="s">
        <v>150</v>
      </c>
      <c r="B30" s="1086" t="s">
        <v>147</v>
      </c>
      <c r="C30" s="384"/>
      <c r="D30" s="369"/>
      <c r="E30" s="369"/>
      <c r="F30" s="369"/>
      <c r="G30" s="385"/>
      <c r="H30" s="383"/>
      <c r="I30" s="373"/>
      <c r="J30" s="373"/>
      <c r="K30" s="373"/>
      <c r="L30" s="375"/>
      <c r="M30" s="376">
        <v>0</v>
      </c>
      <c r="N30" s="377">
        <v>0</v>
      </c>
      <c r="O30" s="377">
        <v>0</v>
      </c>
      <c r="P30" s="377">
        <v>0</v>
      </c>
      <c r="Q30" s="377">
        <v>0</v>
      </c>
      <c r="R30" s="377">
        <v>0</v>
      </c>
      <c r="S30" s="362">
        <f>M30+N30+O30+P30</f>
        <v>0</v>
      </c>
      <c r="T30" s="377"/>
      <c r="U30" s="377"/>
      <c r="V30" s="406">
        <f t="shared" si="4"/>
        <v>0</v>
      </c>
      <c r="W30" s="378">
        <v>0</v>
      </c>
      <c r="X30" s="479">
        <v>0</v>
      </c>
      <c r="Y30" s="376">
        <v>0</v>
      </c>
      <c r="Z30" s="379">
        <f t="shared" si="5"/>
        <v>0</v>
      </c>
      <c r="AA30" s="376"/>
      <c r="AB30" s="380"/>
      <c r="AC30" s="377"/>
      <c r="AD30" s="366"/>
      <c r="AE30" s="376"/>
      <c r="AF30" s="377"/>
      <c r="AG30" s="367"/>
      <c r="AH30" s="380"/>
      <c r="AI30" s="377"/>
      <c r="AJ30" s="367"/>
      <c r="AK30" s="407">
        <f t="shared" si="6"/>
        <v>0</v>
      </c>
      <c r="AL30" s="335"/>
    </row>
    <row r="31" spans="1:38" s="352" customFormat="1" ht="18" customHeight="1" x14ac:dyDescent="0.25">
      <c r="A31" s="258" t="s">
        <v>151</v>
      </c>
      <c r="B31" s="1088" t="s">
        <v>152</v>
      </c>
      <c r="C31" s="353">
        <f t="shared" ref="C31:L31" si="14">SUM(C32:C33)</f>
        <v>3600</v>
      </c>
      <c r="D31" s="386">
        <f t="shared" si="14"/>
        <v>0</v>
      </c>
      <c r="E31" s="386">
        <f t="shared" si="14"/>
        <v>0</v>
      </c>
      <c r="F31" s="386">
        <f t="shared" si="14"/>
        <v>0</v>
      </c>
      <c r="G31" s="387">
        <f t="shared" si="14"/>
        <v>3600</v>
      </c>
      <c r="H31" s="382">
        <f t="shared" si="14"/>
        <v>3600</v>
      </c>
      <c r="I31" s="357">
        <f t="shared" si="14"/>
        <v>0</v>
      </c>
      <c r="J31" s="357">
        <f t="shared" si="14"/>
        <v>0</v>
      </c>
      <c r="K31" s="357">
        <f t="shared" si="14"/>
        <v>0</v>
      </c>
      <c r="L31" s="359">
        <f t="shared" si="14"/>
        <v>3600</v>
      </c>
      <c r="M31" s="376">
        <v>0</v>
      </c>
      <c r="N31" s="377">
        <v>0</v>
      </c>
      <c r="O31" s="377">
        <v>0</v>
      </c>
      <c r="P31" s="377">
        <v>0</v>
      </c>
      <c r="Q31" s="377">
        <v>0</v>
      </c>
      <c r="R31" s="377">
        <v>0</v>
      </c>
      <c r="S31" s="362">
        <f>M31+N31+O31+P31+R31</f>
        <v>0</v>
      </c>
      <c r="T31" s="377"/>
      <c r="U31" s="377"/>
      <c r="V31" s="406">
        <f t="shared" si="4"/>
        <v>0</v>
      </c>
      <c r="W31" s="378">
        <v>0</v>
      </c>
      <c r="X31" s="479">
        <v>0</v>
      </c>
      <c r="Y31" s="376">
        <v>0</v>
      </c>
      <c r="Z31" s="364">
        <f t="shared" si="5"/>
        <v>0</v>
      </c>
      <c r="AA31" s="376"/>
      <c r="AB31" s="380"/>
      <c r="AC31" s="377"/>
      <c r="AD31" s="366"/>
      <c r="AE31" s="376"/>
      <c r="AF31" s="377"/>
      <c r="AG31" s="367"/>
      <c r="AH31" s="380"/>
      <c r="AI31" s="377"/>
      <c r="AJ31" s="367"/>
      <c r="AK31" s="407">
        <f t="shared" si="6"/>
        <v>7200</v>
      </c>
      <c r="AL31" s="351"/>
    </row>
    <row r="32" spans="1:38" s="352" customFormat="1" ht="18" customHeight="1" x14ac:dyDescent="0.25">
      <c r="A32" s="256">
        <v>51601</v>
      </c>
      <c r="B32" s="1087" t="s">
        <v>153</v>
      </c>
      <c r="C32" s="384">
        <f>'AG1'!D35</f>
        <v>3600</v>
      </c>
      <c r="D32" s="369">
        <v>0</v>
      </c>
      <c r="E32" s="369">
        <v>0</v>
      </c>
      <c r="F32" s="369">
        <v>0</v>
      </c>
      <c r="G32" s="385">
        <f>C32+D32+E32+F32</f>
        <v>3600</v>
      </c>
      <c r="H32" s="383">
        <f>'AG1'!C35</f>
        <v>3600</v>
      </c>
      <c r="I32" s="373">
        <v>0</v>
      </c>
      <c r="J32" s="373">
        <v>0</v>
      </c>
      <c r="K32" s="373">
        <v>0</v>
      </c>
      <c r="L32" s="375">
        <f t="shared" ref="L32" si="15">SUM(H32:K32)</f>
        <v>3600</v>
      </c>
      <c r="M32" s="376">
        <v>0</v>
      </c>
      <c r="N32" s="377">
        <v>0</v>
      </c>
      <c r="O32" s="377">
        <v>0</v>
      </c>
      <c r="P32" s="377">
        <v>0</v>
      </c>
      <c r="Q32" s="377">
        <v>0</v>
      </c>
      <c r="R32" s="377">
        <v>0</v>
      </c>
      <c r="S32" s="362">
        <f t="shared" ref="S32:S38" si="16">M32+N32+O32+P32</f>
        <v>0</v>
      </c>
      <c r="T32" s="377"/>
      <c r="U32" s="377"/>
      <c r="V32" s="406">
        <f t="shared" si="4"/>
        <v>0</v>
      </c>
      <c r="W32" s="378">
        <v>0</v>
      </c>
      <c r="X32" s="479">
        <v>0</v>
      </c>
      <c r="Y32" s="376">
        <v>0</v>
      </c>
      <c r="Z32" s="379">
        <f t="shared" si="5"/>
        <v>0</v>
      </c>
      <c r="AA32" s="360"/>
      <c r="AB32" s="380"/>
      <c r="AC32" s="377"/>
      <c r="AD32" s="366"/>
      <c r="AE32" s="376"/>
      <c r="AF32" s="377"/>
      <c r="AG32" s="367"/>
      <c r="AH32" s="380"/>
      <c r="AI32" s="377"/>
      <c r="AJ32" s="367"/>
      <c r="AK32" s="432">
        <f t="shared" si="6"/>
        <v>7200</v>
      </c>
      <c r="AL32" s="351"/>
    </row>
    <row r="33" spans="1:38" s="336" customFormat="1" ht="18" hidden="1" customHeight="1" x14ac:dyDescent="0.25">
      <c r="A33" s="256">
        <v>51602</v>
      </c>
      <c r="B33" s="1087" t="s">
        <v>154</v>
      </c>
      <c r="C33" s="384"/>
      <c r="D33" s="369"/>
      <c r="E33" s="369"/>
      <c r="F33" s="369"/>
      <c r="G33" s="385"/>
      <c r="H33" s="383"/>
      <c r="I33" s="373"/>
      <c r="J33" s="373"/>
      <c r="K33" s="373"/>
      <c r="L33" s="375"/>
      <c r="M33" s="376">
        <v>0</v>
      </c>
      <c r="N33" s="377">
        <v>0</v>
      </c>
      <c r="O33" s="377">
        <v>0</v>
      </c>
      <c r="P33" s="377">
        <v>0</v>
      </c>
      <c r="Q33" s="377">
        <v>0</v>
      </c>
      <c r="R33" s="377">
        <v>0</v>
      </c>
      <c r="S33" s="362">
        <f t="shared" si="16"/>
        <v>0</v>
      </c>
      <c r="T33" s="377"/>
      <c r="U33" s="377"/>
      <c r="V33" s="406">
        <f t="shared" si="4"/>
        <v>0</v>
      </c>
      <c r="W33" s="378">
        <v>0</v>
      </c>
      <c r="X33" s="479">
        <v>0</v>
      </c>
      <c r="Y33" s="376">
        <v>0</v>
      </c>
      <c r="Z33" s="379">
        <f t="shared" si="5"/>
        <v>0</v>
      </c>
      <c r="AA33" s="376"/>
      <c r="AB33" s="380"/>
      <c r="AC33" s="377"/>
      <c r="AD33" s="366"/>
      <c r="AE33" s="376"/>
      <c r="AF33" s="377"/>
      <c r="AG33" s="367"/>
      <c r="AH33" s="380"/>
      <c r="AI33" s="377"/>
      <c r="AJ33" s="367"/>
      <c r="AK33" s="407">
        <f t="shared" si="6"/>
        <v>0</v>
      </c>
      <c r="AL33" s="335"/>
    </row>
    <row r="34" spans="1:38" s="336" customFormat="1" ht="18" customHeight="1" x14ac:dyDescent="0.25">
      <c r="A34" s="254">
        <v>517</v>
      </c>
      <c r="B34" s="1089" t="s">
        <v>155</v>
      </c>
      <c r="C34" s="353">
        <f t="shared" ref="C34:K34" si="17">SUM(C35:C36)</f>
        <v>0</v>
      </c>
      <c r="D34" s="386">
        <f t="shared" si="17"/>
        <v>0</v>
      </c>
      <c r="E34" s="386">
        <f t="shared" si="17"/>
        <v>7029.86</v>
      </c>
      <c r="F34" s="386">
        <f t="shared" si="17"/>
        <v>0</v>
      </c>
      <c r="G34" s="387">
        <f t="shared" si="17"/>
        <v>7029.86</v>
      </c>
      <c r="H34" s="382">
        <f t="shared" si="17"/>
        <v>0</v>
      </c>
      <c r="I34" s="357">
        <f t="shared" si="17"/>
        <v>0</v>
      </c>
      <c r="J34" s="357">
        <f t="shared" si="17"/>
        <v>0</v>
      </c>
      <c r="K34" s="357">
        <f t="shared" si="17"/>
        <v>0</v>
      </c>
      <c r="L34" s="359">
        <f>SUM(L35:L36)</f>
        <v>0</v>
      </c>
      <c r="M34" s="376">
        <v>0</v>
      </c>
      <c r="N34" s="377">
        <v>0</v>
      </c>
      <c r="O34" s="377">
        <v>0</v>
      </c>
      <c r="P34" s="377">
        <v>0</v>
      </c>
      <c r="Q34" s="377">
        <v>0</v>
      </c>
      <c r="R34" s="377">
        <v>0</v>
      </c>
      <c r="S34" s="362">
        <f t="shared" si="16"/>
        <v>0</v>
      </c>
      <c r="T34" s="377"/>
      <c r="U34" s="377"/>
      <c r="V34" s="406">
        <f t="shared" si="4"/>
        <v>0</v>
      </c>
      <c r="W34" s="378">
        <v>0</v>
      </c>
      <c r="X34" s="479">
        <v>0</v>
      </c>
      <c r="Y34" s="376">
        <v>0</v>
      </c>
      <c r="Z34" s="379">
        <f t="shared" si="5"/>
        <v>0</v>
      </c>
      <c r="AA34" s="376"/>
      <c r="AB34" s="380"/>
      <c r="AC34" s="377"/>
      <c r="AD34" s="366"/>
      <c r="AE34" s="376"/>
      <c r="AF34" s="377"/>
      <c r="AG34" s="367"/>
      <c r="AH34" s="380"/>
      <c r="AI34" s="377"/>
      <c r="AJ34" s="367"/>
      <c r="AK34" s="407">
        <f t="shared" si="6"/>
        <v>7029.86</v>
      </c>
      <c r="AL34" s="335"/>
    </row>
    <row r="35" spans="1:38" s="352" customFormat="1" ht="18" customHeight="1" x14ac:dyDescent="0.25">
      <c r="A35" s="256">
        <v>51701</v>
      </c>
      <c r="B35" s="1087" t="s">
        <v>156</v>
      </c>
      <c r="C35" s="384">
        <v>0</v>
      </c>
      <c r="D35" s="369">
        <v>0</v>
      </c>
      <c r="E35" s="369">
        <f>'AG1'!D38</f>
        <v>7029.86</v>
      </c>
      <c r="F35" s="369">
        <v>0</v>
      </c>
      <c r="G35" s="385">
        <f>C35+D35+E35+F35</f>
        <v>7029.86</v>
      </c>
      <c r="H35" s="383">
        <v>0</v>
      </c>
      <c r="I35" s="373">
        <v>0</v>
      </c>
      <c r="J35" s="373">
        <v>0</v>
      </c>
      <c r="K35" s="373">
        <f>'AG1'!C38</f>
        <v>0</v>
      </c>
      <c r="L35" s="375">
        <f t="shared" ref="L35" si="18">SUM(H35:K35)</f>
        <v>0</v>
      </c>
      <c r="M35" s="376">
        <v>0</v>
      </c>
      <c r="N35" s="377">
        <v>0</v>
      </c>
      <c r="O35" s="377">
        <v>0</v>
      </c>
      <c r="P35" s="377">
        <v>0</v>
      </c>
      <c r="Q35" s="377">
        <v>0</v>
      </c>
      <c r="R35" s="377">
        <v>0</v>
      </c>
      <c r="S35" s="362">
        <f t="shared" si="16"/>
        <v>0</v>
      </c>
      <c r="T35" s="377"/>
      <c r="U35" s="377"/>
      <c r="V35" s="406">
        <f t="shared" si="4"/>
        <v>0</v>
      </c>
      <c r="W35" s="378">
        <v>0</v>
      </c>
      <c r="X35" s="479">
        <v>0</v>
      </c>
      <c r="Y35" s="376">
        <v>0</v>
      </c>
      <c r="Z35" s="379">
        <f t="shared" si="5"/>
        <v>0</v>
      </c>
      <c r="AA35" s="376"/>
      <c r="AB35" s="380"/>
      <c r="AC35" s="377"/>
      <c r="AD35" s="366"/>
      <c r="AE35" s="376"/>
      <c r="AF35" s="377"/>
      <c r="AG35" s="367"/>
      <c r="AH35" s="380"/>
      <c r="AI35" s="377"/>
      <c r="AJ35" s="367"/>
      <c r="AK35" s="432">
        <f t="shared" si="6"/>
        <v>7029.86</v>
      </c>
      <c r="AL35" s="351"/>
    </row>
    <row r="36" spans="1:38" s="352" customFormat="1" ht="18" hidden="1" customHeight="1" x14ac:dyDescent="0.25">
      <c r="A36" s="256">
        <v>51702</v>
      </c>
      <c r="B36" s="1087" t="s">
        <v>157</v>
      </c>
      <c r="C36" s="384"/>
      <c r="D36" s="369"/>
      <c r="E36" s="369"/>
      <c r="F36" s="369"/>
      <c r="G36" s="385"/>
      <c r="H36" s="383"/>
      <c r="I36" s="373"/>
      <c r="J36" s="373"/>
      <c r="K36" s="373"/>
      <c r="L36" s="375"/>
      <c r="M36" s="360">
        <v>0</v>
      </c>
      <c r="N36" s="361">
        <v>0</v>
      </c>
      <c r="O36" s="361">
        <v>0</v>
      </c>
      <c r="P36" s="361">
        <v>0</v>
      </c>
      <c r="Q36" s="361">
        <v>0</v>
      </c>
      <c r="R36" s="361">
        <v>0</v>
      </c>
      <c r="S36" s="362">
        <f t="shared" si="16"/>
        <v>0</v>
      </c>
      <c r="T36" s="361"/>
      <c r="U36" s="361"/>
      <c r="V36" s="1073">
        <f t="shared" si="4"/>
        <v>0</v>
      </c>
      <c r="W36" s="363">
        <v>0</v>
      </c>
      <c r="X36" s="478">
        <v>0</v>
      </c>
      <c r="Y36" s="360">
        <v>0</v>
      </c>
      <c r="Z36" s="379">
        <f t="shared" si="5"/>
        <v>0</v>
      </c>
      <c r="AA36" s="360"/>
      <c r="AB36" s="380"/>
      <c r="AC36" s="377"/>
      <c r="AD36" s="366"/>
      <c r="AE36" s="376"/>
      <c r="AF36" s="377"/>
      <c r="AG36" s="367"/>
      <c r="AH36" s="380"/>
      <c r="AI36" s="377"/>
      <c r="AJ36" s="367"/>
      <c r="AK36" s="407">
        <f t="shared" si="6"/>
        <v>0</v>
      </c>
      <c r="AL36" s="351"/>
    </row>
    <row r="37" spans="1:38" s="336" customFormat="1" ht="18" hidden="1" customHeight="1" x14ac:dyDescent="0.25">
      <c r="A37" s="254">
        <v>518</v>
      </c>
      <c r="B37" s="1089" t="s">
        <v>158</v>
      </c>
      <c r="C37" s="353">
        <f>SUM(C38)</f>
        <v>0</v>
      </c>
      <c r="D37" s="386">
        <f>SUM(D38)</f>
        <v>0</v>
      </c>
      <c r="E37" s="386">
        <f>SUM(E38)</f>
        <v>0</v>
      </c>
      <c r="F37" s="386">
        <f>SUM(F38)</f>
        <v>0</v>
      </c>
      <c r="G37" s="387">
        <f>SUM(G38)</f>
        <v>0</v>
      </c>
      <c r="H37" s="382">
        <f>SUM(H38:H38)</f>
        <v>0</v>
      </c>
      <c r="I37" s="357">
        <f>SUM(I38:I39)</f>
        <v>0</v>
      </c>
      <c r="J37" s="357">
        <f>SUM(J38:J39)</f>
        <v>0</v>
      </c>
      <c r="K37" s="357">
        <f>SUM(K38:K39)</f>
        <v>0</v>
      </c>
      <c r="L37" s="359">
        <f>SUM(L38:L38)</f>
        <v>0</v>
      </c>
      <c r="M37" s="376">
        <v>0</v>
      </c>
      <c r="N37" s="377">
        <v>0</v>
      </c>
      <c r="O37" s="377">
        <v>0</v>
      </c>
      <c r="P37" s="377">
        <v>0</v>
      </c>
      <c r="Q37" s="377">
        <v>0</v>
      </c>
      <c r="R37" s="377">
        <v>0</v>
      </c>
      <c r="S37" s="362">
        <f t="shared" si="16"/>
        <v>0</v>
      </c>
      <c r="T37" s="377"/>
      <c r="U37" s="377"/>
      <c r="V37" s="406">
        <f t="shared" si="4"/>
        <v>0</v>
      </c>
      <c r="W37" s="378">
        <v>0</v>
      </c>
      <c r="X37" s="479">
        <v>0</v>
      </c>
      <c r="Y37" s="376">
        <v>0</v>
      </c>
      <c r="Z37" s="379">
        <f t="shared" si="5"/>
        <v>0</v>
      </c>
      <c r="AA37" s="376"/>
      <c r="AB37" s="380"/>
      <c r="AC37" s="377"/>
      <c r="AD37" s="366"/>
      <c r="AE37" s="376"/>
      <c r="AF37" s="377"/>
      <c r="AG37" s="367"/>
      <c r="AH37" s="380"/>
      <c r="AI37" s="377"/>
      <c r="AJ37" s="367"/>
      <c r="AK37" s="407">
        <f t="shared" si="6"/>
        <v>0</v>
      </c>
      <c r="AL37" s="335"/>
    </row>
    <row r="38" spans="1:38" s="336" customFormat="1" ht="18" hidden="1" customHeight="1" x14ac:dyDescent="0.25">
      <c r="A38" s="256">
        <v>51803</v>
      </c>
      <c r="B38" s="1087" t="s">
        <v>159</v>
      </c>
      <c r="C38" s="384"/>
      <c r="D38" s="369"/>
      <c r="E38" s="369"/>
      <c r="F38" s="369"/>
      <c r="G38" s="385"/>
      <c r="H38" s="383"/>
      <c r="I38" s="373"/>
      <c r="J38" s="373"/>
      <c r="K38" s="373"/>
      <c r="L38" s="375"/>
      <c r="M38" s="376">
        <v>0</v>
      </c>
      <c r="N38" s="377">
        <v>0</v>
      </c>
      <c r="O38" s="377">
        <v>0</v>
      </c>
      <c r="P38" s="377">
        <v>0</v>
      </c>
      <c r="Q38" s="377">
        <v>0</v>
      </c>
      <c r="R38" s="377">
        <v>0</v>
      </c>
      <c r="S38" s="362">
        <f t="shared" si="16"/>
        <v>0</v>
      </c>
      <c r="T38" s="377"/>
      <c r="U38" s="377"/>
      <c r="V38" s="406">
        <f t="shared" si="4"/>
        <v>0</v>
      </c>
      <c r="W38" s="378">
        <v>0</v>
      </c>
      <c r="X38" s="479">
        <v>0</v>
      </c>
      <c r="Y38" s="376">
        <v>0</v>
      </c>
      <c r="Z38" s="379">
        <f t="shared" si="5"/>
        <v>0</v>
      </c>
      <c r="AA38" s="376"/>
      <c r="AB38" s="380"/>
      <c r="AC38" s="377"/>
      <c r="AD38" s="366"/>
      <c r="AE38" s="376"/>
      <c r="AF38" s="377"/>
      <c r="AG38" s="367"/>
      <c r="AH38" s="380"/>
      <c r="AI38" s="377"/>
      <c r="AJ38" s="367"/>
      <c r="AK38" s="407">
        <f t="shared" si="6"/>
        <v>0</v>
      </c>
      <c r="AL38" s="335"/>
    </row>
    <row r="39" spans="1:38" s="352" customFormat="1" ht="18" customHeight="1" x14ac:dyDescent="0.25">
      <c r="A39" s="254">
        <v>519</v>
      </c>
      <c r="B39" s="1089" t="s">
        <v>160</v>
      </c>
      <c r="C39" s="353">
        <f t="shared" ref="C39:K39" si="19">SUM(C40:C41)</f>
        <v>3666.66</v>
      </c>
      <c r="D39" s="386">
        <f t="shared" si="19"/>
        <v>0</v>
      </c>
      <c r="E39" s="386">
        <f t="shared" si="19"/>
        <v>0</v>
      </c>
      <c r="F39" s="386">
        <f t="shared" si="19"/>
        <v>0</v>
      </c>
      <c r="G39" s="387">
        <f t="shared" si="19"/>
        <v>3666.66</v>
      </c>
      <c r="H39" s="382">
        <f t="shared" si="19"/>
        <v>3666.66</v>
      </c>
      <c r="I39" s="357">
        <f t="shared" si="19"/>
        <v>0</v>
      </c>
      <c r="J39" s="357">
        <f t="shared" si="19"/>
        <v>0</v>
      </c>
      <c r="K39" s="357">
        <f t="shared" si="19"/>
        <v>0</v>
      </c>
      <c r="L39" s="359">
        <f>SUM(L40:L41)</f>
        <v>3666.66</v>
      </c>
      <c r="M39" s="360">
        <f t="shared" ref="M39" si="20">SUM(M40:M41)</f>
        <v>0</v>
      </c>
      <c r="N39" s="361">
        <f>SUM(N40:N41)</f>
        <v>0</v>
      </c>
      <c r="O39" s="361">
        <v>0</v>
      </c>
      <c r="P39" s="361">
        <v>0</v>
      </c>
      <c r="Q39" s="361">
        <v>0</v>
      </c>
      <c r="R39" s="361">
        <v>0</v>
      </c>
      <c r="S39" s="388">
        <f>M39+N39+O39+P39+R39</f>
        <v>0</v>
      </c>
      <c r="T39" s="361"/>
      <c r="U39" s="361"/>
      <c r="V39" s="1073">
        <f t="shared" si="4"/>
        <v>0</v>
      </c>
      <c r="W39" s="363">
        <v>0</v>
      </c>
      <c r="X39" s="478">
        <v>0</v>
      </c>
      <c r="Y39" s="360">
        <v>0</v>
      </c>
      <c r="Z39" s="379">
        <f t="shared" si="5"/>
        <v>0</v>
      </c>
      <c r="AA39" s="360"/>
      <c r="AB39" s="380"/>
      <c r="AC39" s="377"/>
      <c r="AD39" s="366"/>
      <c r="AE39" s="376"/>
      <c r="AF39" s="377"/>
      <c r="AG39" s="367"/>
      <c r="AH39" s="380"/>
      <c r="AI39" s="377"/>
      <c r="AJ39" s="367"/>
      <c r="AK39" s="407">
        <f t="shared" si="6"/>
        <v>7333.32</v>
      </c>
      <c r="AL39" s="351"/>
    </row>
    <row r="40" spans="1:38" s="352" customFormat="1" ht="18" customHeight="1" x14ac:dyDescent="0.25">
      <c r="A40" s="256">
        <v>51901</v>
      </c>
      <c r="B40" s="1087" t="s">
        <v>161</v>
      </c>
      <c r="C40" s="384">
        <f>'AG1'!C43</f>
        <v>3666.66</v>
      </c>
      <c r="D40" s="369">
        <v>0</v>
      </c>
      <c r="E40" s="369">
        <v>0</v>
      </c>
      <c r="F40" s="369">
        <f>'PLLA MUNICIPAL HONORARIOS'!G8</f>
        <v>0</v>
      </c>
      <c r="G40" s="385">
        <f>C40+D40+E40+F40</f>
        <v>3666.66</v>
      </c>
      <c r="H40" s="383">
        <f>'AG1'!C43</f>
        <v>3666.66</v>
      </c>
      <c r="I40" s="373">
        <v>0</v>
      </c>
      <c r="J40" s="373">
        <v>0</v>
      </c>
      <c r="K40" s="373">
        <f>'PLLA MUNICIPAL HONORARIOS'!G8*2</f>
        <v>0</v>
      </c>
      <c r="L40" s="375">
        <f t="shared" ref="L40" si="21">SUM(H40:K40)</f>
        <v>3666.66</v>
      </c>
      <c r="M40" s="360">
        <v>0</v>
      </c>
      <c r="N40" s="361">
        <v>0</v>
      </c>
      <c r="O40" s="361">
        <v>0</v>
      </c>
      <c r="P40" s="361">
        <v>0</v>
      </c>
      <c r="Q40" s="361">
        <v>0</v>
      </c>
      <c r="R40" s="361">
        <v>0</v>
      </c>
      <c r="S40" s="362">
        <f>M40+N40+O40+P40+R40</f>
        <v>0</v>
      </c>
      <c r="T40" s="361"/>
      <c r="U40" s="361"/>
      <c r="V40" s="1073">
        <f t="shared" si="4"/>
        <v>0</v>
      </c>
      <c r="W40" s="378">
        <v>0</v>
      </c>
      <c r="X40" s="479">
        <v>0</v>
      </c>
      <c r="Y40" s="376">
        <v>0</v>
      </c>
      <c r="Z40" s="379">
        <f t="shared" si="5"/>
        <v>0</v>
      </c>
      <c r="AA40" s="360"/>
      <c r="AB40" s="380"/>
      <c r="AC40" s="377"/>
      <c r="AD40" s="366"/>
      <c r="AE40" s="376"/>
      <c r="AF40" s="377"/>
      <c r="AG40" s="367"/>
      <c r="AH40" s="380"/>
      <c r="AI40" s="377"/>
      <c r="AJ40" s="367"/>
      <c r="AK40" s="432">
        <f t="shared" si="6"/>
        <v>7333.32</v>
      </c>
      <c r="AL40" s="351"/>
    </row>
    <row r="41" spans="1:38" s="336" customFormat="1" ht="18" hidden="1" customHeight="1" x14ac:dyDescent="0.25">
      <c r="A41" s="256">
        <v>51999</v>
      </c>
      <c r="B41" s="1087" t="s">
        <v>160</v>
      </c>
      <c r="C41" s="384"/>
      <c r="D41" s="369"/>
      <c r="E41" s="369"/>
      <c r="F41" s="369"/>
      <c r="G41" s="385"/>
      <c r="H41" s="383"/>
      <c r="I41" s="373"/>
      <c r="J41" s="373"/>
      <c r="K41" s="373"/>
      <c r="L41" s="375"/>
      <c r="M41" s="376">
        <v>0</v>
      </c>
      <c r="N41" s="377">
        <v>0</v>
      </c>
      <c r="O41" s="377">
        <v>0</v>
      </c>
      <c r="P41" s="377">
        <v>0</v>
      </c>
      <c r="Q41" s="377">
        <v>0</v>
      </c>
      <c r="R41" s="377">
        <v>0</v>
      </c>
      <c r="S41" s="362">
        <f>M41+N41+O41+P41</f>
        <v>0</v>
      </c>
      <c r="T41" s="377"/>
      <c r="U41" s="377"/>
      <c r="V41" s="406">
        <f t="shared" si="4"/>
        <v>0</v>
      </c>
      <c r="W41" s="378"/>
      <c r="X41" s="479"/>
      <c r="Y41" s="376"/>
      <c r="Z41" s="379">
        <f t="shared" si="5"/>
        <v>0</v>
      </c>
      <c r="AA41" s="376"/>
      <c r="AB41" s="380"/>
      <c r="AC41" s="377"/>
      <c r="AD41" s="366"/>
      <c r="AE41" s="376"/>
      <c r="AF41" s="377"/>
      <c r="AG41" s="367"/>
      <c r="AH41" s="380"/>
      <c r="AI41" s="377"/>
      <c r="AJ41" s="367"/>
      <c r="AK41" s="432">
        <f t="shared" si="6"/>
        <v>0</v>
      </c>
      <c r="AL41" s="335"/>
    </row>
    <row r="42" spans="1:38" s="352" customFormat="1" ht="18" hidden="1" customHeight="1" x14ac:dyDescent="0.25">
      <c r="A42" s="256"/>
      <c r="B42" s="1087"/>
      <c r="C42" s="384"/>
      <c r="D42" s="369"/>
      <c r="E42" s="369"/>
      <c r="F42" s="369"/>
      <c r="G42" s="387"/>
      <c r="H42" s="383"/>
      <c r="I42" s="373"/>
      <c r="J42" s="373"/>
      <c r="K42" s="373"/>
      <c r="L42" s="359"/>
      <c r="M42" s="360">
        <v>0</v>
      </c>
      <c r="N42" s="361">
        <v>0</v>
      </c>
      <c r="O42" s="361">
        <v>0</v>
      </c>
      <c r="P42" s="361">
        <v>0</v>
      </c>
      <c r="Q42" s="361">
        <v>0</v>
      </c>
      <c r="R42" s="361">
        <v>0</v>
      </c>
      <c r="S42" s="362">
        <f>M42+N42+O42+P42</f>
        <v>0</v>
      </c>
      <c r="T42" s="361"/>
      <c r="U42" s="361"/>
      <c r="V42" s="1073">
        <f t="shared" si="4"/>
        <v>0</v>
      </c>
      <c r="W42" s="363"/>
      <c r="X42" s="478"/>
      <c r="Y42" s="360"/>
      <c r="Z42" s="379">
        <f t="shared" si="5"/>
        <v>0</v>
      </c>
      <c r="AA42" s="360"/>
      <c r="AB42" s="380"/>
      <c r="AC42" s="377"/>
      <c r="AD42" s="366"/>
      <c r="AE42" s="376"/>
      <c r="AF42" s="377"/>
      <c r="AG42" s="367"/>
      <c r="AH42" s="380"/>
      <c r="AI42" s="377"/>
      <c r="AJ42" s="367"/>
      <c r="AK42" s="407">
        <f t="shared" si="6"/>
        <v>0</v>
      </c>
      <c r="AL42" s="351"/>
    </row>
    <row r="43" spans="1:38" s="336" customFormat="1" ht="18" customHeight="1" x14ac:dyDescent="0.25">
      <c r="A43" s="254">
        <v>54</v>
      </c>
      <c r="B43" s="1089" t="s">
        <v>27</v>
      </c>
      <c r="C43" s="353">
        <f t="shared" ref="C43:K43" si="22">C44+C64+C70+C86+C91</f>
        <v>37104</v>
      </c>
      <c r="D43" s="386">
        <f t="shared" si="22"/>
        <v>3550</v>
      </c>
      <c r="E43" s="386">
        <f t="shared" si="22"/>
        <v>1150</v>
      </c>
      <c r="F43" s="386">
        <f t="shared" si="22"/>
        <v>48983.45</v>
      </c>
      <c r="G43" s="387">
        <f>G44+G64+G70+G86+G91</f>
        <v>90787.45</v>
      </c>
      <c r="H43" s="382">
        <f>H44+H64+H70+H86+H91</f>
        <v>17667.5</v>
      </c>
      <c r="I43" s="357">
        <f t="shared" si="22"/>
        <v>6600</v>
      </c>
      <c r="J43" s="357">
        <f t="shared" si="22"/>
        <v>1300</v>
      </c>
      <c r="K43" s="357">
        <f t="shared" si="22"/>
        <v>168154.77</v>
      </c>
      <c r="L43" s="359">
        <f>SUM(H43:K43)</f>
        <v>193722.27</v>
      </c>
      <c r="M43" s="360">
        <f t="shared" ref="M43:O43" si="23">M44+M64+M70+M86+M91</f>
        <v>2611.36</v>
      </c>
      <c r="N43" s="361">
        <f>N44+N64+N70+N86+N91</f>
        <v>148850.33000000002</v>
      </c>
      <c r="O43" s="361">
        <f t="shared" si="23"/>
        <v>28495</v>
      </c>
      <c r="P43" s="377">
        <v>0</v>
      </c>
      <c r="Q43" s="377">
        <v>0</v>
      </c>
      <c r="R43" s="377">
        <v>0</v>
      </c>
      <c r="S43" s="388">
        <f>M43+N43+O43+P43+R43</f>
        <v>179956.69</v>
      </c>
      <c r="T43" s="361"/>
      <c r="U43" s="361"/>
      <c r="V43" s="1073">
        <f t="shared" si="4"/>
        <v>0</v>
      </c>
      <c r="W43" s="363">
        <f>+W91</f>
        <v>0</v>
      </c>
      <c r="X43" s="479">
        <v>0</v>
      </c>
      <c r="Y43" s="376">
        <v>0</v>
      </c>
      <c r="Z43" s="364">
        <f t="shared" si="5"/>
        <v>0</v>
      </c>
      <c r="AA43" s="376"/>
      <c r="AB43" s="380"/>
      <c r="AC43" s="377"/>
      <c r="AD43" s="366"/>
      <c r="AE43" s="376"/>
      <c r="AF43" s="377"/>
      <c r="AG43" s="367"/>
      <c r="AH43" s="380"/>
      <c r="AI43" s="377"/>
      <c r="AJ43" s="367"/>
      <c r="AK43" s="407">
        <f t="shared" si="6"/>
        <v>464466.41</v>
      </c>
      <c r="AL43" s="335"/>
    </row>
    <row r="44" spans="1:38" s="352" customFormat="1" ht="18" customHeight="1" x14ac:dyDescent="0.25">
      <c r="A44" s="254">
        <v>541</v>
      </c>
      <c r="B44" s="1089" t="s">
        <v>28</v>
      </c>
      <c r="C44" s="353">
        <f>SUM(C45:C63)</f>
        <v>12175</v>
      </c>
      <c r="D44" s="386">
        <f t="shared" ref="D44:J44" si="24">SUM(D45:D63)</f>
        <v>2300</v>
      </c>
      <c r="E44" s="386">
        <f t="shared" si="24"/>
        <v>950</v>
      </c>
      <c r="F44" s="386">
        <f t="shared" si="24"/>
        <v>7850.45</v>
      </c>
      <c r="G44" s="387">
        <f>SUM(G45:G63)</f>
        <v>23275.45</v>
      </c>
      <c r="H44" s="382">
        <f t="shared" si="24"/>
        <v>5050</v>
      </c>
      <c r="I44" s="357">
        <f t="shared" si="24"/>
        <v>6150</v>
      </c>
      <c r="J44" s="357">
        <f t="shared" si="24"/>
        <v>1200</v>
      </c>
      <c r="K44" s="357">
        <f>SUM(K45:K63)</f>
        <v>4800</v>
      </c>
      <c r="L44" s="359">
        <f>SUM(H44:K44)</f>
        <v>17200</v>
      </c>
      <c r="M44" s="360">
        <f t="shared" ref="M44" si="25">SUM(M45:M63)</f>
        <v>2611.36</v>
      </c>
      <c r="N44" s="361">
        <f>SUM(N45:N63)</f>
        <v>75392.420000000013</v>
      </c>
      <c r="O44" s="361">
        <f>SUM(O45:O63)</f>
        <v>28495</v>
      </c>
      <c r="P44" s="361">
        <v>0</v>
      </c>
      <c r="Q44" s="361">
        <v>0</v>
      </c>
      <c r="R44" s="361">
        <v>0</v>
      </c>
      <c r="S44" s="388">
        <f>M44+N44+O44+P44</f>
        <v>106498.78000000001</v>
      </c>
      <c r="T44" s="361"/>
      <c r="U44" s="361"/>
      <c r="V44" s="1073">
        <f t="shared" si="4"/>
        <v>0</v>
      </c>
      <c r="W44" s="363">
        <v>0</v>
      </c>
      <c r="X44" s="478">
        <v>0</v>
      </c>
      <c r="Y44" s="360">
        <v>0</v>
      </c>
      <c r="Z44" s="364">
        <f t="shared" si="5"/>
        <v>0</v>
      </c>
      <c r="AA44" s="360"/>
      <c r="AB44" s="380"/>
      <c r="AC44" s="377"/>
      <c r="AD44" s="366"/>
      <c r="AE44" s="376"/>
      <c r="AF44" s="377"/>
      <c r="AG44" s="367"/>
      <c r="AH44" s="380"/>
      <c r="AI44" s="377"/>
      <c r="AJ44" s="367"/>
      <c r="AK44" s="407">
        <f t="shared" si="6"/>
        <v>146974.23000000001</v>
      </c>
      <c r="AL44" s="351"/>
    </row>
    <row r="45" spans="1:38" s="336" customFormat="1" ht="18" customHeight="1" x14ac:dyDescent="0.25">
      <c r="A45" s="256">
        <v>54101</v>
      </c>
      <c r="B45" s="1087" t="s">
        <v>29</v>
      </c>
      <c r="C45" s="384">
        <f>'egresos 25% y F.P'!C121</f>
        <v>1100</v>
      </c>
      <c r="D45" s="369">
        <v>0</v>
      </c>
      <c r="E45" s="369">
        <v>0</v>
      </c>
      <c r="F45" s="369">
        <v>0</v>
      </c>
      <c r="G45" s="385">
        <f>SUM(C45:F45)</f>
        <v>1100</v>
      </c>
      <c r="H45" s="383">
        <f>'egresos 25% y F.P'!C13</f>
        <v>50</v>
      </c>
      <c r="I45" s="373">
        <f>'egresos 25% y F.P'!D13</f>
        <v>0</v>
      </c>
      <c r="J45" s="373">
        <f>'egresos 25% y F.P'!E13</f>
        <v>0</v>
      </c>
      <c r="K45" s="373">
        <f>'egresos 25% y F.P'!F13</f>
        <v>0</v>
      </c>
      <c r="L45" s="375">
        <f>SUM(H45:K45)</f>
        <v>50</v>
      </c>
      <c r="M45" s="376">
        <v>0</v>
      </c>
      <c r="N45" s="377">
        <v>0</v>
      </c>
      <c r="O45" s="377">
        <v>0</v>
      </c>
      <c r="P45" s="377">
        <v>0</v>
      </c>
      <c r="Q45" s="377">
        <v>0</v>
      </c>
      <c r="R45" s="377">
        <v>0</v>
      </c>
      <c r="S45" s="362">
        <f t="shared" ref="S45:S92" si="26">M45+N45+O45+P45+R45</f>
        <v>0</v>
      </c>
      <c r="T45" s="377"/>
      <c r="U45" s="377"/>
      <c r="V45" s="406">
        <f t="shared" si="4"/>
        <v>0</v>
      </c>
      <c r="W45" s="378">
        <v>0</v>
      </c>
      <c r="X45" s="479">
        <v>0</v>
      </c>
      <c r="Y45" s="376">
        <v>0</v>
      </c>
      <c r="Z45" s="379">
        <f t="shared" si="5"/>
        <v>0</v>
      </c>
      <c r="AA45" s="376"/>
      <c r="AB45" s="380"/>
      <c r="AC45" s="377"/>
      <c r="AD45" s="366"/>
      <c r="AE45" s="376"/>
      <c r="AF45" s="377"/>
      <c r="AG45" s="367"/>
      <c r="AH45" s="380"/>
      <c r="AI45" s="377"/>
      <c r="AJ45" s="367"/>
      <c r="AK45" s="432">
        <f t="shared" si="6"/>
        <v>1150</v>
      </c>
      <c r="AL45" s="335"/>
    </row>
    <row r="46" spans="1:38" s="336" customFormat="1" ht="18" customHeight="1" x14ac:dyDescent="0.25">
      <c r="A46" s="256">
        <v>54103</v>
      </c>
      <c r="B46" s="1087" t="s">
        <v>30</v>
      </c>
      <c r="C46" s="384"/>
      <c r="D46" s="369"/>
      <c r="E46" s="369"/>
      <c r="F46" s="369"/>
      <c r="G46" s="385">
        <f t="shared" ref="G46:G63" si="27">SUM(C46:F46)</f>
        <v>0</v>
      </c>
      <c r="H46" s="383"/>
      <c r="I46" s="373">
        <f>'egresos 25% y F.P'!D14</f>
        <v>0</v>
      </c>
      <c r="J46" s="373">
        <f>'egresos 25% y F.P'!E14</f>
        <v>0</v>
      </c>
      <c r="K46" s="373">
        <f>'egresos 25% y F.P'!F14</f>
        <v>0</v>
      </c>
      <c r="L46" s="375">
        <f>SUM(H46:J46)</f>
        <v>0</v>
      </c>
      <c r="M46" s="376">
        <v>0</v>
      </c>
      <c r="N46" s="377">
        <f>'AG3'!E148</f>
        <v>4800</v>
      </c>
      <c r="O46" s="377">
        <v>0</v>
      </c>
      <c r="P46" s="377">
        <v>0</v>
      </c>
      <c r="Q46" s="377">
        <v>0</v>
      </c>
      <c r="R46" s="377">
        <v>0</v>
      </c>
      <c r="S46" s="362">
        <f t="shared" si="26"/>
        <v>4800</v>
      </c>
      <c r="T46" s="377"/>
      <c r="U46" s="377"/>
      <c r="V46" s="406">
        <f t="shared" si="4"/>
        <v>0</v>
      </c>
      <c r="W46" s="378">
        <v>0</v>
      </c>
      <c r="X46" s="479">
        <v>0</v>
      </c>
      <c r="Y46" s="376">
        <v>0</v>
      </c>
      <c r="Z46" s="379">
        <f t="shared" si="5"/>
        <v>0</v>
      </c>
      <c r="AA46" s="376"/>
      <c r="AB46" s="380"/>
      <c r="AC46" s="377"/>
      <c r="AD46" s="366"/>
      <c r="AE46" s="376"/>
      <c r="AF46" s="377"/>
      <c r="AG46" s="367"/>
      <c r="AH46" s="380"/>
      <c r="AI46" s="377"/>
      <c r="AJ46" s="367"/>
      <c r="AK46" s="432">
        <f t="shared" si="6"/>
        <v>4800</v>
      </c>
      <c r="AL46" s="335"/>
    </row>
    <row r="47" spans="1:38" s="336" customFormat="1" ht="18" customHeight="1" x14ac:dyDescent="0.25">
      <c r="A47" s="256">
        <v>54104</v>
      </c>
      <c r="B47" s="1087" t="s">
        <v>31</v>
      </c>
      <c r="C47" s="384">
        <f>'egresos 25% y F.P'!C123</f>
        <v>5000</v>
      </c>
      <c r="D47" s="370">
        <f>'egresos 25% y F.P'!D123</f>
        <v>0</v>
      </c>
      <c r="E47" s="370">
        <f>'egresos 25% y F.P'!E123</f>
        <v>0</v>
      </c>
      <c r="F47" s="370">
        <f>'egresos 25% y F.P'!F123</f>
        <v>0</v>
      </c>
      <c r="G47" s="385">
        <f t="shared" si="27"/>
        <v>5000</v>
      </c>
      <c r="H47" s="383">
        <f>'egresos 25% y F.P'!C15</f>
        <v>0</v>
      </c>
      <c r="I47" s="373">
        <f>'egresos 25% y F.P'!D15</f>
        <v>0</v>
      </c>
      <c r="J47" s="373">
        <f>'egresos 25% y F.P'!E15</f>
        <v>0</v>
      </c>
      <c r="K47" s="373">
        <f>'egresos 25% y F.P'!F15</f>
        <v>0</v>
      </c>
      <c r="L47" s="375">
        <f>SUM(H47:K47)</f>
        <v>0</v>
      </c>
      <c r="M47" s="376">
        <v>0</v>
      </c>
      <c r="N47" s="377">
        <f>'AG3'!E52+'AG3'!E97+'AG3'!E107+'AG3'!E122</f>
        <v>6207</v>
      </c>
      <c r="O47" s="377">
        <f>'AG4'!E45</f>
        <v>576</v>
      </c>
      <c r="P47" s="377">
        <v>0</v>
      </c>
      <c r="Q47" s="377">
        <v>0</v>
      </c>
      <c r="R47" s="377">
        <v>0</v>
      </c>
      <c r="S47" s="362">
        <f t="shared" si="26"/>
        <v>6783</v>
      </c>
      <c r="T47" s="377"/>
      <c r="U47" s="377"/>
      <c r="V47" s="406">
        <f t="shared" si="4"/>
        <v>0</v>
      </c>
      <c r="W47" s="378">
        <v>0</v>
      </c>
      <c r="X47" s="479">
        <v>0</v>
      </c>
      <c r="Y47" s="376">
        <v>0</v>
      </c>
      <c r="Z47" s="379">
        <f t="shared" si="5"/>
        <v>0</v>
      </c>
      <c r="AA47" s="376"/>
      <c r="AB47" s="380"/>
      <c r="AC47" s="377"/>
      <c r="AD47" s="366"/>
      <c r="AE47" s="376"/>
      <c r="AF47" s="377"/>
      <c r="AG47" s="367"/>
      <c r="AH47" s="380"/>
      <c r="AI47" s="377"/>
      <c r="AJ47" s="367"/>
      <c r="AK47" s="432">
        <f t="shared" si="6"/>
        <v>11783</v>
      </c>
      <c r="AL47" s="335"/>
    </row>
    <row r="48" spans="1:38" s="336" customFormat="1" ht="18" customHeight="1" x14ac:dyDescent="0.25">
      <c r="A48" s="256">
        <v>54105</v>
      </c>
      <c r="B48" s="1087" t="s">
        <v>32</v>
      </c>
      <c r="C48" s="384">
        <f>+'egresos 25% y F.P'!C124</f>
        <v>350</v>
      </c>
      <c r="D48" s="369">
        <f>+'egresos 25% y F.P'!D124</f>
        <v>1000</v>
      </c>
      <c r="E48" s="369">
        <f>+'egresos 25% y F.P'!E124</f>
        <v>200</v>
      </c>
      <c r="F48" s="369">
        <f>+'egresos 25% y F.P'!F124</f>
        <v>75</v>
      </c>
      <c r="G48" s="385">
        <f t="shared" si="27"/>
        <v>1625</v>
      </c>
      <c r="H48" s="383">
        <f>'egresos 25% y F.P'!C16</f>
        <v>400</v>
      </c>
      <c r="I48" s="373">
        <f>'egresos 25% y F.P'!D16</f>
        <v>1500</v>
      </c>
      <c r="J48" s="373">
        <f>'egresos 25% y F.P'!E16</f>
        <v>450</v>
      </c>
      <c r="K48" s="373">
        <f>'egresos 25% y F.P'!F16</f>
        <v>150</v>
      </c>
      <c r="L48" s="375">
        <f>SUM(H48:K48)</f>
        <v>2500</v>
      </c>
      <c r="M48" s="376">
        <v>0</v>
      </c>
      <c r="N48" s="377">
        <f>'AG3'!E25+'AG3'!E53+'AG3'!E108</f>
        <v>1486</v>
      </c>
      <c r="O48" s="377">
        <f>'AG4'!E46</f>
        <v>200</v>
      </c>
      <c r="P48" s="377">
        <v>0</v>
      </c>
      <c r="Q48" s="377">
        <v>0</v>
      </c>
      <c r="R48" s="377">
        <v>0</v>
      </c>
      <c r="S48" s="362">
        <f t="shared" si="26"/>
        <v>1686</v>
      </c>
      <c r="T48" s="377"/>
      <c r="U48" s="377"/>
      <c r="V48" s="406">
        <f t="shared" si="4"/>
        <v>0</v>
      </c>
      <c r="W48" s="378">
        <v>0</v>
      </c>
      <c r="X48" s="479">
        <v>0</v>
      </c>
      <c r="Y48" s="376">
        <v>0</v>
      </c>
      <c r="Z48" s="379">
        <f t="shared" si="5"/>
        <v>0</v>
      </c>
      <c r="AA48" s="376"/>
      <c r="AB48" s="380"/>
      <c r="AC48" s="377"/>
      <c r="AD48" s="366"/>
      <c r="AE48" s="376"/>
      <c r="AF48" s="377"/>
      <c r="AG48" s="367"/>
      <c r="AH48" s="380"/>
      <c r="AI48" s="377"/>
      <c r="AJ48" s="367"/>
      <c r="AK48" s="432">
        <f t="shared" si="6"/>
        <v>5811</v>
      </c>
      <c r="AL48" s="335"/>
    </row>
    <row r="49" spans="1:38" s="352" customFormat="1" ht="18" customHeight="1" x14ac:dyDescent="0.25">
      <c r="A49" s="256">
        <v>54106</v>
      </c>
      <c r="B49" s="1087" t="s">
        <v>33</v>
      </c>
      <c r="C49" s="384">
        <v>0</v>
      </c>
      <c r="D49" s="369">
        <v>0</v>
      </c>
      <c r="E49" s="369">
        <v>0</v>
      </c>
      <c r="F49" s="369">
        <f>'egresos 25% y F.P'!F125</f>
        <v>50</v>
      </c>
      <c r="G49" s="385">
        <f t="shared" si="27"/>
        <v>50</v>
      </c>
      <c r="H49" s="383">
        <f>'egresos 25% y F.P'!C17</f>
        <v>0</v>
      </c>
      <c r="I49" s="373">
        <f>'egresos 25% y F.P'!D17</f>
        <v>0</v>
      </c>
      <c r="J49" s="373">
        <f>'egresos 25% y F.P'!E17</f>
        <v>0</v>
      </c>
      <c r="K49" s="373">
        <f>'egresos 25% y F.P'!F17</f>
        <v>0</v>
      </c>
      <c r="L49" s="375">
        <f>SUM(H49:J49)</f>
        <v>0</v>
      </c>
      <c r="M49" s="360">
        <v>0</v>
      </c>
      <c r="N49" s="361">
        <v>0</v>
      </c>
      <c r="O49" s="361">
        <v>0</v>
      </c>
      <c r="P49" s="361">
        <v>0</v>
      </c>
      <c r="Q49" s="361">
        <v>0</v>
      </c>
      <c r="R49" s="361">
        <v>0</v>
      </c>
      <c r="S49" s="362">
        <f t="shared" si="26"/>
        <v>0</v>
      </c>
      <c r="T49" s="361"/>
      <c r="U49" s="361"/>
      <c r="V49" s="1073">
        <f t="shared" si="4"/>
        <v>0</v>
      </c>
      <c r="W49" s="363">
        <v>0</v>
      </c>
      <c r="X49" s="478">
        <v>0</v>
      </c>
      <c r="Y49" s="360">
        <v>0</v>
      </c>
      <c r="Z49" s="379">
        <f t="shared" si="5"/>
        <v>0</v>
      </c>
      <c r="AA49" s="360"/>
      <c r="AB49" s="380"/>
      <c r="AC49" s="377"/>
      <c r="AD49" s="366"/>
      <c r="AE49" s="376"/>
      <c r="AF49" s="377"/>
      <c r="AG49" s="367"/>
      <c r="AH49" s="380"/>
      <c r="AI49" s="377"/>
      <c r="AJ49" s="367"/>
      <c r="AK49" s="432">
        <f t="shared" si="6"/>
        <v>50</v>
      </c>
      <c r="AL49" s="351"/>
    </row>
    <row r="50" spans="1:38" s="352" customFormat="1" ht="18" customHeight="1" x14ac:dyDescent="0.25">
      <c r="A50" s="256">
        <v>54107</v>
      </c>
      <c r="B50" s="1087" t="s">
        <v>34</v>
      </c>
      <c r="C50" s="384">
        <v>0</v>
      </c>
      <c r="D50" s="369">
        <v>0</v>
      </c>
      <c r="E50" s="369">
        <v>0</v>
      </c>
      <c r="F50" s="369">
        <f>'egresos 25% y F.P'!F126</f>
        <v>2000</v>
      </c>
      <c r="G50" s="385">
        <f t="shared" si="27"/>
        <v>2000</v>
      </c>
      <c r="H50" s="383">
        <f>'egresos 25% y F.P'!C18</f>
        <v>100</v>
      </c>
      <c r="I50" s="373">
        <f>'egresos 25% y F.P'!D18</f>
        <v>0</v>
      </c>
      <c r="J50" s="373">
        <f>'egresos 25% y F.P'!E18</f>
        <v>0</v>
      </c>
      <c r="K50" s="373">
        <f>'egresos 25% y F.P'!F18</f>
        <v>1000</v>
      </c>
      <c r="L50" s="375">
        <f>SUM(H50:K50)</f>
        <v>1100</v>
      </c>
      <c r="M50" s="376">
        <v>0</v>
      </c>
      <c r="N50" s="377">
        <f>'AG3'!E26+'AG3'!E54+'AG3'!E109</f>
        <v>808.03</v>
      </c>
      <c r="O50" s="377">
        <f>'AG4'!E74+250</f>
        <v>26250</v>
      </c>
      <c r="P50" s="377">
        <v>0</v>
      </c>
      <c r="Q50" s="377">
        <v>0</v>
      </c>
      <c r="R50" s="377">
        <v>0</v>
      </c>
      <c r="S50" s="362">
        <f t="shared" si="26"/>
        <v>27058.03</v>
      </c>
      <c r="T50" s="377"/>
      <c r="U50" s="377"/>
      <c r="V50" s="406">
        <f t="shared" si="4"/>
        <v>0</v>
      </c>
      <c r="W50" s="378">
        <v>0</v>
      </c>
      <c r="X50" s="479">
        <v>0</v>
      </c>
      <c r="Y50" s="376">
        <v>0</v>
      </c>
      <c r="Z50" s="379">
        <f t="shared" si="5"/>
        <v>0</v>
      </c>
      <c r="AA50" s="360"/>
      <c r="AB50" s="380"/>
      <c r="AC50" s="377"/>
      <c r="AD50" s="366"/>
      <c r="AE50" s="376"/>
      <c r="AF50" s="377"/>
      <c r="AG50" s="367"/>
      <c r="AH50" s="380"/>
      <c r="AI50" s="377"/>
      <c r="AJ50" s="367"/>
      <c r="AK50" s="432">
        <f t="shared" si="6"/>
        <v>30158.03</v>
      </c>
      <c r="AL50" s="351"/>
    </row>
    <row r="51" spans="1:38" s="336" customFormat="1" ht="18" hidden="1" customHeight="1" x14ac:dyDescent="0.25">
      <c r="A51" s="256">
        <v>54108</v>
      </c>
      <c r="B51" s="1087" t="s">
        <v>35</v>
      </c>
      <c r="C51" s="384">
        <v>0</v>
      </c>
      <c r="D51" s="369">
        <v>0</v>
      </c>
      <c r="E51" s="369">
        <v>0</v>
      </c>
      <c r="F51" s="369">
        <v>0</v>
      </c>
      <c r="G51" s="385">
        <f t="shared" si="27"/>
        <v>0</v>
      </c>
      <c r="H51" s="383">
        <f>'egresos 25% y F.P'!C19</f>
        <v>0</v>
      </c>
      <c r="I51" s="373">
        <f>'egresos 25% y F.P'!D19</f>
        <v>0</v>
      </c>
      <c r="J51" s="373">
        <f>'egresos 25% y F.P'!E19</f>
        <v>0</v>
      </c>
      <c r="K51" s="373">
        <f>'egresos 25% y F.P'!F19</f>
        <v>0</v>
      </c>
      <c r="L51" s="375">
        <f>SUM(H51:J51)</f>
        <v>0</v>
      </c>
      <c r="M51" s="376">
        <v>0</v>
      </c>
      <c r="N51" s="377">
        <v>0</v>
      </c>
      <c r="O51" s="377">
        <v>0</v>
      </c>
      <c r="P51" s="377">
        <v>0</v>
      </c>
      <c r="Q51" s="377">
        <v>0</v>
      </c>
      <c r="R51" s="377">
        <v>0</v>
      </c>
      <c r="S51" s="362">
        <f t="shared" si="26"/>
        <v>0</v>
      </c>
      <c r="T51" s="377"/>
      <c r="U51" s="377"/>
      <c r="V51" s="406">
        <f t="shared" si="4"/>
        <v>0</v>
      </c>
      <c r="W51" s="378">
        <v>0</v>
      </c>
      <c r="X51" s="479">
        <v>0</v>
      </c>
      <c r="Y51" s="376">
        <v>0</v>
      </c>
      <c r="Z51" s="379">
        <f t="shared" si="5"/>
        <v>0</v>
      </c>
      <c r="AA51" s="376"/>
      <c r="AB51" s="380"/>
      <c r="AC51" s="377"/>
      <c r="AD51" s="366"/>
      <c r="AE51" s="376"/>
      <c r="AF51" s="377"/>
      <c r="AG51" s="367"/>
      <c r="AH51" s="380"/>
      <c r="AI51" s="377"/>
      <c r="AJ51" s="367"/>
      <c r="AK51" s="432">
        <f t="shared" si="6"/>
        <v>0</v>
      </c>
      <c r="AL51" s="335"/>
    </row>
    <row r="52" spans="1:38" s="336" customFormat="1" ht="18" customHeight="1" x14ac:dyDescent="0.25">
      <c r="A52" s="256">
        <v>54109</v>
      </c>
      <c r="B52" s="1087" t="s">
        <v>36</v>
      </c>
      <c r="C52" s="384">
        <f>'egresos 25% y F.P'!C128</f>
        <v>400</v>
      </c>
      <c r="D52" s="369">
        <f>'egresos 25% y F.P'!D128</f>
        <v>0</v>
      </c>
      <c r="E52" s="369">
        <f>'egresos 25% y F.P'!E128</f>
        <v>0</v>
      </c>
      <c r="F52" s="369">
        <f>'egresos 25% y F.P'!F128</f>
        <v>500</v>
      </c>
      <c r="G52" s="385">
        <f t="shared" si="27"/>
        <v>900</v>
      </c>
      <c r="H52" s="383">
        <f>'egresos 25% y F.P'!C20</f>
        <v>1000</v>
      </c>
      <c r="I52" s="373">
        <f>'egresos 25% y F.P'!D20</f>
        <v>0</v>
      </c>
      <c r="J52" s="373">
        <f>'egresos 25% y F.P'!E20</f>
        <v>0</v>
      </c>
      <c r="K52" s="373">
        <f>'egresos 25% y F.P'!F20</f>
        <v>1200</v>
      </c>
      <c r="L52" s="375">
        <f>SUM(H52:K52)</f>
        <v>2200</v>
      </c>
      <c r="M52" s="376">
        <v>0</v>
      </c>
      <c r="N52" s="377">
        <v>0</v>
      </c>
      <c r="O52" s="377">
        <v>0</v>
      </c>
      <c r="P52" s="377">
        <v>0</v>
      </c>
      <c r="Q52" s="377">
        <v>0</v>
      </c>
      <c r="R52" s="377">
        <v>0</v>
      </c>
      <c r="S52" s="362">
        <f t="shared" si="26"/>
        <v>0</v>
      </c>
      <c r="T52" s="377"/>
      <c r="U52" s="377"/>
      <c r="V52" s="406">
        <f t="shared" si="4"/>
        <v>0</v>
      </c>
      <c r="W52" s="378">
        <v>0</v>
      </c>
      <c r="X52" s="479">
        <v>0</v>
      </c>
      <c r="Y52" s="376">
        <v>0</v>
      </c>
      <c r="Z52" s="379">
        <f t="shared" si="5"/>
        <v>0</v>
      </c>
      <c r="AA52" s="376"/>
      <c r="AB52" s="380"/>
      <c r="AC52" s="377"/>
      <c r="AD52" s="366"/>
      <c r="AE52" s="376"/>
      <c r="AF52" s="377"/>
      <c r="AG52" s="367"/>
      <c r="AH52" s="380"/>
      <c r="AI52" s="377"/>
      <c r="AJ52" s="367"/>
      <c r="AK52" s="432">
        <f t="shared" si="6"/>
        <v>3100</v>
      </c>
      <c r="AL52" s="335"/>
    </row>
    <row r="53" spans="1:38" s="352" customFormat="1" ht="18" customHeight="1" x14ac:dyDescent="0.25">
      <c r="A53" s="256">
        <v>54110</v>
      </c>
      <c r="B53" s="1087" t="s">
        <v>37</v>
      </c>
      <c r="C53" s="384">
        <f>'egresos 25% y F.P'!C129</f>
        <v>2500</v>
      </c>
      <c r="D53" s="369">
        <f>'egresos 25% y F.P'!D129</f>
        <v>0</v>
      </c>
      <c r="E53" s="369">
        <f>'egresos 25% y F.P'!E129</f>
        <v>0</v>
      </c>
      <c r="F53" s="369">
        <f>'egresos 25% y F.P'!F129</f>
        <v>1500</v>
      </c>
      <c r="G53" s="385">
        <f t="shared" si="27"/>
        <v>4000</v>
      </c>
      <c r="H53" s="383">
        <f>'egresos 25% y F.P'!C21</f>
        <v>2000</v>
      </c>
      <c r="I53" s="373">
        <f>'egresos 25% y F.P'!D21</f>
        <v>0</v>
      </c>
      <c r="J53" s="373">
        <f>'egresos 25% y F.P'!E21</f>
        <v>0</v>
      </c>
      <c r="K53" s="373">
        <f>'egresos 25% y F.P'!F21</f>
        <v>1000</v>
      </c>
      <c r="L53" s="375">
        <f t="shared" ref="L53:L69" si="28">SUM(H53:K53)</f>
        <v>3000</v>
      </c>
      <c r="M53" s="376">
        <v>0</v>
      </c>
      <c r="N53" s="377">
        <f>'AG3'!E55+'AG3'!E47</f>
        <v>2567.58</v>
      </c>
      <c r="O53" s="377">
        <f>'AG4'!E48</f>
        <v>200</v>
      </c>
      <c r="P53" s="377">
        <v>0</v>
      </c>
      <c r="Q53" s="377">
        <v>0</v>
      </c>
      <c r="R53" s="377">
        <v>0</v>
      </c>
      <c r="S53" s="362">
        <f t="shared" si="26"/>
        <v>2767.58</v>
      </c>
      <c r="T53" s="377"/>
      <c r="U53" s="377"/>
      <c r="V53" s="406">
        <f t="shared" si="4"/>
        <v>0</v>
      </c>
      <c r="W53" s="378">
        <v>0</v>
      </c>
      <c r="X53" s="479">
        <v>0</v>
      </c>
      <c r="Y53" s="376">
        <v>0</v>
      </c>
      <c r="Z53" s="379">
        <f t="shared" si="5"/>
        <v>0</v>
      </c>
      <c r="AA53" s="360"/>
      <c r="AB53" s="380"/>
      <c r="AC53" s="377"/>
      <c r="AD53" s="366"/>
      <c r="AE53" s="376"/>
      <c r="AF53" s="377"/>
      <c r="AG53" s="367"/>
      <c r="AH53" s="380"/>
      <c r="AI53" s="377"/>
      <c r="AJ53" s="367"/>
      <c r="AK53" s="432">
        <f t="shared" si="6"/>
        <v>9767.58</v>
      </c>
      <c r="AL53" s="351"/>
    </row>
    <row r="54" spans="1:38" s="352" customFormat="1" ht="18" customHeight="1" x14ac:dyDescent="0.25">
      <c r="A54" s="256">
        <v>54111</v>
      </c>
      <c r="B54" s="1087" t="s">
        <v>38</v>
      </c>
      <c r="C54" s="384">
        <v>0</v>
      </c>
      <c r="D54" s="369">
        <v>0</v>
      </c>
      <c r="E54" s="369">
        <v>0</v>
      </c>
      <c r="F54" s="369">
        <f>'egresos 25% y F.P'!F130</f>
        <v>100</v>
      </c>
      <c r="G54" s="385">
        <f t="shared" si="27"/>
        <v>100</v>
      </c>
      <c r="H54" s="383">
        <f>'egresos 25% y F.P'!C22</f>
        <v>0</v>
      </c>
      <c r="I54" s="373">
        <f>'egresos 25% y F.P'!D22</f>
        <v>0</v>
      </c>
      <c r="J54" s="373">
        <f>'egresos 25% y F.P'!E22</f>
        <v>0</v>
      </c>
      <c r="K54" s="373">
        <f>'egresos 25% y F.P'!F22</f>
        <v>0</v>
      </c>
      <c r="L54" s="375">
        <f t="shared" si="28"/>
        <v>0</v>
      </c>
      <c r="M54" s="376">
        <v>0</v>
      </c>
      <c r="N54" s="377">
        <f>'AG3'!E27+'AG3'!E149</f>
        <v>8475.5499999999993</v>
      </c>
      <c r="O54" s="377">
        <v>0</v>
      </c>
      <c r="P54" s="377">
        <v>0</v>
      </c>
      <c r="Q54" s="377">
        <v>0</v>
      </c>
      <c r="R54" s="377">
        <v>0</v>
      </c>
      <c r="S54" s="362">
        <f t="shared" si="26"/>
        <v>8475.5499999999993</v>
      </c>
      <c r="T54" s="377"/>
      <c r="U54" s="377"/>
      <c r="V54" s="406">
        <f t="shared" si="4"/>
        <v>0</v>
      </c>
      <c r="W54" s="378">
        <v>0</v>
      </c>
      <c r="X54" s="479">
        <v>0</v>
      </c>
      <c r="Y54" s="376">
        <v>0</v>
      </c>
      <c r="Z54" s="379">
        <f t="shared" si="5"/>
        <v>0</v>
      </c>
      <c r="AA54" s="360"/>
      <c r="AB54" s="380"/>
      <c r="AC54" s="377"/>
      <c r="AD54" s="366"/>
      <c r="AE54" s="376"/>
      <c r="AF54" s="377"/>
      <c r="AG54" s="367"/>
      <c r="AH54" s="380"/>
      <c r="AI54" s="377"/>
      <c r="AJ54" s="367"/>
      <c r="AK54" s="432">
        <f t="shared" si="6"/>
        <v>8575.5499999999993</v>
      </c>
      <c r="AL54" s="351"/>
    </row>
    <row r="55" spans="1:38" s="336" customFormat="1" ht="18" customHeight="1" x14ac:dyDescent="0.25">
      <c r="A55" s="256">
        <v>54112</v>
      </c>
      <c r="B55" s="1087" t="s">
        <v>39</v>
      </c>
      <c r="C55" s="384">
        <v>0</v>
      </c>
      <c r="D55" s="369">
        <v>0</v>
      </c>
      <c r="E55" s="369">
        <v>0</v>
      </c>
      <c r="F55" s="369">
        <f>'egresos 25% y F.P'!F131</f>
        <v>100</v>
      </c>
      <c r="G55" s="385">
        <f t="shared" si="27"/>
        <v>100</v>
      </c>
      <c r="H55" s="383">
        <f>'egresos 25% y F.P'!C23</f>
        <v>0</v>
      </c>
      <c r="I55" s="373">
        <f>'egresos 25% y F.P'!D23</f>
        <v>0</v>
      </c>
      <c r="J55" s="373">
        <f>'egresos 25% y F.P'!E23</f>
        <v>0</v>
      </c>
      <c r="K55" s="373">
        <f>'egresos 25% y F.P'!F23</f>
        <v>0</v>
      </c>
      <c r="L55" s="375">
        <f t="shared" si="28"/>
        <v>0</v>
      </c>
      <c r="M55" s="376">
        <v>0</v>
      </c>
      <c r="N55" s="377">
        <f>'AG3'!E28+'AG3'!E150</f>
        <v>19377.25</v>
      </c>
      <c r="O55" s="377">
        <v>0</v>
      </c>
      <c r="P55" s="377">
        <v>0</v>
      </c>
      <c r="Q55" s="377">
        <v>0</v>
      </c>
      <c r="R55" s="377">
        <v>0</v>
      </c>
      <c r="S55" s="362">
        <f t="shared" si="26"/>
        <v>19377.25</v>
      </c>
      <c r="T55" s="377"/>
      <c r="U55" s="377"/>
      <c r="V55" s="406">
        <f t="shared" si="4"/>
        <v>0</v>
      </c>
      <c r="W55" s="378">
        <v>0</v>
      </c>
      <c r="X55" s="479">
        <v>0</v>
      </c>
      <c r="Y55" s="376">
        <v>0</v>
      </c>
      <c r="Z55" s="379">
        <f t="shared" si="5"/>
        <v>0</v>
      </c>
      <c r="AA55" s="376"/>
      <c r="AB55" s="380"/>
      <c r="AC55" s="377"/>
      <c r="AD55" s="366"/>
      <c r="AE55" s="376"/>
      <c r="AF55" s="377"/>
      <c r="AG55" s="367"/>
      <c r="AH55" s="380"/>
      <c r="AI55" s="377"/>
      <c r="AJ55" s="367"/>
      <c r="AK55" s="432">
        <f t="shared" si="6"/>
        <v>19477.25</v>
      </c>
      <c r="AL55" s="335"/>
    </row>
    <row r="56" spans="1:38" s="352" customFormat="1" ht="18" customHeight="1" x14ac:dyDescent="0.25">
      <c r="A56" s="256">
        <v>54114</v>
      </c>
      <c r="B56" s="1087" t="s">
        <v>40</v>
      </c>
      <c r="C56" s="384">
        <f>'egresos 25% y F.P'!C132</f>
        <v>150</v>
      </c>
      <c r="D56" s="369">
        <f>'egresos 25% y F.P'!D132</f>
        <v>250</v>
      </c>
      <c r="E56" s="369">
        <f>'egresos 25% y F.P'!E132</f>
        <v>150</v>
      </c>
      <c r="F56" s="369">
        <f>'egresos 25% y F.P'!F132</f>
        <v>100</v>
      </c>
      <c r="G56" s="385">
        <f t="shared" si="27"/>
        <v>650</v>
      </c>
      <c r="H56" s="383">
        <f>'egresos 25% y F.P'!C24</f>
        <v>100</v>
      </c>
      <c r="I56" s="373">
        <f>'egresos 25% y F.P'!D24</f>
        <v>450</v>
      </c>
      <c r="J56" s="373">
        <f>'egresos 25% y F.P'!E24</f>
        <v>250</v>
      </c>
      <c r="K56" s="373">
        <f>'egresos 25% y F.P'!F24</f>
        <v>200</v>
      </c>
      <c r="L56" s="375">
        <f t="shared" si="28"/>
        <v>1000</v>
      </c>
      <c r="M56" s="389">
        <v>0</v>
      </c>
      <c r="N56" s="390">
        <v>0</v>
      </c>
      <c r="O56" s="390">
        <v>0</v>
      </c>
      <c r="P56" s="390">
        <v>0</v>
      </c>
      <c r="Q56" s="390">
        <v>0</v>
      </c>
      <c r="R56" s="390">
        <v>0</v>
      </c>
      <c r="S56" s="362">
        <f t="shared" si="26"/>
        <v>0</v>
      </c>
      <c r="T56" s="390"/>
      <c r="U56" s="390"/>
      <c r="V56" s="1076">
        <f t="shared" si="4"/>
        <v>0</v>
      </c>
      <c r="W56" s="391">
        <v>0</v>
      </c>
      <c r="X56" s="480">
        <v>0</v>
      </c>
      <c r="Y56" s="389">
        <v>0</v>
      </c>
      <c r="Z56" s="379">
        <f t="shared" si="5"/>
        <v>0</v>
      </c>
      <c r="AA56" s="392"/>
      <c r="AB56" s="380"/>
      <c r="AC56" s="377"/>
      <c r="AD56" s="366"/>
      <c r="AE56" s="376"/>
      <c r="AF56" s="377"/>
      <c r="AG56" s="367"/>
      <c r="AH56" s="380"/>
      <c r="AI56" s="377"/>
      <c r="AJ56" s="367"/>
      <c r="AK56" s="432">
        <f t="shared" si="6"/>
        <v>1650</v>
      </c>
      <c r="AL56" s="351"/>
    </row>
    <row r="57" spans="1:38" s="352" customFormat="1" ht="18" customHeight="1" x14ac:dyDescent="0.25">
      <c r="A57" s="256">
        <v>54115</v>
      </c>
      <c r="B57" s="1087" t="s">
        <v>41</v>
      </c>
      <c r="C57" s="384">
        <f>'egresos 25% y F.P'!C133</f>
        <v>300</v>
      </c>
      <c r="D57" s="369">
        <f>'egresos 25% y F.P'!D133</f>
        <v>1000</v>
      </c>
      <c r="E57" s="369">
        <f>'egresos 25% y F.P'!E133</f>
        <v>350</v>
      </c>
      <c r="F57" s="369">
        <f>'egresos 25% y F.P'!F133</f>
        <v>75</v>
      </c>
      <c r="G57" s="385">
        <f t="shared" si="27"/>
        <v>1725</v>
      </c>
      <c r="H57" s="383">
        <f>'egresos 25% y F.P'!C25</f>
        <v>100</v>
      </c>
      <c r="I57" s="373">
        <f>'egresos 25% y F.P'!D25</f>
        <v>500</v>
      </c>
      <c r="J57" s="373">
        <f>'egresos 25% y F.P'!E25</f>
        <v>400</v>
      </c>
      <c r="K57" s="373">
        <f>'egresos 25% y F.P'!F25</f>
        <v>50</v>
      </c>
      <c r="L57" s="375">
        <f t="shared" si="28"/>
        <v>1050</v>
      </c>
      <c r="M57" s="389">
        <v>0</v>
      </c>
      <c r="N57" s="390">
        <v>0</v>
      </c>
      <c r="O57" s="390">
        <v>0</v>
      </c>
      <c r="P57" s="390">
        <v>0</v>
      </c>
      <c r="Q57" s="390">
        <v>0</v>
      </c>
      <c r="R57" s="390">
        <v>0</v>
      </c>
      <c r="S57" s="362">
        <f t="shared" si="26"/>
        <v>0</v>
      </c>
      <c r="T57" s="390"/>
      <c r="U57" s="390"/>
      <c r="V57" s="1076">
        <f t="shared" si="4"/>
        <v>0</v>
      </c>
      <c r="W57" s="391">
        <v>0</v>
      </c>
      <c r="X57" s="480">
        <v>0</v>
      </c>
      <c r="Y57" s="389">
        <v>0</v>
      </c>
      <c r="Z57" s="379">
        <f t="shared" si="5"/>
        <v>0</v>
      </c>
      <c r="AA57" s="392"/>
      <c r="AB57" s="380"/>
      <c r="AC57" s="377"/>
      <c r="AD57" s="366"/>
      <c r="AE57" s="376"/>
      <c r="AF57" s="377"/>
      <c r="AG57" s="367"/>
      <c r="AH57" s="380"/>
      <c r="AI57" s="377"/>
      <c r="AJ57" s="367"/>
      <c r="AK57" s="432">
        <f t="shared" si="6"/>
        <v>2775</v>
      </c>
      <c r="AL57" s="351"/>
    </row>
    <row r="58" spans="1:38" s="336" customFormat="1" ht="18" customHeight="1" x14ac:dyDescent="0.25">
      <c r="A58" s="256">
        <v>54116</v>
      </c>
      <c r="B58" s="1087" t="s">
        <v>42</v>
      </c>
      <c r="C58" s="384">
        <f>'egresos 25% y F.P'!C134</f>
        <v>200</v>
      </c>
      <c r="D58" s="369">
        <v>0</v>
      </c>
      <c r="E58" s="369">
        <v>0</v>
      </c>
      <c r="F58" s="369">
        <v>0</v>
      </c>
      <c r="G58" s="385">
        <f t="shared" si="27"/>
        <v>200</v>
      </c>
      <c r="H58" s="383">
        <f>'egresos 25% y F.P'!C26</f>
        <v>100</v>
      </c>
      <c r="I58" s="373">
        <f>'egresos 25% y F.P'!D26</f>
        <v>0</v>
      </c>
      <c r="J58" s="373">
        <f>'egresos 25% y F.P'!E26</f>
        <v>0</v>
      </c>
      <c r="K58" s="373">
        <f>'egresos 25% y F.P'!F26</f>
        <v>0</v>
      </c>
      <c r="L58" s="375">
        <f t="shared" si="28"/>
        <v>100</v>
      </c>
      <c r="M58" s="389">
        <v>0</v>
      </c>
      <c r="N58" s="390">
        <f>'AG3'!E98+'AG3'!E110+'AG3'!E132</f>
        <v>6723.25</v>
      </c>
      <c r="O58" s="390">
        <v>0</v>
      </c>
      <c r="P58" s="390">
        <v>0</v>
      </c>
      <c r="Q58" s="390">
        <v>0</v>
      </c>
      <c r="R58" s="390">
        <v>0</v>
      </c>
      <c r="S58" s="362">
        <f t="shared" si="26"/>
        <v>6723.25</v>
      </c>
      <c r="T58" s="390"/>
      <c r="U58" s="390"/>
      <c r="V58" s="1076">
        <f t="shared" si="4"/>
        <v>0</v>
      </c>
      <c r="W58" s="391">
        <v>0</v>
      </c>
      <c r="X58" s="480">
        <v>0</v>
      </c>
      <c r="Y58" s="389">
        <v>0</v>
      </c>
      <c r="Z58" s="379">
        <f t="shared" si="5"/>
        <v>0</v>
      </c>
      <c r="AA58" s="392"/>
      <c r="AB58" s="380"/>
      <c r="AC58" s="377"/>
      <c r="AD58" s="366"/>
      <c r="AE58" s="376"/>
      <c r="AF58" s="377"/>
      <c r="AG58" s="367"/>
      <c r="AH58" s="380"/>
      <c r="AI58" s="377"/>
      <c r="AJ58" s="367"/>
      <c r="AK58" s="432">
        <f t="shared" si="6"/>
        <v>7023.25</v>
      </c>
      <c r="AL58" s="335"/>
    </row>
    <row r="59" spans="1:38" s="336" customFormat="1" ht="18" hidden="1" customHeight="1" x14ac:dyDescent="0.25">
      <c r="A59" s="256">
        <v>54117</v>
      </c>
      <c r="B59" s="1087" t="s">
        <v>43</v>
      </c>
      <c r="C59" s="384"/>
      <c r="D59" s="369"/>
      <c r="E59" s="369"/>
      <c r="F59" s="369"/>
      <c r="G59" s="385">
        <f t="shared" si="27"/>
        <v>0</v>
      </c>
      <c r="H59" s="383">
        <f>'egresos 25% y F.P'!C27</f>
        <v>0</v>
      </c>
      <c r="I59" s="373">
        <f>'egresos 25% y F.P'!D27</f>
        <v>0</v>
      </c>
      <c r="J59" s="373">
        <f>'egresos 25% y F.P'!E27</f>
        <v>0</v>
      </c>
      <c r="K59" s="373">
        <f>'egresos 25% y F.P'!F27</f>
        <v>0</v>
      </c>
      <c r="L59" s="375">
        <f t="shared" si="28"/>
        <v>0</v>
      </c>
      <c r="M59" s="376">
        <v>0</v>
      </c>
      <c r="N59" s="377">
        <v>0</v>
      </c>
      <c r="O59" s="377">
        <v>0</v>
      </c>
      <c r="P59" s="377">
        <v>0</v>
      </c>
      <c r="Q59" s="377">
        <v>0</v>
      </c>
      <c r="R59" s="377">
        <v>0</v>
      </c>
      <c r="S59" s="362">
        <f t="shared" si="26"/>
        <v>0</v>
      </c>
      <c r="T59" s="377"/>
      <c r="U59" s="377"/>
      <c r="V59" s="406">
        <f t="shared" si="4"/>
        <v>0</v>
      </c>
      <c r="W59" s="378">
        <v>0</v>
      </c>
      <c r="X59" s="479">
        <v>0</v>
      </c>
      <c r="Y59" s="376">
        <v>0</v>
      </c>
      <c r="Z59" s="379">
        <f t="shared" si="5"/>
        <v>0</v>
      </c>
      <c r="AA59" s="376"/>
      <c r="AB59" s="380"/>
      <c r="AC59" s="377"/>
      <c r="AD59" s="366"/>
      <c r="AE59" s="376"/>
      <c r="AF59" s="377"/>
      <c r="AG59" s="367"/>
      <c r="AH59" s="380"/>
      <c r="AI59" s="377"/>
      <c r="AJ59" s="367"/>
      <c r="AK59" s="432">
        <f t="shared" si="6"/>
        <v>0</v>
      </c>
      <c r="AL59" s="335"/>
    </row>
    <row r="60" spans="1:38" s="336" customFormat="1" ht="18" customHeight="1" x14ac:dyDescent="0.25">
      <c r="A60" s="256">
        <v>54118</v>
      </c>
      <c r="B60" s="1087" t="s">
        <v>44</v>
      </c>
      <c r="C60" s="384">
        <f>'egresos 25% y F.P'!C136</f>
        <v>50</v>
      </c>
      <c r="D60" s="370">
        <f>'egresos 25% y F.P'!D136</f>
        <v>0</v>
      </c>
      <c r="E60" s="370">
        <f>'egresos 25% y F.P'!E136</f>
        <v>50</v>
      </c>
      <c r="F60" s="370">
        <f>'egresos 25% y F.P'!F136</f>
        <v>2500</v>
      </c>
      <c r="G60" s="385">
        <f t="shared" si="27"/>
        <v>2600</v>
      </c>
      <c r="H60" s="383">
        <f>'egresos 25% y F.P'!C28</f>
        <v>100</v>
      </c>
      <c r="I60" s="373">
        <f>'egresos 25% y F.P'!D28</f>
        <v>0</v>
      </c>
      <c r="J60" s="373">
        <f>'egresos 25% y F.P'!E28</f>
        <v>0</v>
      </c>
      <c r="K60" s="373">
        <f>'egresos 25% y F.P'!F28</f>
        <v>1000</v>
      </c>
      <c r="L60" s="375">
        <f t="shared" si="28"/>
        <v>1100</v>
      </c>
      <c r="M60" s="376">
        <v>0</v>
      </c>
      <c r="N60" s="377">
        <f>'AG3'!E56</f>
        <v>804</v>
      </c>
      <c r="O60" s="377">
        <f>'AG4'!E49</f>
        <v>429</v>
      </c>
      <c r="P60" s="377">
        <v>0</v>
      </c>
      <c r="Q60" s="377">
        <v>0</v>
      </c>
      <c r="R60" s="377">
        <v>0</v>
      </c>
      <c r="S60" s="362">
        <f t="shared" si="26"/>
        <v>1233</v>
      </c>
      <c r="T60" s="377"/>
      <c r="U60" s="377"/>
      <c r="V60" s="406">
        <f t="shared" si="4"/>
        <v>0</v>
      </c>
      <c r="W60" s="378">
        <v>0</v>
      </c>
      <c r="X60" s="479">
        <v>0</v>
      </c>
      <c r="Y60" s="376">
        <v>0</v>
      </c>
      <c r="Z60" s="379">
        <f t="shared" si="5"/>
        <v>0</v>
      </c>
      <c r="AA60" s="376"/>
      <c r="AB60" s="380"/>
      <c r="AC60" s="377"/>
      <c r="AD60" s="366"/>
      <c r="AE60" s="376"/>
      <c r="AF60" s="377"/>
      <c r="AG60" s="367"/>
      <c r="AH60" s="380"/>
      <c r="AI60" s="377"/>
      <c r="AJ60" s="367"/>
      <c r="AK60" s="432">
        <f t="shared" si="6"/>
        <v>4933</v>
      </c>
      <c r="AL60" s="335"/>
    </row>
    <row r="61" spans="1:38" s="336" customFormat="1" ht="18" customHeight="1" x14ac:dyDescent="0.25">
      <c r="A61" s="256">
        <v>54119</v>
      </c>
      <c r="B61" s="1087" t="s">
        <v>45</v>
      </c>
      <c r="C61" s="384">
        <f>'egresos 25% y F.P'!C137</f>
        <v>125</v>
      </c>
      <c r="D61" s="369">
        <v>0</v>
      </c>
      <c r="E61" s="369">
        <v>0</v>
      </c>
      <c r="F61" s="369">
        <v>0</v>
      </c>
      <c r="G61" s="385">
        <f t="shared" si="27"/>
        <v>125</v>
      </c>
      <c r="H61" s="383">
        <f>'egresos 25% y F.P'!C29</f>
        <v>100</v>
      </c>
      <c r="I61" s="373">
        <f>'egresos 25% y F.P'!D29</f>
        <v>0</v>
      </c>
      <c r="J61" s="373">
        <f>'egresos 25% y F.P'!E29</f>
        <v>0</v>
      </c>
      <c r="K61" s="373">
        <f>'egresos 25% y F.P'!F29</f>
        <v>100</v>
      </c>
      <c r="L61" s="375">
        <f t="shared" si="28"/>
        <v>200</v>
      </c>
      <c r="M61" s="376">
        <v>0</v>
      </c>
      <c r="N61" s="377">
        <f>'AG3'!E29+'AG3'!E123</f>
        <v>3408.76</v>
      </c>
      <c r="O61" s="377">
        <v>0</v>
      </c>
      <c r="P61" s="377">
        <v>0</v>
      </c>
      <c r="Q61" s="377">
        <v>0</v>
      </c>
      <c r="R61" s="377">
        <v>0</v>
      </c>
      <c r="S61" s="362">
        <f t="shared" si="26"/>
        <v>3408.76</v>
      </c>
      <c r="T61" s="377"/>
      <c r="U61" s="377"/>
      <c r="V61" s="406">
        <f t="shared" si="4"/>
        <v>0</v>
      </c>
      <c r="W61" s="378">
        <v>0</v>
      </c>
      <c r="X61" s="479">
        <v>0</v>
      </c>
      <c r="Y61" s="376">
        <v>0</v>
      </c>
      <c r="Z61" s="379">
        <f t="shared" si="5"/>
        <v>0</v>
      </c>
      <c r="AA61" s="376"/>
      <c r="AB61" s="380"/>
      <c r="AC61" s="377"/>
      <c r="AD61" s="366"/>
      <c r="AE61" s="376"/>
      <c r="AF61" s="377"/>
      <c r="AG61" s="367"/>
      <c r="AH61" s="380"/>
      <c r="AI61" s="377"/>
      <c r="AJ61" s="367"/>
      <c r="AK61" s="432">
        <f t="shared" si="6"/>
        <v>3733.76</v>
      </c>
      <c r="AL61" s="335"/>
    </row>
    <row r="62" spans="1:38" s="336" customFormat="1" ht="18" customHeight="1" x14ac:dyDescent="0.25">
      <c r="A62" s="256">
        <v>54121</v>
      </c>
      <c r="B62" s="1087" t="s">
        <v>46</v>
      </c>
      <c r="C62" s="384">
        <v>0</v>
      </c>
      <c r="D62" s="369">
        <v>0</v>
      </c>
      <c r="E62" s="369">
        <v>0</v>
      </c>
      <c r="F62" s="369">
        <v>0</v>
      </c>
      <c r="G62" s="385">
        <f t="shared" si="27"/>
        <v>0</v>
      </c>
      <c r="H62" s="383"/>
      <c r="I62" s="373">
        <f>'egresos 25% y F.P'!D30</f>
        <v>3650</v>
      </c>
      <c r="J62" s="373"/>
      <c r="K62" s="373"/>
      <c r="L62" s="375">
        <f t="shared" si="28"/>
        <v>3650</v>
      </c>
      <c r="M62" s="376">
        <v>0</v>
      </c>
      <c r="N62" s="377">
        <v>0</v>
      </c>
      <c r="O62" s="377">
        <v>0</v>
      </c>
      <c r="P62" s="377">
        <v>0</v>
      </c>
      <c r="Q62" s="377">
        <v>0</v>
      </c>
      <c r="R62" s="377">
        <v>0</v>
      </c>
      <c r="S62" s="362">
        <f t="shared" si="26"/>
        <v>0</v>
      </c>
      <c r="T62" s="377"/>
      <c r="U62" s="377"/>
      <c r="V62" s="406">
        <f t="shared" si="4"/>
        <v>0</v>
      </c>
      <c r="W62" s="378">
        <v>0</v>
      </c>
      <c r="X62" s="479">
        <v>0</v>
      </c>
      <c r="Y62" s="376">
        <v>0</v>
      </c>
      <c r="Z62" s="379">
        <f t="shared" si="5"/>
        <v>0</v>
      </c>
      <c r="AA62" s="376"/>
      <c r="AB62" s="380"/>
      <c r="AC62" s="377"/>
      <c r="AD62" s="366"/>
      <c r="AE62" s="376"/>
      <c r="AF62" s="377"/>
      <c r="AG62" s="367"/>
      <c r="AH62" s="380"/>
      <c r="AI62" s="377"/>
      <c r="AJ62" s="367"/>
      <c r="AK62" s="432">
        <f t="shared" si="6"/>
        <v>3650</v>
      </c>
      <c r="AL62" s="335"/>
    </row>
    <row r="63" spans="1:38" s="336" customFormat="1" ht="18" customHeight="1" x14ac:dyDescent="0.25">
      <c r="A63" s="256">
        <v>54199</v>
      </c>
      <c r="B63" s="1087" t="s">
        <v>47</v>
      </c>
      <c r="C63" s="384">
        <f>'egresos 25% y F.P'!C139</f>
        <v>2000</v>
      </c>
      <c r="D63" s="370">
        <f>'egresos 25% y F.P'!D139</f>
        <v>50</v>
      </c>
      <c r="E63" s="370">
        <f>'egresos 25% y F.P'!E139</f>
        <v>200</v>
      </c>
      <c r="F63" s="370">
        <f>'egresos 25% y F.P'!F139</f>
        <v>850.45</v>
      </c>
      <c r="G63" s="385">
        <f t="shared" si="27"/>
        <v>3100.45</v>
      </c>
      <c r="H63" s="383">
        <f>'egresos 25% y F.P'!C31</f>
        <v>1000</v>
      </c>
      <c r="I63" s="373">
        <f>'egresos 25% y F.P'!D31</f>
        <v>50</v>
      </c>
      <c r="J63" s="373">
        <f>'egresos 25% y F.P'!E31</f>
        <v>100</v>
      </c>
      <c r="K63" s="373">
        <f>'egresos 25% y F.P'!F31</f>
        <v>100</v>
      </c>
      <c r="L63" s="375">
        <f t="shared" si="28"/>
        <v>1250</v>
      </c>
      <c r="M63" s="376">
        <f>'AG3'!E18+'AG3'!E30</f>
        <v>2611.36</v>
      </c>
      <c r="N63" s="377">
        <f>'AG3'!E57+'AG3'!E99+'AG3'!E111+'AG3'!E124+'AG3'!E133+'AG3'!E151</f>
        <v>20735</v>
      </c>
      <c r="O63" s="377">
        <f>'AG4'!E50</f>
        <v>840</v>
      </c>
      <c r="P63" s="377">
        <v>0</v>
      </c>
      <c r="Q63" s="377">
        <v>0</v>
      </c>
      <c r="R63" s="377">
        <v>0</v>
      </c>
      <c r="S63" s="362">
        <f t="shared" si="26"/>
        <v>24186.36</v>
      </c>
      <c r="T63" s="377"/>
      <c r="U63" s="377"/>
      <c r="V63" s="406">
        <f t="shared" si="4"/>
        <v>0</v>
      </c>
      <c r="W63" s="378">
        <v>0</v>
      </c>
      <c r="X63" s="479">
        <v>0</v>
      </c>
      <c r="Y63" s="376">
        <v>0</v>
      </c>
      <c r="Z63" s="379">
        <f t="shared" si="5"/>
        <v>0</v>
      </c>
      <c r="AA63" s="376"/>
      <c r="AB63" s="380"/>
      <c r="AC63" s="377"/>
      <c r="AD63" s="366"/>
      <c r="AE63" s="376"/>
      <c r="AF63" s="377"/>
      <c r="AG63" s="367"/>
      <c r="AH63" s="380"/>
      <c r="AI63" s="377"/>
      <c r="AJ63" s="367"/>
      <c r="AK63" s="432">
        <f t="shared" si="6"/>
        <v>28536.81</v>
      </c>
      <c r="AL63" s="335"/>
    </row>
    <row r="64" spans="1:38" s="336" customFormat="1" ht="18" customHeight="1" x14ac:dyDescent="0.25">
      <c r="A64" s="254">
        <v>542</v>
      </c>
      <c r="B64" s="1089" t="s">
        <v>48</v>
      </c>
      <c r="C64" s="353">
        <f t="shared" ref="C64:K64" si="29">SUM(C65:C69)</f>
        <v>6379</v>
      </c>
      <c r="D64" s="386">
        <f t="shared" si="29"/>
        <v>0</v>
      </c>
      <c r="E64" s="386">
        <f t="shared" si="29"/>
        <v>0</v>
      </c>
      <c r="F64" s="386">
        <f t="shared" si="29"/>
        <v>35333</v>
      </c>
      <c r="G64" s="387">
        <f>SUM(G65:G69)</f>
        <v>41712</v>
      </c>
      <c r="H64" s="382">
        <f t="shared" si="29"/>
        <v>9217.5</v>
      </c>
      <c r="I64" s="357">
        <f t="shared" si="29"/>
        <v>0</v>
      </c>
      <c r="J64" s="357">
        <f t="shared" si="29"/>
        <v>0</v>
      </c>
      <c r="K64" s="357">
        <f t="shared" si="29"/>
        <v>161754.76999999999</v>
      </c>
      <c r="L64" s="359">
        <f>SUM(H64:K64)</f>
        <v>170972.27</v>
      </c>
      <c r="M64" s="360">
        <v>0</v>
      </c>
      <c r="N64" s="361">
        <f>SUM(N65:N69)</f>
        <v>192</v>
      </c>
      <c r="O64" s="361">
        <v>0</v>
      </c>
      <c r="P64" s="361">
        <v>0</v>
      </c>
      <c r="Q64" s="361">
        <v>0</v>
      </c>
      <c r="R64" s="361">
        <v>0</v>
      </c>
      <c r="S64" s="388">
        <f t="shared" si="26"/>
        <v>192</v>
      </c>
      <c r="T64" s="361"/>
      <c r="U64" s="361"/>
      <c r="V64" s="1073">
        <f t="shared" si="4"/>
        <v>0</v>
      </c>
      <c r="W64" s="363">
        <v>0</v>
      </c>
      <c r="X64" s="478">
        <v>0</v>
      </c>
      <c r="Y64" s="360">
        <v>0</v>
      </c>
      <c r="Z64" s="364">
        <f t="shared" si="5"/>
        <v>0</v>
      </c>
      <c r="AA64" s="376"/>
      <c r="AB64" s="380"/>
      <c r="AC64" s="377"/>
      <c r="AD64" s="366"/>
      <c r="AE64" s="376"/>
      <c r="AF64" s="377"/>
      <c r="AG64" s="367"/>
      <c r="AH64" s="380"/>
      <c r="AI64" s="377"/>
      <c r="AJ64" s="367"/>
      <c r="AK64" s="407">
        <f t="shared" si="6"/>
        <v>212876.27</v>
      </c>
      <c r="AL64" s="335"/>
    </row>
    <row r="65" spans="1:38" s="336" customFormat="1" ht="18" customHeight="1" x14ac:dyDescent="0.25">
      <c r="A65" s="256">
        <v>54201</v>
      </c>
      <c r="B65" s="1087" t="s">
        <v>49</v>
      </c>
      <c r="C65" s="384">
        <f>'egresos 25% y F.P'!C141</f>
        <v>1000</v>
      </c>
      <c r="D65" s="369">
        <v>0</v>
      </c>
      <c r="E65" s="369">
        <v>0</v>
      </c>
      <c r="F65" s="369">
        <f>'egresos 25% y F.P'!F141</f>
        <v>22232.999999999996</v>
      </c>
      <c r="G65" s="385">
        <f t="shared" ref="G65:G90" si="30">SUM(C65:F65)</f>
        <v>23232.999999999996</v>
      </c>
      <c r="H65" s="383">
        <f>'egresos 25% y F.P'!C33</f>
        <v>3000</v>
      </c>
      <c r="I65" s="373">
        <v>0</v>
      </c>
      <c r="J65" s="373">
        <v>0</v>
      </c>
      <c r="K65" s="373">
        <f>'egresos 25% y F.P'!F33</f>
        <v>140872</v>
      </c>
      <c r="L65" s="375">
        <f t="shared" si="28"/>
        <v>143872</v>
      </c>
      <c r="M65" s="376">
        <v>0</v>
      </c>
      <c r="N65" s="377">
        <f>'AG3'!E112</f>
        <v>192</v>
      </c>
      <c r="O65" s="377">
        <v>0</v>
      </c>
      <c r="P65" s="377">
        <v>0</v>
      </c>
      <c r="Q65" s="377">
        <v>0</v>
      </c>
      <c r="R65" s="377">
        <v>0</v>
      </c>
      <c r="S65" s="362">
        <f t="shared" si="26"/>
        <v>192</v>
      </c>
      <c r="T65" s="377"/>
      <c r="U65" s="377"/>
      <c r="V65" s="406">
        <f t="shared" si="4"/>
        <v>0</v>
      </c>
      <c r="W65" s="378">
        <v>0</v>
      </c>
      <c r="X65" s="479">
        <v>0</v>
      </c>
      <c r="Y65" s="376">
        <v>0</v>
      </c>
      <c r="Z65" s="379">
        <f t="shared" si="5"/>
        <v>0</v>
      </c>
      <c r="AA65" s="376"/>
      <c r="AB65" s="380"/>
      <c r="AC65" s="377"/>
      <c r="AD65" s="366"/>
      <c r="AE65" s="376"/>
      <c r="AF65" s="377"/>
      <c r="AG65" s="367"/>
      <c r="AH65" s="380"/>
      <c r="AI65" s="377"/>
      <c r="AJ65" s="367"/>
      <c r="AK65" s="432">
        <f t="shared" si="6"/>
        <v>167297</v>
      </c>
      <c r="AL65" s="335"/>
    </row>
    <row r="66" spans="1:38" s="336" customFormat="1" ht="18" customHeight="1" x14ac:dyDescent="0.25">
      <c r="A66" s="256">
        <v>54202</v>
      </c>
      <c r="B66" s="1087" t="s">
        <v>50</v>
      </c>
      <c r="C66" s="384">
        <f>'egresos 25% y F.P'!C142</f>
        <v>879</v>
      </c>
      <c r="D66" s="369">
        <v>0</v>
      </c>
      <c r="E66" s="369">
        <v>0</v>
      </c>
      <c r="F66" s="369">
        <f>'egresos 25% y F.P'!F142</f>
        <v>500</v>
      </c>
      <c r="G66" s="385">
        <f t="shared" si="30"/>
        <v>1379</v>
      </c>
      <c r="H66" s="383">
        <f>'egresos 25% y F.P'!C34</f>
        <v>717.5</v>
      </c>
      <c r="I66" s="373">
        <v>0</v>
      </c>
      <c r="J66" s="373">
        <v>0</v>
      </c>
      <c r="K66" s="373">
        <f>'egresos 25% y F.P'!F34</f>
        <v>1000</v>
      </c>
      <c r="L66" s="375">
        <f t="shared" si="28"/>
        <v>1717.5</v>
      </c>
      <c r="M66" s="376">
        <v>0</v>
      </c>
      <c r="N66" s="377">
        <v>0</v>
      </c>
      <c r="O66" s="377">
        <v>0</v>
      </c>
      <c r="P66" s="377">
        <v>0</v>
      </c>
      <c r="Q66" s="377">
        <v>0</v>
      </c>
      <c r="R66" s="377">
        <v>0</v>
      </c>
      <c r="S66" s="362">
        <f t="shared" si="26"/>
        <v>0</v>
      </c>
      <c r="T66" s="377"/>
      <c r="U66" s="377"/>
      <c r="V66" s="406">
        <f t="shared" si="4"/>
        <v>0</v>
      </c>
      <c r="W66" s="378">
        <v>0</v>
      </c>
      <c r="X66" s="479">
        <v>0</v>
      </c>
      <c r="Y66" s="376">
        <v>0</v>
      </c>
      <c r="Z66" s="379">
        <f t="shared" si="5"/>
        <v>0</v>
      </c>
      <c r="AA66" s="376"/>
      <c r="AB66" s="380"/>
      <c r="AC66" s="377"/>
      <c r="AD66" s="366"/>
      <c r="AE66" s="376"/>
      <c r="AF66" s="377"/>
      <c r="AG66" s="367"/>
      <c r="AH66" s="380"/>
      <c r="AI66" s="377"/>
      <c r="AJ66" s="367"/>
      <c r="AK66" s="432">
        <f t="shared" si="6"/>
        <v>3096.5</v>
      </c>
      <c r="AL66" s="335"/>
    </row>
    <row r="67" spans="1:38" s="336" customFormat="1" ht="18" customHeight="1" x14ac:dyDescent="0.25">
      <c r="A67" s="256">
        <v>54203</v>
      </c>
      <c r="B67" s="1087" t="s">
        <v>51</v>
      </c>
      <c r="C67" s="384">
        <f>'egresos 25% y F.P'!C143</f>
        <v>4500</v>
      </c>
      <c r="D67" s="369">
        <f>'egresos 25% y F.P'!D143</f>
        <v>0</v>
      </c>
      <c r="E67" s="369">
        <f>'egresos 25% y F.P'!E143</f>
        <v>0</v>
      </c>
      <c r="F67" s="369">
        <f>'egresos 25% y F.P'!F143</f>
        <v>600</v>
      </c>
      <c r="G67" s="385">
        <f t="shared" si="30"/>
        <v>5100</v>
      </c>
      <c r="H67" s="383">
        <f>'egresos 25% y F.P'!C35</f>
        <v>5500</v>
      </c>
      <c r="I67" s="373">
        <v>0</v>
      </c>
      <c r="J67" s="373">
        <v>0</v>
      </c>
      <c r="K67" s="373">
        <f>'egresos 25% y F.P'!F35</f>
        <v>500</v>
      </c>
      <c r="L67" s="375">
        <f t="shared" si="28"/>
        <v>6000</v>
      </c>
      <c r="M67" s="376">
        <v>0</v>
      </c>
      <c r="N67" s="377">
        <v>0</v>
      </c>
      <c r="O67" s="377">
        <v>0</v>
      </c>
      <c r="P67" s="377">
        <v>0</v>
      </c>
      <c r="Q67" s="377">
        <v>0</v>
      </c>
      <c r="R67" s="377">
        <v>0</v>
      </c>
      <c r="S67" s="362">
        <f t="shared" si="26"/>
        <v>0</v>
      </c>
      <c r="T67" s="377"/>
      <c r="U67" s="377"/>
      <c r="V67" s="379">
        <f t="shared" si="4"/>
        <v>0</v>
      </c>
      <c r="W67" s="393">
        <v>0</v>
      </c>
      <c r="X67" s="479">
        <v>0</v>
      </c>
      <c r="Y67" s="476">
        <v>0</v>
      </c>
      <c r="Z67" s="379">
        <f t="shared" si="5"/>
        <v>0</v>
      </c>
      <c r="AA67" s="393"/>
      <c r="AB67" s="380"/>
      <c r="AC67" s="377"/>
      <c r="AD67" s="366"/>
      <c r="AE67" s="376"/>
      <c r="AF67" s="377"/>
      <c r="AG67" s="367"/>
      <c r="AH67" s="380"/>
      <c r="AI67" s="377"/>
      <c r="AJ67" s="367"/>
      <c r="AK67" s="432">
        <f t="shared" si="6"/>
        <v>11100</v>
      </c>
      <c r="AL67" s="335"/>
    </row>
    <row r="68" spans="1:38" s="336" customFormat="1" ht="18" hidden="1" customHeight="1" x14ac:dyDescent="0.25">
      <c r="A68" s="256">
        <v>54204</v>
      </c>
      <c r="B68" s="1087" t="s">
        <v>52</v>
      </c>
      <c r="C68" s="384"/>
      <c r="D68" s="369"/>
      <c r="E68" s="369"/>
      <c r="F68" s="369"/>
      <c r="G68" s="385">
        <f t="shared" si="30"/>
        <v>0</v>
      </c>
      <c r="H68" s="383"/>
      <c r="I68" s="373">
        <v>0</v>
      </c>
      <c r="J68" s="373">
        <v>0</v>
      </c>
      <c r="K68" s="373"/>
      <c r="L68" s="375">
        <f t="shared" si="28"/>
        <v>0</v>
      </c>
      <c r="M68" s="376">
        <v>0</v>
      </c>
      <c r="N68" s="377">
        <v>0</v>
      </c>
      <c r="O68" s="377">
        <v>0</v>
      </c>
      <c r="P68" s="377">
        <v>0</v>
      </c>
      <c r="Q68" s="377">
        <v>0</v>
      </c>
      <c r="R68" s="377">
        <v>0</v>
      </c>
      <c r="S68" s="362">
        <f t="shared" si="26"/>
        <v>0</v>
      </c>
      <c r="T68" s="377"/>
      <c r="U68" s="377"/>
      <c r="V68" s="406">
        <f t="shared" si="4"/>
        <v>0</v>
      </c>
      <c r="W68" s="378">
        <v>0</v>
      </c>
      <c r="X68" s="479">
        <v>0</v>
      </c>
      <c r="Y68" s="376">
        <v>0</v>
      </c>
      <c r="Z68" s="379">
        <f t="shared" si="5"/>
        <v>0</v>
      </c>
      <c r="AA68" s="376"/>
      <c r="AB68" s="380"/>
      <c r="AC68" s="377"/>
      <c r="AD68" s="366"/>
      <c r="AE68" s="376"/>
      <c r="AF68" s="377"/>
      <c r="AG68" s="367"/>
      <c r="AH68" s="380"/>
      <c r="AI68" s="377"/>
      <c r="AJ68" s="367"/>
      <c r="AK68" s="432">
        <f t="shared" si="6"/>
        <v>0</v>
      </c>
      <c r="AL68" s="335"/>
    </row>
    <row r="69" spans="1:38" s="336" customFormat="1" ht="18" customHeight="1" x14ac:dyDescent="0.25">
      <c r="A69" s="256">
        <v>54205</v>
      </c>
      <c r="B69" s="1087" t="s">
        <v>53</v>
      </c>
      <c r="C69" s="384">
        <v>0</v>
      </c>
      <c r="D69" s="369">
        <v>0</v>
      </c>
      <c r="E69" s="369">
        <v>0</v>
      </c>
      <c r="F69" s="369">
        <f>'egresos 25% y F.P'!F145</f>
        <v>12000</v>
      </c>
      <c r="G69" s="385">
        <f t="shared" si="30"/>
        <v>12000</v>
      </c>
      <c r="H69" s="383">
        <v>0</v>
      </c>
      <c r="I69" s="373">
        <v>0</v>
      </c>
      <c r="J69" s="373">
        <v>0</v>
      </c>
      <c r="K69" s="373">
        <f>'egresos 25% y F.P'!F37</f>
        <v>19382.77</v>
      </c>
      <c r="L69" s="375">
        <f t="shared" si="28"/>
        <v>19382.77</v>
      </c>
      <c r="M69" s="376">
        <v>0</v>
      </c>
      <c r="N69" s="377">
        <v>0</v>
      </c>
      <c r="O69" s="377">
        <v>0</v>
      </c>
      <c r="P69" s="377">
        <v>0</v>
      </c>
      <c r="Q69" s="377">
        <v>0</v>
      </c>
      <c r="R69" s="377">
        <v>0</v>
      </c>
      <c r="S69" s="362">
        <f t="shared" si="26"/>
        <v>0</v>
      </c>
      <c r="T69" s="377"/>
      <c r="U69" s="377"/>
      <c r="V69" s="406">
        <f t="shared" si="4"/>
        <v>0</v>
      </c>
      <c r="W69" s="378">
        <v>0</v>
      </c>
      <c r="X69" s="479">
        <v>0</v>
      </c>
      <c r="Y69" s="376">
        <v>0</v>
      </c>
      <c r="Z69" s="379">
        <f t="shared" si="5"/>
        <v>0</v>
      </c>
      <c r="AA69" s="376"/>
      <c r="AB69" s="380"/>
      <c r="AC69" s="377"/>
      <c r="AD69" s="366"/>
      <c r="AE69" s="376"/>
      <c r="AF69" s="377"/>
      <c r="AG69" s="367"/>
      <c r="AH69" s="380"/>
      <c r="AI69" s="377"/>
      <c r="AJ69" s="367"/>
      <c r="AK69" s="432">
        <f t="shared" si="6"/>
        <v>31382.77</v>
      </c>
      <c r="AL69" s="335"/>
    </row>
    <row r="70" spans="1:38" s="336" customFormat="1" ht="18" customHeight="1" x14ac:dyDescent="0.25">
      <c r="A70" s="254">
        <v>543</v>
      </c>
      <c r="B70" s="1089" t="s">
        <v>54</v>
      </c>
      <c r="C70" s="353">
        <f>SUM(C71:C85)</f>
        <v>14350</v>
      </c>
      <c r="D70" s="386">
        <f t="shared" ref="D70:K70" si="31">SUM(D71:D85)</f>
        <v>1050</v>
      </c>
      <c r="E70" s="386">
        <f t="shared" si="31"/>
        <v>100</v>
      </c>
      <c r="F70" s="386">
        <f>SUM(F71:F85)</f>
        <v>5600</v>
      </c>
      <c r="G70" s="387">
        <f>SUM(G71:G85)</f>
        <v>21100</v>
      </c>
      <c r="H70" s="382">
        <f t="shared" si="31"/>
        <v>3400</v>
      </c>
      <c r="I70" s="357">
        <f t="shared" si="31"/>
        <v>450</v>
      </c>
      <c r="J70" s="357">
        <f t="shared" si="31"/>
        <v>100</v>
      </c>
      <c r="K70" s="357">
        <f t="shared" si="31"/>
        <v>1600</v>
      </c>
      <c r="L70" s="359">
        <f>SUM(H70:K70)</f>
        <v>5550</v>
      </c>
      <c r="M70" s="360">
        <v>0</v>
      </c>
      <c r="N70" s="361">
        <f>SUM(N71:N85)</f>
        <v>73265.91</v>
      </c>
      <c r="O70" s="361">
        <v>0</v>
      </c>
      <c r="P70" s="361">
        <v>0</v>
      </c>
      <c r="Q70" s="361">
        <v>0</v>
      </c>
      <c r="R70" s="361">
        <v>0</v>
      </c>
      <c r="S70" s="388">
        <f t="shared" si="26"/>
        <v>73265.91</v>
      </c>
      <c r="T70" s="361"/>
      <c r="U70" s="361"/>
      <c r="V70" s="1073">
        <f t="shared" si="4"/>
        <v>0</v>
      </c>
      <c r="W70" s="363">
        <v>0</v>
      </c>
      <c r="X70" s="478">
        <v>0</v>
      </c>
      <c r="Y70" s="360">
        <v>0</v>
      </c>
      <c r="Z70" s="364">
        <f t="shared" si="5"/>
        <v>0</v>
      </c>
      <c r="AA70" s="376"/>
      <c r="AB70" s="380"/>
      <c r="AC70" s="377"/>
      <c r="AD70" s="366"/>
      <c r="AE70" s="376"/>
      <c r="AF70" s="377"/>
      <c r="AG70" s="367"/>
      <c r="AH70" s="380"/>
      <c r="AI70" s="377"/>
      <c r="AJ70" s="367"/>
      <c r="AK70" s="407">
        <f t="shared" si="6"/>
        <v>99915.91</v>
      </c>
      <c r="AL70" s="335"/>
    </row>
    <row r="71" spans="1:38" s="336" customFormat="1" ht="18" customHeight="1" x14ac:dyDescent="0.25">
      <c r="A71" s="256">
        <v>54301</v>
      </c>
      <c r="B71" s="1087" t="s">
        <v>55</v>
      </c>
      <c r="C71" s="384">
        <f>'egresos 25% y F.P'!C147</f>
        <v>850</v>
      </c>
      <c r="D71" s="369">
        <f>'egresos 25% y F.P'!D147</f>
        <v>250</v>
      </c>
      <c r="E71" s="369">
        <f>'egresos 25% y F.P'!E147</f>
        <v>100</v>
      </c>
      <c r="F71" s="369">
        <f>+'egresos 25% y F.P'!F147</f>
        <v>300</v>
      </c>
      <c r="G71" s="385">
        <f t="shared" si="30"/>
        <v>1500</v>
      </c>
      <c r="H71" s="383">
        <f>'egresos 25% y F.P'!C39</f>
        <v>500</v>
      </c>
      <c r="I71" s="373">
        <f>'egresos 25% y F.P'!D39</f>
        <v>350</v>
      </c>
      <c r="J71" s="373">
        <f>'egresos 25% y F.P'!E39</f>
        <v>100</v>
      </c>
      <c r="K71" s="373">
        <f>'egresos 25% y F.P'!F39</f>
        <v>100</v>
      </c>
      <c r="L71" s="375">
        <f t="shared" ref="L71:L85" si="32">SUM(H71:K71)</f>
        <v>1050</v>
      </c>
      <c r="M71" s="376">
        <v>0</v>
      </c>
      <c r="N71" s="377">
        <f>'AG3'!E113</f>
        <v>955</v>
      </c>
      <c r="O71" s="377">
        <v>0</v>
      </c>
      <c r="P71" s="377">
        <v>0</v>
      </c>
      <c r="Q71" s="377">
        <v>0</v>
      </c>
      <c r="R71" s="377">
        <v>0</v>
      </c>
      <c r="S71" s="362">
        <f t="shared" si="26"/>
        <v>955</v>
      </c>
      <c r="T71" s="377"/>
      <c r="U71" s="377"/>
      <c r="V71" s="406">
        <f t="shared" si="4"/>
        <v>0</v>
      </c>
      <c r="W71" s="378">
        <v>0</v>
      </c>
      <c r="X71" s="479">
        <v>0</v>
      </c>
      <c r="Y71" s="376">
        <v>0</v>
      </c>
      <c r="Z71" s="379">
        <f t="shared" si="5"/>
        <v>0</v>
      </c>
      <c r="AA71" s="376"/>
      <c r="AB71" s="380"/>
      <c r="AC71" s="377"/>
      <c r="AD71" s="366"/>
      <c r="AE71" s="376"/>
      <c r="AF71" s="377"/>
      <c r="AG71" s="367"/>
      <c r="AH71" s="380"/>
      <c r="AI71" s="377"/>
      <c r="AJ71" s="367"/>
      <c r="AK71" s="432">
        <f t="shared" si="6"/>
        <v>3505</v>
      </c>
      <c r="AL71" s="335"/>
    </row>
    <row r="72" spans="1:38" s="336" customFormat="1" ht="18" customHeight="1" x14ac:dyDescent="0.25">
      <c r="A72" s="256">
        <v>54302</v>
      </c>
      <c r="B72" s="1087" t="s">
        <v>56</v>
      </c>
      <c r="C72" s="384">
        <f>'egresos 25% y F.P'!C148</f>
        <v>500</v>
      </c>
      <c r="D72" s="369">
        <v>0</v>
      </c>
      <c r="E72" s="394">
        <v>0</v>
      </c>
      <c r="F72" s="369">
        <f>'egresos 25% y F.P'!F148</f>
        <v>500</v>
      </c>
      <c r="G72" s="395">
        <f t="shared" si="30"/>
        <v>1000</v>
      </c>
      <c r="H72" s="383">
        <f>'egresos 25% y F.P'!C40</f>
        <v>1500</v>
      </c>
      <c r="I72" s="373">
        <f>'egresos 25% y F.P'!D40</f>
        <v>0</v>
      </c>
      <c r="J72" s="373">
        <f>'egresos 25% y F.P'!E40</f>
        <v>0</v>
      </c>
      <c r="K72" s="373">
        <f>'egresos 25% y F.P'!F40</f>
        <v>1500</v>
      </c>
      <c r="L72" s="375">
        <f t="shared" si="32"/>
        <v>3000</v>
      </c>
      <c r="M72" s="376">
        <v>0</v>
      </c>
      <c r="N72" s="377">
        <v>0</v>
      </c>
      <c r="O72" s="377">
        <v>0</v>
      </c>
      <c r="P72" s="377">
        <v>0</v>
      </c>
      <c r="Q72" s="377">
        <v>0</v>
      </c>
      <c r="R72" s="377">
        <v>0</v>
      </c>
      <c r="S72" s="362">
        <f t="shared" si="26"/>
        <v>0</v>
      </c>
      <c r="T72" s="377"/>
      <c r="U72" s="377"/>
      <c r="V72" s="406">
        <f t="shared" si="4"/>
        <v>0</v>
      </c>
      <c r="W72" s="378">
        <v>0</v>
      </c>
      <c r="X72" s="479">
        <v>0</v>
      </c>
      <c r="Y72" s="376">
        <v>0</v>
      </c>
      <c r="Z72" s="379">
        <f t="shared" si="5"/>
        <v>0</v>
      </c>
      <c r="AA72" s="376"/>
      <c r="AB72" s="380"/>
      <c r="AC72" s="377"/>
      <c r="AD72" s="366"/>
      <c r="AE72" s="376"/>
      <c r="AF72" s="377"/>
      <c r="AG72" s="367"/>
      <c r="AH72" s="380"/>
      <c r="AI72" s="377"/>
      <c r="AJ72" s="367"/>
      <c r="AK72" s="432">
        <f t="shared" si="6"/>
        <v>4000</v>
      </c>
      <c r="AL72" s="335"/>
    </row>
    <row r="73" spans="1:38" s="336" customFormat="1" ht="18" hidden="1" customHeight="1" x14ac:dyDescent="0.25">
      <c r="A73" s="256">
        <v>54303</v>
      </c>
      <c r="B73" s="1087" t="s">
        <v>57</v>
      </c>
      <c r="C73" s="384"/>
      <c r="D73" s="369">
        <v>0</v>
      </c>
      <c r="E73" s="369">
        <v>0</v>
      </c>
      <c r="F73" s="369"/>
      <c r="G73" s="385">
        <f t="shared" si="30"/>
        <v>0</v>
      </c>
      <c r="H73" s="383"/>
      <c r="I73" s="373"/>
      <c r="J73" s="373"/>
      <c r="K73" s="373"/>
      <c r="L73" s="375">
        <f t="shared" si="32"/>
        <v>0</v>
      </c>
      <c r="M73" s="376">
        <v>0</v>
      </c>
      <c r="N73" s="377">
        <v>0</v>
      </c>
      <c r="O73" s="377">
        <v>0</v>
      </c>
      <c r="P73" s="377">
        <v>0</v>
      </c>
      <c r="Q73" s="377">
        <v>0</v>
      </c>
      <c r="R73" s="377">
        <v>0</v>
      </c>
      <c r="S73" s="362">
        <f t="shared" si="26"/>
        <v>0</v>
      </c>
      <c r="T73" s="377"/>
      <c r="U73" s="377"/>
      <c r="V73" s="406">
        <f t="shared" si="4"/>
        <v>0</v>
      </c>
      <c r="W73" s="378">
        <v>0</v>
      </c>
      <c r="X73" s="479">
        <v>0</v>
      </c>
      <c r="Y73" s="376">
        <v>0</v>
      </c>
      <c r="Z73" s="379">
        <f t="shared" si="5"/>
        <v>0</v>
      </c>
      <c r="AA73" s="376"/>
      <c r="AB73" s="380"/>
      <c r="AC73" s="377"/>
      <c r="AD73" s="366"/>
      <c r="AE73" s="376"/>
      <c r="AF73" s="377"/>
      <c r="AG73" s="367"/>
      <c r="AH73" s="380"/>
      <c r="AI73" s="377"/>
      <c r="AJ73" s="367"/>
      <c r="AK73" s="432">
        <f t="shared" si="6"/>
        <v>0</v>
      </c>
      <c r="AL73" s="335"/>
    </row>
    <row r="74" spans="1:38" s="336" customFormat="1" ht="18" customHeight="1" x14ac:dyDescent="0.25">
      <c r="A74" s="256">
        <v>54304</v>
      </c>
      <c r="B74" s="1087" t="s">
        <v>58</v>
      </c>
      <c r="C74" s="384">
        <f>'egresos 25% y F.P'!C150</f>
        <v>1900</v>
      </c>
      <c r="D74" s="369">
        <v>0</v>
      </c>
      <c r="E74" s="369">
        <v>0</v>
      </c>
      <c r="F74" s="369">
        <v>0</v>
      </c>
      <c r="G74" s="385">
        <f t="shared" si="30"/>
        <v>1900</v>
      </c>
      <c r="H74" s="383">
        <f>'egresos 25% y F.P'!C42</f>
        <v>0</v>
      </c>
      <c r="I74" s="373">
        <f>'egresos 25% y F.P'!D42</f>
        <v>0</v>
      </c>
      <c r="J74" s="373">
        <f>'egresos 25% y F.P'!E42</f>
        <v>0</v>
      </c>
      <c r="K74" s="373">
        <f>'egresos 25% y F.P'!F42</f>
        <v>0</v>
      </c>
      <c r="L74" s="375">
        <f t="shared" si="32"/>
        <v>0</v>
      </c>
      <c r="M74" s="376">
        <v>0</v>
      </c>
      <c r="N74" s="377">
        <f>'AG3'!E114+'AG3'!E125+'AG3'!E134</f>
        <v>3650</v>
      </c>
      <c r="O74" s="377">
        <v>0</v>
      </c>
      <c r="P74" s="377">
        <v>0</v>
      </c>
      <c r="Q74" s="377">
        <v>0</v>
      </c>
      <c r="R74" s="377">
        <v>0</v>
      </c>
      <c r="S74" s="362">
        <f t="shared" si="26"/>
        <v>3650</v>
      </c>
      <c r="T74" s="377"/>
      <c r="U74" s="377"/>
      <c r="V74" s="406">
        <f t="shared" ref="V74:V137" si="33">+T74+U74</f>
        <v>0</v>
      </c>
      <c r="W74" s="378">
        <v>0</v>
      </c>
      <c r="X74" s="479">
        <v>0</v>
      </c>
      <c r="Y74" s="376">
        <v>0</v>
      </c>
      <c r="Z74" s="379">
        <f t="shared" ref="Z74:Z143" si="34">+X74+Y74</f>
        <v>0</v>
      </c>
      <c r="AA74" s="376"/>
      <c r="AB74" s="380"/>
      <c r="AC74" s="377"/>
      <c r="AD74" s="366"/>
      <c r="AE74" s="376"/>
      <c r="AF74" s="377"/>
      <c r="AG74" s="367"/>
      <c r="AH74" s="380"/>
      <c r="AI74" s="377"/>
      <c r="AJ74" s="367"/>
      <c r="AK74" s="432">
        <f t="shared" ref="AK74:AK137" si="35">+L74+S74+G74+AD74+AG74+AJ74+V74+W74+Z74+AA74</f>
        <v>5550</v>
      </c>
      <c r="AL74" s="335"/>
    </row>
    <row r="75" spans="1:38" s="336" customFormat="1" ht="18" customHeight="1" x14ac:dyDescent="0.25">
      <c r="A75" s="256">
        <v>54305</v>
      </c>
      <c r="B75" s="1087" t="s">
        <v>59</v>
      </c>
      <c r="C75" s="384">
        <f>'egresos 25% y F.P'!C151</f>
        <v>0</v>
      </c>
      <c r="D75" s="370">
        <f>'egresos 25% y F.P'!D151</f>
        <v>0</v>
      </c>
      <c r="E75" s="369">
        <v>0</v>
      </c>
      <c r="F75" s="369">
        <v>0</v>
      </c>
      <c r="G75" s="385">
        <f t="shared" si="30"/>
        <v>0</v>
      </c>
      <c r="H75" s="383">
        <f>'egresos 25% y F.P'!C43</f>
        <v>0</v>
      </c>
      <c r="I75" s="373">
        <f>'egresos 25% y F.P'!D43</f>
        <v>0</v>
      </c>
      <c r="J75" s="373">
        <f>'egresos 25% y F.P'!E43</f>
        <v>0</v>
      </c>
      <c r="K75" s="373">
        <f>'egresos 25% y F.P'!F43</f>
        <v>0</v>
      </c>
      <c r="L75" s="375">
        <f t="shared" si="32"/>
        <v>0</v>
      </c>
      <c r="M75" s="376">
        <v>0</v>
      </c>
      <c r="N75" s="377">
        <f>'AG3'!E126</f>
        <v>720</v>
      </c>
      <c r="O75" s="377">
        <v>0</v>
      </c>
      <c r="P75" s="377">
        <v>0</v>
      </c>
      <c r="Q75" s="377">
        <v>0</v>
      </c>
      <c r="R75" s="377">
        <v>0</v>
      </c>
      <c r="S75" s="362">
        <f t="shared" si="26"/>
        <v>720</v>
      </c>
      <c r="T75" s="377"/>
      <c r="U75" s="377"/>
      <c r="V75" s="406">
        <f t="shared" si="33"/>
        <v>0</v>
      </c>
      <c r="W75" s="378">
        <v>0</v>
      </c>
      <c r="X75" s="479">
        <v>0</v>
      </c>
      <c r="Y75" s="376">
        <v>0</v>
      </c>
      <c r="Z75" s="379">
        <f t="shared" si="34"/>
        <v>0</v>
      </c>
      <c r="AA75" s="376"/>
      <c r="AB75" s="380"/>
      <c r="AC75" s="377"/>
      <c r="AD75" s="366"/>
      <c r="AE75" s="376"/>
      <c r="AF75" s="377"/>
      <c r="AG75" s="367"/>
      <c r="AH75" s="380"/>
      <c r="AI75" s="377"/>
      <c r="AJ75" s="367"/>
      <c r="AK75" s="432">
        <f t="shared" si="35"/>
        <v>720</v>
      </c>
      <c r="AL75" s="335"/>
    </row>
    <row r="76" spans="1:38" s="336" customFormat="1" ht="18" hidden="1" customHeight="1" x14ac:dyDescent="0.25">
      <c r="A76" s="256">
        <v>54306</v>
      </c>
      <c r="B76" s="1087" t="s">
        <v>60</v>
      </c>
      <c r="C76" s="384">
        <f>'egresos 25% y F.P'!C152</f>
        <v>0</v>
      </c>
      <c r="D76" s="369"/>
      <c r="E76" s="369"/>
      <c r="F76" s="369"/>
      <c r="G76" s="385">
        <f t="shared" si="30"/>
        <v>0</v>
      </c>
      <c r="H76" s="383">
        <f>'egresos 25% y F.P'!C44</f>
        <v>0</v>
      </c>
      <c r="I76" s="373">
        <f>'egresos 25% y F.P'!D44</f>
        <v>0</v>
      </c>
      <c r="J76" s="373">
        <f>'egresos 25% y F.P'!E44</f>
        <v>0</v>
      </c>
      <c r="K76" s="373">
        <f>'egresos 25% y F.P'!F44</f>
        <v>0</v>
      </c>
      <c r="L76" s="375">
        <f t="shared" si="32"/>
        <v>0</v>
      </c>
      <c r="M76" s="376">
        <v>0</v>
      </c>
      <c r="N76" s="377">
        <v>0</v>
      </c>
      <c r="O76" s="377">
        <v>0</v>
      </c>
      <c r="P76" s="377">
        <v>0</v>
      </c>
      <c r="Q76" s="377">
        <v>0</v>
      </c>
      <c r="R76" s="377">
        <v>0</v>
      </c>
      <c r="S76" s="362">
        <f t="shared" si="26"/>
        <v>0</v>
      </c>
      <c r="T76" s="377"/>
      <c r="U76" s="377"/>
      <c r="V76" s="406">
        <f t="shared" si="33"/>
        <v>0</v>
      </c>
      <c r="W76" s="378">
        <v>0</v>
      </c>
      <c r="X76" s="479">
        <v>0</v>
      </c>
      <c r="Y76" s="376">
        <v>0</v>
      </c>
      <c r="Z76" s="379">
        <f t="shared" si="34"/>
        <v>0</v>
      </c>
      <c r="AA76" s="376"/>
      <c r="AB76" s="380"/>
      <c r="AC76" s="377"/>
      <c r="AD76" s="366"/>
      <c r="AE76" s="376"/>
      <c r="AF76" s="377"/>
      <c r="AG76" s="367"/>
      <c r="AH76" s="380"/>
      <c r="AI76" s="377"/>
      <c r="AJ76" s="367"/>
      <c r="AK76" s="432">
        <f t="shared" si="35"/>
        <v>0</v>
      </c>
      <c r="AL76" s="335"/>
    </row>
    <row r="77" spans="1:38" s="336" customFormat="1" ht="18" customHeight="1" x14ac:dyDescent="0.25">
      <c r="A77" s="256">
        <v>54307</v>
      </c>
      <c r="B77" s="1087" t="s">
        <v>61</v>
      </c>
      <c r="C77" s="384">
        <f>'egresos 25% y F.P'!C153</f>
        <v>0</v>
      </c>
      <c r="D77" s="369">
        <v>0</v>
      </c>
      <c r="E77" s="369">
        <v>0</v>
      </c>
      <c r="F77" s="369">
        <v>0</v>
      </c>
      <c r="G77" s="385">
        <f t="shared" si="30"/>
        <v>0</v>
      </c>
      <c r="H77" s="383">
        <f>'egresos 25% y F.P'!C45</f>
        <v>1200</v>
      </c>
      <c r="I77" s="373">
        <f>'egresos 25% y F.P'!D45</f>
        <v>0</v>
      </c>
      <c r="J77" s="373">
        <f>'egresos 25% y F.P'!E45</f>
        <v>0</v>
      </c>
      <c r="K77" s="373">
        <f>'egresos 25% y F.P'!F45</f>
        <v>0</v>
      </c>
      <c r="L77" s="375">
        <f t="shared" si="32"/>
        <v>1200</v>
      </c>
      <c r="M77" s="376">
        <v>0</v>
      </c>
      <c r="N77" s="377">
        <v>0</v>
      </c>
      <c r="O77" s="377">
        <v>0</v>
      </c>
      <c r="P77" s="377">
        <v>0</v>
      </c>
      <c r="Q77" s="377">
        <v>0</v>
      </c>
      <c r="R77" s="377">
        <v>0</v>
      </c>
      <c r="S77" s="362">
        <f t="shared" si="26"/>
        <v>0</v>
      </c>
      <c r="T77" s="377"/>
      <c r="U77" s="377"/>
      <c r="V77" s="406">
        <f t="shared" si="33"/>
        <v>0</v>
      </c>
      <c r="W77" s="378">
        <v>0</v>
      </c>
      <c r="X77" s="479">
        <v>0</v>
      </c>
      <c r="Y77" s="376">
        <v>0</v>
      </c>
      <c r="Z77" s="379">
        <f t="shared" si="34"/>
        <v>0</v>
      </c>
      <c r="AA77" s="376"/>
      <c r="AB77" s="380"/>
      <c r="AC77" s="377"/>
      <c r="AD77" s="366"/>
      <c r="AE77" s="376"/>
      <c r="AF77" s="377"/>
      <c r="AG77" s="367"/>
      <c r="AH77" s="380"/>
      <c r="AI77" s="377"/>
      <c r="AJ77" s="367"/>
      <c r="AK77" s="432">
        <f t="shared" si="35"/>
        <v>1200</v>
      </c>
      <c r="AL77" s="335"/>
    </row>
    <row r="78" spans="1:38" s="336" customFormat="1" ht="18" hidden="1" customHeight="1" x14ac:dyDescent="0.25">
      <c r="A78" s="256">
        <v>54309</v>
      </c>
      <c r="B78" s="1087" t="s">
        <v>62</v>
      </c>
      <c r="C78" s="384">
        <f>'egresos 25% y F.P'!C154</f>
        <v>0</v>
      </c>
      <c r="D78" s="369">
        <v>0</v>
      </c>
      <c r="E78" s="369">
        <v>0</v>
      </c>
      <c r="F78" s="369">
        <v>0</v>
      </c>
      <c r="G78" s="385">
        <f t="shared" si="30"/>
        <v>0</v>
      </c>
      <c r="H78" s="383">
        <f>'egresos 25% y F.P'!C46</f>
        <v>0</v>
      </c>
      <c r="I78" s="373">
        <f>'egresos 25% y F.P'!D46</f>
        <v>0</v>
      </c>
      <c r="J78" s="373">
        <f>'egresos 25% y F.P'!E46</f>
        <v>0</v>
      </c>
      <c r="K78" s="373">
        <f>'egresos 25% y F.P'!F46</f>
        <v>0</v>
      </c>
      <c r="L78" s="375">
        <f t="shared" si="32"/>
        <v>0</v>
      </c>
      <c r="M78" s="376">
        <v>0</v>
      </c>
      <c r="N78" s="377">
        <v>0</v>
      </c>
      <c r="O78" s="377">
        <v>0</v>
      </c>
      <c r="P78" s="377">
        <v>0</v>
      </c>
      <c r="Q78" s="377">
        <v>0</v>
      </c>
      <c r="R78" s="377">
        <v>0</v>
      </c>
      <c r="S78" s="362">
        <f t="shared" si="26"/>
        <v>0</v>
      </c>
      <c r="T78" s="377"/>
      <c r="U78" s="377"/>
      <c r="V78" s="406">
        <f t="shared" si="33"/>
        <v>0</v>
      </c>
      <c r="W78" s="378">
        <v>0</v>
      </c>
      <c r="X78" s="479">
        <v>0</v>
      </c>
      <c r="Y78" s="376">
        <v>0</v>
      </c>
      <c r="Z78" s="379">
        <f t="shared" si="34"/>
        <v>0</v>
      </c>
      <c r="AA78" s="376"/>
      <c r="AB78" s="380"/>
      <c r="AC78" s="377"/>
      <c r="AD78" s="366"/>
      <c r="AE78" s="376"/>
      <c r="AF78" s="377"/>
      <c r="AG78" s="367"/>
      <c r="AH78" s="380"/>
      <c r="AI78" s="377"/>
      <c r="AJ78" s="367"/>
      <c r="AK78" s="432">
        <f t="shared" si="35"/>
        <v>0</v>
      </c>
      <c r="AL78" s="335"/>
    </row>
    <row r="79" spans="1:38" s="336" customFormat="1" ht="18" hidden="1" customHeight="1" x14ac:dyDescent="0.25">
      <c r="A79" s="256">
        <v>54310</v>
      </c>
      <c r="B79" s="1087" t="s">
        <v>63</v>
      </c>
      <c r="C79" s="384">
        <f>'egresos 25% y F.P'!C155</f>
        <v>0</v>
      </c>
      <c r="D79" s="369">
        <v>0</v>
      </c>
      <c r="E79" s="369">
        <v>0</v>
      </c>
      <c r="F79" s="369">
        <v>0</v>
      </c>
      <c r="G79" s="385">
        <f t="shared" si="30"/>
        <v>0</v>
      </c>
      <c r="H79" s="383">
        <f>'egresos 25% y F.P'!C47</f>
        <v>0</v>
      </c>
      <c r="I79" s="373">
        <f>'egresos 25% y F.P'!D47</f>
        <v>0</v>
      </c>
      <c r="J79" s="373">
        <f>'egresos 25% y F.P'!E47</f>
        <v>0</v>
      </c>
      <c r="K79" s="373">
        <f>'egresos 25% y F.P'!F47</f>
        <v>0</v>
      </c>
      <c r="L79" s="375">
        <f t="shared" si="32"/>
        <v>0</v>
      </c>
      <c r="M79" s="376">
        <v>0</v>
      </c>
      <c r="N79" s="377">
        <v>0</v>
      </c>
      <c r="O79" s="377">
        <v>0</v>
      </c>
      <c r="P79" s="377">
        <v>0</v>
      </c>
      <c r="Q79" s="377">
        <v>0</v>
      </c>
      <c r="R79" s="377">
        <v>0</v>
      </c>
      <c r="S79" s="362">
        <f t="shared" si="26"/>
        <v>0</v>
      </c>
      <c r="T79" s="377"/>
      <c r="U79" s="377"/>
      <c r="V79" s="406">
        <f t="shared" si="33"/>
        <v>0</v>
      </c>
      <c r="W79" s="378">
        <v>0</v>
      </c>
      <c r="X79" s="479">
        <v>0</v>
      </c>
      <c r="Y79" s="376">
        <v>0</v>
      </c>
      <c r="Z79" s="379">
        <f t="shared" si="34"/>
        <v>0</v>
      </c>
      <c r="AA79" s="376"/>
      <c r="AB79" s="380"/>
      <c r="AC79" s="377"/>
      <c r="AD79" s="366"/>
      <c r="AE79" s="376"/>
      <c r="AF79" s="377"/>
      <c r="AG79" s="367"/>
      <c r="AH79" s="380"/>
      <c r="AI79" s="377"/>
      <c r="AJ79" s="367"/>
      <c r="AK79" s="432">
        <f t="shared" si="35"/>
        <v>0</v>
      </c>
      <c r="AL79" s="335"/>
    </row>
    <row r="80" spans="1:38" s="336" customFormat="1" ht="18" hidden="1" customHeight="1" x14ac:dyDescent="0.25">
      <c r="A80" s="256">
        <v>54311</v>
      </c>
      <c r="B80" s="1087" t="s">
        <v>64</v>
      </c>
      <c r="C80" s="384">
        <f>'egresos 25% y F.P'!C156</f>
        <v>0</v>
      </c>
      <c r="D80" s="369">
        <v>0</v>
      </c>
      <c r="E80" s="369">
        <v>0</v>
      </c>
      <c r="F80" s="369">
        <v>0</v>
      </c>
      <c r="G80" s="385">
        <f t="shared" si="30"/>
        <v>0</v>
      </c>
      <c r="H80" s="383">
        <f>'egresos 25% y F.P'!C48</f>
        <v>0</v>
      </c>
      <c r="I80" s="373">
        <f>'egresos 25% y F.P'!D48</f>
        <v>0</v>
      </c>
      <c r="J80" s="373">
        <f>'egresos 25% y F.P'!E48</f>
        <v>0</v>
      </c>
      <c r="K80" s="373">
        <f>'egresos 25% y F.P'!F48</f>
        <v>0</v>
      </c>
      <c r="L80" s="375">
        <f t="shared" si="32"/>
        <v>0</v>
      </c>
      <c r="M80" s="376">
        <v>0</v>
      </c>
      <c r="N80" s="377">
        <v>0</v>
      </c>
      <c r="O80" s="377">
        <v>0</v>
      </c>
      <c r="P80" s="377">
        <v>0</v>
      </c>
      <c r="Q80" s="377">
        <v>0</v>
      </c>
      <c r="R80" s="377">
        <v>0</v>
      </c>
      <c r="S80" s="362">
        <f t="shared" si="26"/>
        <v>0</v>
      </c>
      <c r="T80" s="377"/>
      <c r="U80" s="377"/>
      <c r="V80" s="406">
        <f t="shared" si="33"/>
        <v>0</v>
      </c>
      <c r="W80" s="378">
        <v>0</v>
      </c>
      <c r="X80" s="479">
        <v>0</v>
      </c>
      <c r="Y80" s="376">
        <v>0</v>
      </c>
      <c r="Z80" s="379">
        <f t="shared" si="34"/>
        <v>0</v>
      </c>
      <c r="AA80" s="376"/>
      <c r="AB80" s="380"/>
      <c r="AC80" s="377"/>
      <c r="AD80" s="366"/>
      <c r="AE80" s="376"/>
      <c r="AF80" s="377"/>
      <c r="AG80" s="367"/>
      <c r="AH80" s="380"/>
      <c r="AI80" s="377"/>
      <c r="AJ80" s="367"/>
      <c r="AK80" s="432">
        <f t="shared" si="35"/>
        <v>0</v>
      </c>
      <c r="AL80" s="335"/>
    </row>
    <row r="81" spans="1:38" s="336" customFormat="1" ht="18" customHeight="1" x14ac:dyDescent="0.25">
      <c r="A81" s="256">
        <v>54313</v>
      </c>
      <c r="B81" s="1087" t="s">
        <v>65</v>
      </c>
      <c r="C81" s="384">
        <f>'egresos 25% y F.P'!C157</f>
        <v>100</v>
      </c>
      <c r="D81" s="369">
        <f>'egresos 25% y F.P'!D157</f>
        <v>100</v>
      </c>
      <c r="E81" s="369">
        <v>0</v>
      </c>
      <c r="F81" s="369">
        <v>0</v>
      </c>
      <c r="G81" s="385">
        <f t="shared" si="30"/>
        <v>200</v>
      </c>
      <c r="H81" s="383">
        <f>'egresos 25% y F.P'!C49</f>
        <v>0</v>
      </c>
      <c r="I81" s="373">
        <f>'egresos 25% y F.P'!D49</f>
        <v>0</v>
      </c>
      <c r="J81" s="373">
        <f>'egresos 25% y F.P'!E49</f>
        <v>0</v>
      </c>
      <c r="K81" s="373">
        <f>'egresos 25% y F.P'!F49</f>
        <v>0</v>
      </c>
      <c r="L81" s="375">
        <f t="shared" si="32"/>
        <v>0</v>
      </c>
      <c r="M81" s="376">
        <v>0</v>
      </c>
      <c r="N81" s="377">
        <v>0</v>
      </c>
      <c r="O81" s="377">
        <v>0</v>
      </c>
      <c r="P81" s="377">
        <v>0</v>
      </c>
      <c r="Q81" s="377">
        <v>0</v>
      </c>
      <c r="R81" s="377">
        <v>0</v>
      </c>
      <c r="S81" s="362">
        <f t="shared" si="26"/>
        <v>0</v>
      </c>
      <c r="T81" s="377"/>
      <c r="U81" s="377"/>
      <c r="V81" s="406">
        <f t="shared" si="33"/>
        <v>0</v>
      </c>
      <c r="W81" s="378">
        <v>0</v>
      </c>
      <c r="X81" s="479">
        <v>0</v>
      </c>
      <c r="Y81" s="376">
        <v>0</v>
      </c>
      <c r="Z81" s="379">
        <f t="shared" si="34"/>
        <v>0</v>
      </c>
      <c r="AA81" s="376"/>
      <c r="AB81" s="380"/>
      <c r="AC81" s="377"/>
      <c r="AD81" s="366"/>
      <c r="AE81" s="376"/>
      <c r="AF81" s="377"/>
      <c r="AG81" s="367"/>
      <c r="AH81" s="380"/>
      <c r="AI81" s="377"/>
      <c r="AJ81" s="367"/>
      <c r="AK81" s="432">
        <f t="shared" si="35"/>
        <v>200</v>
      </c>
      <c r="AL81" s="335"/>
    </row>
    <row r="82" spans="1:38" s="336" customFormat="1" ht="18" customHeight="1" x14ac:dyDescent="0.25">
      <c r="A82" s="256">
        <v>54314</v>
      </c>
      <c r="B82" s="1087" t="s">
        <v>66</v>
      </c>
      <c r="C82" s="401">
        <f>'egresos 25% y F.P'!C159</f>
        <v>10000</v>
      </c>
      <c r="D82" s="370">
        <v>0</v>
      </c>
      <c r="E82" s="370">
        <v>0</v>
      </c>
      <c r="F82" s="370">
        <v>0</v>
      </c>
      <c r="G82" s="402">
        <f t="shared" si="30"/>
        <v>10000</v>
      </c>
      <c r="H82" s="383">
        <f>'egresos 25% y F.P'!C50</f>
        <v>100</v>
      </c>
      <c r="I82" s="373">
        <f>'egresos 25% y F.P'!D50</f>
        <v>0</v>
      </c>
      <c r="J82" s="373">
        <f>'egresos 25% y F.P'!E50</f>
        <v>0</v>
      </c>
      <c r="K82" s="373">
        <f>'egresos 25% y F.P'!F50</f>
        <v>0</v>
      </c>
      <c r="L82" s="375">
        <f t="shared" si="32"/>
        <v>100</v>
      </c>
      <c r="M82" s="376">
        <v>0</v>
      </c>
      <c r="N82" s="377">
        <f>'AG3'!E115+'AG3'!E127+'AG3'!E135</f>
        <v>36414.11</v>
      </c>
      <c r="O82" s="377">
        <v>0</v>
      </c>
      <c r="P82" s="377">
        <v>0</v>
      </c>
      <c r="Q82" s="377">
        <v>0</v>
      </c>
      <c r="R82" s="377">
        <v>0</v>
      </c>
      <c r="S82" s="362">
        <f t="shared" si="26"/>
        <v>36414.11</v>
      </c>
      <c r="T82" s="377"/>
      <c r="U82" s="377"/>
      <c r="V82" s="406">
        <f t="shared" si="33"/>
        <v>0</v>
      </c>
      <c r="W82" s="378">
        <v>0</v>
      </c>
      <c r="X82" s="479">
        <v>0</v>
      </c>
      <c r="Y82" s="376">
        <v>0</v>
      </c>
      <c r="Z82" s="406">
        <f t="shared" si="34"/>
        <v>0</v>
      </c>
      <c r="AA82" s="376"/>
      <c r="AB82" s="380"/>
      <c r="AC82" s="377"/>
      <c r="AD82" s="366"/>
      <c r="AE82" s="376"/>
      <c r="AF82" s="377"/>
      <c r="AG82" s="367"/>
      <c r="AH82" s="380"/>
      <c r="AI82" s="377"/>
      <c r="AJ82" s="367"/>
      <c r="AK82" s="1118">
        <f t="shared" si="35"/>
        <v>46514.11</v>
      </c>
      <c r="AL82" s="335"/>
    </row>
    <row r="83" spans="1:38" s="336" customFormat="1" ht="18" hidden="1" customHeight="1" x14ac:dyDescent="0.25">
      <c r="A83" s="256">
        <v>54316</v>
      </c>
      <c r="B83" s="1087" t="s">
        <v>67</v>
      </c>
      <c r="C83" s="384"/>
      <c r="D83" s="369"/>
      <c r="E83" s="369"/>
      <c r="F83" s="394"/>
      <c r="G83" s="395">
        <f t="shared" si="30"/>
        <v>0</v>
      </c>
      <c r="H83" s="383">
        <f>'egresos 25% y F.P'!C51</f>
        <v>0</v>
      </c>
      <c r="I83" s="373">
        <f>'egresos 25% y F.P'!D51</f>
        <v>0</v>
      </c>
      <c r="J83" s="373">
        <f>'egresos 25% y F.P'!E51</f>
        <v>0</v>
      </c>
      <c r="K83" s="373">
        <f>'egresos 25% y F.P'!F51</f>
        <v>0</v>
      </c>
      <c r="L83" s="375">
        <f t="shared" si="32"/>
        <v>0</v>
      </c>
      <c r="M83" s="376">
        <v>0</v>
      </c>
      <c r="N83" s="377">
        <v>0</v>
      </c>
      <c r="O83" s="377">
        <v>0</v>
      </c>
      <c r="P83" s="377">
        <v>0</v>
      </c>
      <c r="Q83" s="377">
        <v>0</v>
      </c>
      <c r="R83" s="377">
        <v>0</v>
      </c>
      <c r="S83" s="362">
        <f t="shared" si="26"/>
        <v>0</v>
      </c>
      <c r="T83" s="377"/>
      <c r="U83" s="377"/>
      <c r="V83" s="406">
        <f t="shared" si="33"/>
        <v>0</v>
      </c>
      <c r="W83" s="378">
        <v>0</v>
      </c>
      <c r="X83" s="479">
        <v>0</v>
      </c>
      <c r="Y83" s="376">
        <v>0</v>
      </c>
      <c r="Z83" s="379">
        <f t="shared" si="34"/>
        <v>0</v>
      </c>
      <c r="AA83" s="376"/>
      <c r="AB83" s="380"/>
      <c r="AC83" s="377"/>
      <c r="AD83" s="366"/>
      <c r="AE83" s="376"/>
      <c r="AF83" s="377"/>
      <c r="AG83" s="367"/>
      <c r="AH83" s="380"/>
      <c r="AI83" s="377"/>
      <c r="AJ83" s="367"/>
      <c r="AK83" s="432">
        <f t="shared" si="35"/>
        <v>0</v>
      </c>
      <c r="AL83" s="335"/>
    </row>
    <row r="84" spans="1:38" s="336" customFormat="1" ht="18" customHeight="1" x14ac:dyDescent="0.25">
      <c r="A84" s="256">
        <v>54317</v>
      </c>
      <c r="B84" s="1087" t="s">
        <v>68</v>
      </c>
      <c r="C84" s="384">
        <f>'egresos 25% y F.P'!C160</f>
        <v>0</v>
      </c>
      <c r="D84" s="369">
        <v>0</v>
      </c>
      <c r="E84" s="369">
        <v>0</v>
      </c>
      <c r="F84" s="394">
        <f>'egresos 25% y F.P'!F161</f>
        <v>4500</v>
      </c>
      <c r="G84" s="371">
        <f t="shared" si="30"/>
        <v>4500</v>
      </c>
      <c r="H84" s="383">
        <f>'egresos 25% y F.P'!C52</f>
        <v>0</v>
      </c>
      <c r="I84" s="373">
        <f>'egresos 25% y F.P'!D52</f>
        <v>0</v>
      </c>
      <c r="J84" s="373">
        <f>'egresos 25% y F.P'!E52</f>
        <v>0</v>
      </c>
      <c r="K84" s="373">
        <f>'egresos 25% y F.P'!F52</f>
        <v>0</v>
      </c>
      <c r="L84" s="375">
        <f t="shared" si="32"/>
        <v>0</v>
      </c>
      <c r="M84" s="376">
        <v>0</v>
      </c>
      <c r="N84" s="377">
        <f>'AG3'!E116</f>
        <v>1200</v>
      </c>
      <c r="O84" s="377">
        <v>0</v>
      </c>
      <c r="P84" s="377">
        <v>0</v>
      </c>
      <c r="Q84" s="377">
        <v>0</v>
      </c>
      <c r="R84" s="377">
        <v>0</v>
      </c>
      <c r="S84" s="362">
        <f t="shared" si="26"/>
        <v>1200</v>
      </c>
      <c r="T84" s="377"/>
      <c r="U84" s="377"/>
      <c r="V84" s="406">
        <f t="shared" si="33"/>
        <v>0</v>
      </c>
      <c r="W84" s="378">
        <v>0</v>
      </c>
      <c r="X84" s="479">
        <v>0</v>
      </c>
      <c r="Y84" s="376">
        <v>0</v>
      </c>
      <c r="Z84" s="379">
        <f t="shared" si="34"/>
        <v>0</v>
      </c>
      <c r="AA84" s="376"/>
      <c r="AB84" s="380"/>
      <c r="AC84" s="377"/>
      <c r="AD84" s="366"/>
      <c r="AE84" s="376"/>
      <c r="AF84" s="377"/>
      <c r="AG84" s="367"/>
      <c r="AH84" s="380"/>
      <c r="AI84" s="377"/>
      <c r="AJ84" s="367"/>
      <c r="AK84" s="432">
        <f t="shared" si="35"/>
        <v>5700</v>
      </c>
      <c r="AL84" s="335"/>
    </row>
    <row r="85" spans="1:38" s="336" customFormat="1" ht="18" customHeight="1" x14ac:dyDescent="0.25">
      <c r="A85" s="256">
        <v>54399</v>
      </c>
      <c r="B85" s="1087" t="s">
        <v>69</v>
      </c>
      <c r="C85" s="384">
        <f>'egresos 25% y F.P'!C162</f>
        <v>1000</v>
      </c>
      <c r="D85" s="384">
        <f>'egresos 25% y F.P'!D162</f>
        <v>700</v>
      </c>
      <c r="E85" s="384">
        <f>'egresos 25% y F.P'!E162</f>
        <v>0</v>
      </c>
      <c r="F85" s="394">
        <f>+'egresos 25% y F.P'!F162</f>
        <v>300</v>
      </c>
      <c r="G85" s="371">
        <f t="shared" si="30"/>
        <v>2000</v>
      </c>
      <c r="H85" s="383">
        <f>'egresos 25% y F.P'!C53</f>
        <v>100</v>
      </c>
      <c r="I85" s="373">
        <f>'egresos 25% y F.P'!D53</f>
        <v>100</v>
      </c>
      <c r="J85" s="373">
        <f>'egresos 25% y F.P'!E53</f>
        <v>0</v>
      </c>
      <c r="K85" s="373">
        <f>'egresos 25% y F.P'!F53</f>
        <v>0</v>
      </c>
      <c r="L85" s="375">
        <f t="shared" si="32"/>
        <v>200</v>
      </c>
      <c r="M85" s="376">
        <v>0</v>
      </c>
      <c r="N85" s="377">
        <f>'AG3'!E31+'AG3'!E58+'AG3'!E117+'AG3'!E128+'AG3'!E136+'AG3'!E48</f>
        <v>30326.799999999999</v>
      </c>
      <c r="O85" s="377">
        <v>0</v>
      </c>
      <c r="P85" s="377">
        <v>0</v>
      </c>
      <c r="Q85" s="377">
        <v>0</v>
      </c>
      <c r="R85" s="377">
        <v>0</v>
      </c>
      <c r="S85" s="362">
        <f t="shared" si="26"/>
        <v>30326.799999999999</v>
      </c>
      <c r="T85" s="377"/>
      <c r="U85" s="377"/>
      <c r="V85" s="406">
        <f t="shared" si="33"/>
        <v>0</v>
      </c>
      <c r="W85" s="378">
        <v>0</v>
      </c>
      <c r="X85" s="479">
        <v>0</v>
      </c>
      <c r="Y85" s="376">
        <v>0</v>
      </c>
      <c r="Z85" s="379">
        <f t="shared" si="34"/>
        <v>0</v>
      </c>
      <c r="AA85" s="376"/>
      <c r="AB85" s="380"/>
      <c r="AC85" s="377"/>
      <c r="AD85" s="366"/>
      <c r="AE85" s="376"/>
      <c r="AF85" s="377"/>
      <c r="AG85" s="367"/>
      <c r="AH85" s="380"/>
      <c r="AI85" s="377"/>
      <c r="AJ85" s="367"/>
      <c r="AK85" s="432">
        <f t="shared" si="35"/>
        <v>32526.799999999999</v>
      </c>
      <c r="AL85" s="335"/>
    </row>
    <row r="86" spans="1:38" s="336" customFormat="1" ht="18" customHeight="1" x14ac:dyDescent="0.25">
      <c r="A86" s="254">
        <v>544</v>
      </c>
      <c r="B86" s="1089" t="s">
        <v>70</v>
      </c>
      <c r="C86" s="353">
        <f>SUM(C87:C90)</f>
        <v>4200</v>
      </c>
      <c r="D86" s="354">
        <f>SUM(D87:D90)</f>
        <v>200</v>
      </c>
      <c r="E86" s="354">
        <f>SUM(E87:E90)</f>
        <v>100</v>
      </c>
      <c r="F86" s="396">
        <f>SUM(F87:F90)</f>
        <v>200</v>
      </c>
      <c r="G86" s="355">
        <f>SUM(C86:F86)</f>
        <v>4700</v>
      </c>
      <c r="H86" s="382">
        <f>SUM(H87:H90)</f>
        <v>0</v>
      </c>
      <c r="I86" s="357">
        <f>SUM(I87:I89)</f>
        <v>0</v>
      </c>
      <c r="J86" s="357">
        <f>SUM(J87:J89)</f>
        <v>0</v>
      </c>
      <c r="K86" s="357">
        <f>SUM(K87:K89)</f>
        <v>0</v>
      </c>
      <c r="L86" s="359">
        <f>SUM(H86:K86)</f>
        <v>0</v>
      </c>
      <c r="M86" s="376">
        <v>0</v>
      </c>
      <c r="N86" s="377">
        <v>0</v>
      </c>
      <c r="O86" s="377">
        <v>0</v>
      </c>
      <c r="P86" s="377">
        <v>0</v>
      </c>
      <c r="Q86" s="377">
        <v>0</v>
      </c>
      <c r="R86" s="377">
        <v>0</v>
      </c>
      <c r="S86" s="388">
        <f t="shared" si="26"/>
        <v>0</v>
      </c>
      <c r="T86" s="377"/>
      <c r="U86" s="377"/>
      <c r="V86" s="406">
        <f t="shared" si="33"/>
        <v>0</v>
      </c>
      <c r="W86" s="378">
        <v>0</v>
      </c>
      <c r="X86" s="479">
        <v>0</v>
      </c>
      <c r="Y86" s="376">
        <v>0</v>
      </c>
      <c r="Z86" s="364">
        <f t="shared" si="34"/>
        <v>0</v>
      </c>
      <c r="AA86" s="376"/>
      <c r="AB86" s="380"/>
      <c r="AC86" s="377"/>
      <c r="AD86" s="366"/>
      <c r="AE86" s="376"/>
      <c r="AF86" s="377"/>
      <c r="AG86" s="367"/>
      <c r="AH86" s="380"/>
      <c r="AI86" s="377"/>
      <c r="AJ86" s="367"/>
      <c r="AK86" s="407">
        <f t="shared" si="35"/>
        <v>4700</v>
      </c>
      <c r="AL86" s="335"/>
    </row>
    <row r="87" spans="1:38" s="336" customFormat="1" ht="18" customHeight="1" x14ac:dyDescent="0.25">
      <c r="A87" s="256">
        <v>54401</v>
      </c>
      <c r="B87" s="1087" t="s">
        <v>71</v>
      </c>
      <c r="C87" s="384">
        <f>'egresos 25% y F.P'!C164</f>
        <v>50</v>
      </c>
      <c r="D87" s="369">
        <f>'egresos 25% y F.P'!D164</f>
        <v>100</v>
      </c>
      <c r="E87" s="369">
        <f>'egresos 25% y F.P'!E164</f>
        <v>50</v>
      </c>
      <c r="F87" s="369">
        <f>'egresos 25% y F.P'!F164</f>
        <v>50</v>
      </c>
      <c r="G87" s="385">
        <f t="shared" si="30"/>
        <v>250</v>
      </c>
      <c r="H87" s="383">
        <f>'egresos 25% y F.P'!C55</f>
        <v>0</v>
      </c>
      <c r="I87" s="373">
        <f>'egresos 25% y F.P'!D55</f>
        <v>0</v>
      </c>
      <c r="J87" s="373">
        <f>'egresos 25% y F.P'!E55</f>
        <v>0</v>
      </c>
      <c r="K87" s="373">
        <f>'egresos 25% y F.P'!F55</f>
        <v>0</v>
      </c>
      <c r="L87" s="375">
        <f>SUM(H87:K87)</f>
        <v>0</v>
      </c>
      <c r="M87" s="376">
        <v>0</v>
      </c>
      <c r="N87" s="377">
        <v>0</v>
      </c>
      <c r="O87" s="377">
        <v>0</v>
      </c>
      <c r="P87" s="377">
        <v>0</v>
      </c>
      <c r="Q87" s="377">
        <v>0</v>
      </c>
      <c r="R87" s="377">
        <v>0</v>
      </c>
      <c r="S87" s="362">
        <f t="shared" si="26"/>
        <v>0</v>
      </c>
      <c r="T87" s="377"/>
      <c r="U87" s="377"/>
      <c r="V87" s="406">
        <f t="shared" si="33"/>
        <v>0</v>
      </c>
      <c r="W87" s="378">
        <v>0</v>
      </c>
      <c r="X87" s="479">
        <v>0</v>
      </c>
      <c r="Y87" s="376">
        <v>0</v>
      </c>
      <c r="Z87" s="379">
        <f t="shared" si="34"/>
        <v>0</v>
      </c>
      <c r="AA87" s="376"/>
      <c r="AB87" s="380"/>
      <c r="AC87" s="377"/>
      <c r="AD87" s="366"/>
      <c r="AE87" s="376"/>
      <c r="AF87" s="377"/>
      <c r="AG87" s="367"/>
      <c r="AH87" s="380"/>
      <c r="AI87" s="377"/>
      <c r="AJ87" s="367"/>
      <c r="AK87" s="432">
        <f t="shared" si="35"/>
        <v>250</v>
      </c>
      <c r="AL87" s="335"/>
    </row>
    <row r="88" spans="1:38" s="336" customFormat="1" ht="18" customHeight="1" x14ac:dyDescent="0.25">
      <c r="A88" s="256">
        <v>54402</v>
      </c>
      <c r="B88" s="1087" t="s">
        <v>72</v>
      </c>
      <c r="C88" s="384"/>
      <c r="D88" s="369"/>
      <c r="E88" s="394"/>
      <c r="F88" s="394"/>
      <c r="G88" s="371">
        <f t="shared" si="30"/>
        <v>0</v>
      </c>
      <c r="H88" s="383"/>
      <c r="I88" s="373"/>
      <c r="J88" s="373"/>
      <c r="K88" s="373"/>
      <c r="L88" s="375">
        <f>SUM(H88:J88)</f>
        <v>0</v>
      </c>
      <c r="M88" s="376">
        <v>0</v>
      </c>
      <c r="N88" s="377">
        <v>0</v>
      </c>
      <c r="O88" s="377">
        <v>0</v>
      </c>
      <c r="P88" s="377">
        <v>0</v>
      </c>
      <c r="Q88" s="377">
        <v>0</v>
      </c>
      <c r="R88" s="377">
        <v>0</v>
      </c>
      <c r="S88" s="362">
        <f t="shared" si="26"/>
        <v>0</v>
      </c>
      <c r="T88" s="377"/>
      <c r="U88" s="377"/>
      <c r="V88" s="406">
        <f t="shared" si="33"/>
        <v>0</v>
      </c>
      <c r="W88" s="378">
        <v>0</v>
      </c>
      <c r="X88" s="479">
        <v>0</v>
      </c>
      <c r="Y88" s="376">
        <v>0</v>
      </c>
      <c r="Z88" s="379">
        <f t="shared" si="34"/>
        <v>0</v>
      </c>
      <c r="AA88" s="376"/>
      <c r="AB88" s="380"/>
      <c r="AC88" s="377"/>
      <c r="AD88" s="366"/>
      <c r="AE88" s="376"/>
      <c r="AF88" s="377"/>
      <c r="AG88" s="367"/>
      <c r="AH88" s="380"/>
      <c r="AI88" s="377"/>
      <c r="AJ88" s="367"/>
      <c r="AK88" s="432">
        <f t="shared" si="35"/>
        <v>0</v>
      </c>
      <c r="AL88" s="335"/>
    </row>
    <row r="89" spans="1:38" s="336" customFormat="1" ht="18" customHeight="1" x14ac:dyDescent="0.25">
      <c r="A89" s="256">
        <v>54403</v>
      </c>
      <c r="B89" s="1087" t="s">
        <v>73</v>
      </c>
      <c r="C89" s="384">
        <f>'egresos 25% y F.P'!C166</f>
        <v>150</v>
      </c>
      <c r="D89" s="369">
        <f>'egresos 25% y F.P'!D166</f>
        <v>100</v>
      </c>
      <c r="E89" s="394">
        <f>'egresos 25% y F.P'!E166</f>
        <v>50</v>
      </c>
      <c r="F89" s="394">
        <f>'egresos 25% y F.P'!F166</f>
        <v>150</v>
      </c>
      <c r="G89" s="371">
        <f>SUM(C89:F89)</f>
        <v>450</v>
      </c>
      <c r="H89" s="383">
        <f>'egresos 25% y F.P'!C57</f>
        <v>0</v>
      </c>
      <c r="I89" s="373">
        <f>'egresos 25% y F.P'!D57</f>
        <v>0</v>
      </c>
      <c r="J89" s="373">
        <f>'egresos 25% y F.P'!E57</f>
        <v>0</v>
      </c>
      <c r="K89" s="373">
        <f>'egresos 25% y F.P'!F57</f>
        <v>0</v>
      </c>
      <c r="L89" s="375">
        <f>SUM(H89:K89)</f>
        <v>0</v>
      </c>
      <c r="M89" s="376">
        <v>0</v>
      </c>
      <c r="N89" s="377">
        <v>0</v>
      </c>
      <c r="O89" s="377">
        <v>0</v>
      </c>
      <c r="P89" s="377">
        <v>0</v>
      </c>
      <c r="Q89" s="377">
        <v>0</v>
      </c>
      <c r="R89" s="377">
        <v>0</v>
      </c>
      <c r="S89" s="362">
        <f t="shared" si="26"/>
        <v>0</v>
      </c>
      <c r="T89" s="377"/>
      <c r="U89" s="377"/>
      <c r="V89" s="406">
        <f t="shared" si="33"/>
        <v>0</v>
      </c>
      <c r="W89" s="378">
        <v>0</v>
      </c>
      <c r="X89" s="479">
        <v>0</v>
      </c>
      <c r="Y89" s="376">
        <v>0</v>
      </c>
      <c r="Z89" s="379">
        <f t="shared" si="34"/>
        <v>0</v>
      </c>
      <c r="AA89" s="376"/>
      <c r="AB89" s="380"/>
      <c r="AC89" s="377"/>
      <c r="AD89" s="366"/>
      <c r="AE89" s="376"/>
      <c r="AF89" s="377"/>
      <c r="AG89" s="367"/>
      <c r="AH89" s="380"/>
      <c r="AI89" s="377"/>
      <c r="AJ89" s="367"/>
      <c r="AK89" s="432">
        <f t="shared" si="35"/>
        <v>450</v>
      </c>
      <c r="AL89" s="335"/>
    </row>
    <row r="90" spans="1:38" s="336" customFormat="1" ht="18" customHeight="1" x14ac:dyDescent="0.25">
      <c r="A90" s="256">
        <v>54404</v>
      </c>
      <c r="B90" s="1087" t="s">
        <v>74</v>
      </c>
      <c r="C90" s="384">
        <f>'egresos 25% y F.P'!C167</f>
        <v>4000</v>
      </c>
      <c r="D90" s="369">
        <f>'egresos 25% y F.P'!D167</f>
        <v>0</v>
      </c>
      <c r="E90" s="394">
        <f>'egresos 25% y F.P'!E167</f>
        <v>0</v>
      </c>
      <c r="F90" s="394">
        <f>'egresos 25% y F.P'!F167</f>
        <v>0</v>
      </c>
      <c r="G90" s="371">
        <f t="shared" si="30"/>
        <v>4000</v>
      </c>
      <c r="H90" s="383">
        <f>'egresos 25% y F.P'!C58</f>
        <v>0</v>
      </c>
      <c r="I90" s="373">
        <f>'egresos 25% y F.P'!D42</f>
        <v>0</v>
      </c>
      <c r="J90" s="373">
        <f>'egresos 25% y F.P'!E42</f>
        <v>0</v>
      </c>
      <c r="K90" s="373">
        <f>'egresos 25% y F.P'!F42</f>
        <v>0</v>
      </c>
      <c r="L90" s="375">
        <f t="shared" ref="L90:L99" si="36">SUM(H90:J90)</f>
        <v>0</v>
      </c>
      <c r="M90" s="376">
        <v>0</v>
      </c>
      <c r="N90" s="377">
        <v>0</v>
      </c>
      <c r="O90" s="377">
        <v>0</v>
      </c>
      <c r="P90" s="377">
        <v>0</v>
      </c>
      <c r="Q90" s="377">
        <v>0</v>
      </c>
      <c r="R90" s="377">
        <v>0</v>
      </c>
      <c r="S90" s="362">
        <f t="shared" si="26"/>
        <v>0</v>
      </c>
      <c r="T90" s="377"/>
      <c r="U90" s="377"/>
      <c r="V90" s="406">
        <f t="shared" si="33"/>
        <v>0</v>
      </c>
      <c r="W90" s="378">
        <v>0</v>
      </c>
      <c r="X90" s="479">
        <v>0</v>
      </c>
      <c r="Y90" s="376">
        <v>0</v>
      </c>
      <c r="Z90" s="379">
        <f t="shared" si="34"/>
        <v>0</v>
      </c>
      <c r="AA90" s="376"/>
      <c r="AB90" s="380"/>
      <c r="AC90" s="377"/>
      <c r="AD90" s="366"/>
      <c r="AE90" s="376"/>
      <c r="AF90" s="377"/>
      <c r="AG90" s="367"/>
      <c r="AH90" s="380"/>
      <c r="AI90" s="377"/>
      <c r="AJ90" s="367"/>
      <c r="AK90" s="432">
        <f t="shared" si="35"/>
        <v>4000</v>
      </c>
      <c r="AL90" s="335"/>
    </row>
    <row r="91" spans="1:38" s="352" customFormat="1" ht="18" customHeight="1" x14ac:dyDescent="0.25">
      <c r="A91" s="254">
        <v>545</v>
      </c>
      <c r="B91" s="1089" t="s">
        <v>75</v>
      </c>
      <c r="C91" s="353">
        <f>SUM(C92)</f>
        <v>0</v>
      </c>
      <c r="D91" s="386">
        <v>0</v>
      </c>
      <c r="E91" s="397">
        <v>0</v>
      </c>
      <c r="F91" s="397">
        <v>0</v>
      </c>
      <c r="G91" s="355">
        <f>SUM(C91:F91)</f>
        <v>0</v>
      </c>
      <c r="H91" s="382">
        <f>SUM(H92)</f>
        <v>0</v>
      </c>
      <c r="I91" s="357">
        <v>0</v>
      </c>
      <c r="J91" s="357">
        <v>0</v>
      </c>
      <c r="K91" s="357">
        <v>0</v>
      </c>
      <c r="L91" s="359">
        <f>SUM(L92)</f>
        <v>0</v>
      </c>
      <c r="M91" s="360">
        <v>0</v>
      </c>
      <c r="N91" s="361">
        <v>0</v>
      </c>
      <c r="O91" s="361">
        <v>0</v>
      </c>
      <c r="P91" s="361">
        <v>0</v>
      </c>
      <c r="Q91" s="361">
        <v>0</v>
      </c>
      <c r="R91" s="361">
        <v>0</v>
      </c>
      <c r="S91" s="362">
        <f t="shared" si="26"/>
        <v>0</v>
      </c>
      <c r="T91" s="361"/>
      <c r="U91" s="361"/>
      <c r="V91" s="1073">
        <f t="shared" si="33"/>
        <v>0</v>
      </c>
      <c r="W91" s="363">
        <f>+W93</f>
        <v>0</v>
      </c>
      <c r="X91" s="478">
        <v>0</v>
      </c>
      <c r="Y91" s="360">
        <v>0</v>
      </c>
      <c r="Z91" s="364">
        <f t="shared" si="34"/>
        <v>0</v>
      </c>
      <c r="AA91" s="360"/>
      <c r="AB91" s="365"/>
      <c r="AC91" s="361"/>
      <c r="AD91" s="398"/>
      <c r="AE91" s="360"/>
      <c r="AF91" s="361"/>
      <c r="AG91" s="399"/>
      <c r="AH91" s="365"/>
      <c r="AI91" s="361"/>
      <c r="AJ91" s="399"/>
      <c r="AK91" s="407">
        <f t="shared" si="35"/>
        <v>0</v>
      </c>
      <c r="AL91" s="351"/>
    </row>
    <row r="92" spans="1:38" s="336" customFormat="1" ht="18" customHeight="1" x14ac:dyDescent="0.25">
      <c r="A92" s="256">
        <v>54503</v>
      </c>
      <c r="B92" s="1087" t="s">
        <v>77</v>
      </c>
      <c r="C92" s="384">
        <f>+'egresos 25% y F.P'!C170</f>
        <v>0</v>
      </c>
      <c r="D92" s="369">
        <v>0</v>
      </c>
      <c r="E92" s="394">
        <v>0</v>
      </c>
      <c r="F92" s="394">
        <v>0</v>
      </c>
      <c r="G92" s="371">
        <f>SUM(C92:F92)</f>
        <v>0</v>
      </c>
      <c r="H92" s="383">
        <f>+'egresos 25% y F.P'!C61</f>
        <v>0</v>
      </c>
      <c r="I92" s="373">
        <v>0</v>
      </c>
      <c r="J92" s="373">
        <v>0</v>
      </c>
      <c r="K92" s="373">
        <v>0</v>
      </c>
      <c r="L92" s="375">
        <f>+'egresos 25% y F.P'!G61</f>
        <v>0</v>
      </c>
      <c r="M92" s="376">
        <v>0</v>
      </c>
      <c r="N92" s="377">
        <v>0</v>
      </c>
      <c r="O92" s="377">
        <v>0</v>
      </c>
      <c r="P92" s="377">
        <v>0</v>
      </c>
      <c r="Q92" s="377">
        <v>0</v>
      </c>
      <c r="R92" s="377">
        <v>0</v>
      </c>
      <c r="S92" s="362">
        <f t="shared" si="26"/>
        <v>0</v>
      </c>
      <c r="T92" s="377"/>
      <c r="U92" s="377"/>
      <c r="V92" s="406">
        <f t="shared" si="33"/>
        <v>0</v>
      </c>
      <c r="W92" s="378">
        <v>0</v>
      </c>
      <c r="X92" s="479">
        <v>0</v>
      </c>
      <c r="Y92" s="376">
        <v>0</v>
      </c>
      <c r="Z92" s="379">
        <f t="shared" si="34"/>
        <v>0</v>
      </c>
      <c r="AA92" s="376"/>
      <c r="AB92" s="380"/>
      <c r="AC92" s="377"/>
      <c r="AD92" s="366"/>
      <c r="AE92" s="376"/>
      <c r="AF92" s="377"/>
      <c r="AG92" s="367"/>
      <c r="AH92" s="380"/>
      <c r="AI92" s="377"/>
      <c r="AJ92" s="367"/>
      <c r="AK92" s="432">
        <f t="shared" si="35"/>
        <v>0</v>
      </c>
      <c r="AL92" s="335"/>
    </row>
    <row r="93" spans="1:38" s="336" customFormat="1" ht="18" hidden="1" customHeight="1" x14ac:dyDescent="0.25">
      <c r="A93" s="256">
        <v>54599</v>
      </c>
      <c r="B93" s="1087" t="s">
        <v>493</v>
      </c>
      <c r="C93" s="384">
        <v>0</v>
      </c>
      <c r="D93" s="369">
        <v>0</v>
      </c>
      <c r="E93" s="394">
        <v>0</v>
      </c>
      <c r="F93" s="394">
        <v>0</v>
      </c>
      <c r="G93" s="371">
        <v>0</v>
      </c>
      <c r="H93" s="383">
        <v>0</v>
      </c>
      <c r="I93" s="373">
        <v>0</v>
      </c>
      <c r="J93" s="373">
        <v>0</v>
      </c>
      <c r="K93" s="373">
        <v>0</v>
      </c>
      <c r="L93" s="375">
        <v>0</v>
      </c>
      <c r="M93" s="376">
        <v>0</v>
      </c>
      <c r="N93" s="377">
        <v>0</v>
      </c>
      <c r="O93" s="377">
        <v>0</v>
      </c>
      <c r="P93" s="377">
        <v>0</v>
      </c>
      <c r="Q93" s="377">
        <v>0</v>
      </c>
      <c r="R93" s="377">
        <v>0</v>
      </c>
      <c r="S93" s="362">
        <v>0</v>
      </c>
      <c r="T93" s="377"/>
      <c r="U93" s="377"/>
      <c r="V93" s="406">
        <f t="shared" si="33"/>
        <v>0</v>
      </c>
      <c r="W93" s="378">
        <f>+'AG4'!G40</f>
        <v>0</v>
      </c>
      <c r="X93" s="479">
        <v>0</v>
      </c>
      <c r="Y93" s="376">
        <v>0</v>
      </c>
      <c r="Z93" s="379">
        <v>0</v>
      </c>
      <c r="AA93" s="376"/>
      <c r="AB93" s="380"/>
      <c r="AC93" s="377"/>
      <c r="AD93" s="366"/>
      <c r="AE93" s="376"/>
      <c r="AF93" s="377"/>
      <c r="AG93" s="367"/>
      <c r="AH93" s="380"/>
      <c r="AI93" s="377"/>
      <c r="AJ93" s="367"/>
      <c r="AK93" s="432">
        <f t="shared" si="35"/>
        <v>0</v>
      </c>
      <c r="AL93" s="335"/>
    </row>
    <row r="94" spans="1:38" s="336" customFormat="1" ht="18" customHeight="1" x14ac:dyDescent="0.25">
      <c r="A94" s="254">
        <v>55</v>
      </c>
      <c r="B94" s="1089" t="s">
        <v>83</v>
      </c>
      <c r="C94" s="400">
        <f>+C95+C101+C103</f>
        <v>728.86</v>
      </c>
      <c r="D94" s="400">
        <f t="shared" ref="D94:F94" si="37">+D95+D101+D103</f>
        <v>257.18</v>
      </c>
      <c r="E94" s="400">
        <f t="shared" si="37"/>
        <v>0</v>
      </c>
      <c r="F94" s="400">
        <f t="shared" si="37"/>
        <v>120.01</v>
      </c>
      <c r="G94" s="355">
        <f>F94+D94+C94</f>
        <v>1106.05</v>
      </c>
      <c r="H94" s="382">
        <f>H95+H101+H103</f>
        <v>4050</v>
      </c>
      <c r="I94" s="358">
        <f t="shared" ref="I94:J94" si="38">I95+I101+I103</f>
        <v>100</v>
      </c>
      <c r="J94" s="357">
        <f t="shared" si="38"/>
        <v>0</v>
      </c>
      <c r="K94" s="357">
        <f>K95+K101+K103</f>
        <v>120.01</v>
      </c>
      <c r="L94" s="359">
        <f>SUM(H94:K94)</f>
        <v>4270.01</v>
      </c>
      <c r="M94" s="376">
        <v>0</v>
      </c>
      <c r="N94" s="377">
        <v>0</v>
      </c>
      <c r="O94" s="377">
        <v>0</v>
      </c>
      <c r="P94" s="361">
        <f>P95+P103</f>
        <v>0</v>
      </c>
      <c r="Q94" s="361">
        <f>Q95+Q103</f>
        <v>63199.569999999992</v>
      </c>
      <c r="R94" s="361">
        <f>R95+R103</f>
        <v>4638.53</v>
      </c>
      <c r="S94" s="388">
        <f>M94+N94+O94+P94+Q94+R94</f>
        <v>67838.099999999991</v>
      </c>
      <c r="T94" s="377"/>
      <c r="U94" s="377"/>
      <c r="V94" s="406">
        <f t="shared" si="33"/>
        <v>0</v>
      </c>
      <c r="W94" s="363">
        <v>0</v>
      </c>
      <c r="X94" s="478">
        <v>0</v>
      </c>
      <c r="Y94" s="360">
        <v>0</v>
      </c>
      <c r="Z94" s="364">
        <f t="shared" si="34"/>
        <v>0</v>
      </c>
      <c r="AA94" s="376"/>
      <c r="AB94" s="380"/>
      <c r="AC94" s="377"/>
      <c r="AD94" s="366"/>
      <c r="AE94" s="376"/>
      <c r="AF94" s="377"/>
      <c r="AG94" s="367"/>
      <c r="AH94" s="380"/>
      <c r="AI94" s="377"/>
      <c r="AJ94" s="367"/>
      <c r="AK94" s="407">
        <f t="shared" si="35"/>
        <v>73214.159999999989</v>
      </c>
      <c r="AL94" s="335"/>
    </row>
    <row r="95" spans="1:38" s="336" customFormat="1" ht="18" customHeight="1" x14ac:dyDescent="0.25">
      <c r="A95" s="254">
        <v>553</v>
      </c>
      <c r="B95" s="1089" t="s">
        <v>84</v>
      </c>
      <c r="C95" s="400">
        <f>C97+C98+C99</f>
        <v>0</v>
      </c>
      <c r="D95" s="354">
        <f>D97+D98+D99</f>
        <v>0</v>
      </c>
      <c r="E95" s="354">
        <f>E97+E98+E99</f>
        <v>0</v>
      </c>
      <c r="F95" s="396">
        <f>F97+F98+F99</f>
        <v>0</v>
      </c>
      <c r="G95" s="355">
        <v>0</v>
      </c>
      <c r="H95" s="382">
        <f>SUM(H97:H99)</f>
        <v>0</v>
      </c>
      <c r="I95" s="357">
        <f>SUM(I97:I99)</f>
        <v>0</v>
      </c>
      <c r="J95" s="357">
        <f>SUM(J97:J99)</f>
        <v>0</v>
      </c>
      <c r="K95" s="357">
        <f>SUM(K97:K99)</f>
        <v>0</v>
      </c>
      <c r="L95" s="359">
        <f t="shared" si="36"/>
        <v>0</v>
      </c>
      <c r="M95" s="376">
        <v>0</v>
      </c>
      <c r="N95" s="377">
        <v>0</v>
      </c>
      <c r="O95" s="377">
        <v>0</v>
      </c>
      <c r="P95" s="361">
        <f>SUM(P96:P102)</f>
        <v>0</v>
      </c>
      <c r="Q95" s="361">
        <f>SUM(Q96:Q100)</f>
        <v>63199.569999999992</v>
      </c>
      <c r="R95" s="361">
        <f>SUM(R96:R102)</f>
        <v>4638.53</v>
      </c>
      <c r="S95" s="388">
        <f>M95+N95+O95+P95+Q95+R95</f>
        <v>67838.099999999991</v>
      </c>
      <c r="T95" s="377"/>
      <c r="U95" s="377"/>
      <c r="V95" s="406">
        <f t="shared" si="33"/>
        <v>0</v>
      </c>
      <c r="W95" s="363">
        <v>0</v>
      </c>
      <c r="X95" s="478">
        <v>0</v>
      </c>
      <c r="Y95" s="360">
        <v>0</v>
      </c>
      <c r="Z95" s="364">
        <f t="shared" si="34"/>
        <v>0</v>
      </c>
      <c r="AA95" s="376"/>
      <c r="AB95" s="380"/>
      <c r="AC95" s="377"/>
      <c r="AD95" s="366"/>
      <c r="AE95" s="376"/>
      <c r="AF95" s="377"/>
      <c r="AG95" s="367"/>
      <c r="AH95" s="380"/>
      <c r="AI95" s="377"/>
      <c r="AJ95" s="367"/>
      <c r="AK95" s="407">
        <f t="shared" si="35"/>
        <v>67838.099999999991</v>
      </c>
      <c r="AL95" s="335"/>
    </row>
    <row r="96" spans="1:38" s="336" customFormat="1" ht="18" customHeight="1" x14ac:dyDescent="0.25">
      <c r="A96" s="256">
        <v>55302</v>
      </c>
      <c r="B96" s="1087" t="s">
        <v>507</v>
      </c>
      <c r="C96" s="401">
        <v>0</v>
      </c>
      <c r="D96" s="370">
        <v>0</v>
      </c>
      <c r="E96" s="369">
        <v>0</v>
      </c>
      <c r="F96" s="369">
        <v>0</v>
      </c>
      <c r="G96" s="385">
        <v>0</v>
      </c>
      <c r="H96" s="383">
        <v>0</v>
      </c>
      <c r="I96" s="373">
        <v>0</v>
      </c>
      <c r="J96" s="373">
        <v>0</v>
      </c>
      <c r="K96" s="373">
        <v>0</v>
      </c>
      <c r="L96" s="375">
        <f t="shared" si="36"/>
        <v>0</v>
      </c>
      <c r="M96" s="376">
        <v>0</v>
      </c>
      <c r="N96" s="377">
        <v>0</v>
      </c>
      <c r="O96" s="377">
        <v>0</v>
      </c>
      <c r="P96" s="377">
        <v>0</v>
      </c>
      <c r="Q96" s="377">
        <v>0</v>
      </c>
      <c r="R96" s="377">
        <f>'AG5'!H19</f>
        <v>4638.53</v>
      </c>
      <c r="S96" s="362">
        <f>M96+N96+O96+P96+Q96+R96</f>
        <v>4638.53</v>
      </c>
      <c r="T96" s="377"/>
      <c r="U96" s="377"/>
      <c r="V96" s="406">
        <f t="shared" si="33"/>
        <v>0</v>
      </c>
      <c r="W96" s="378">
        <v>0</v>
      </c>
      <c r="X96" s="479">
        <v>0</v>
      </c>
      <c r="Y96" s="376"/>
      <c r="Z96" s="379"/>
      <c r="AA96" s="376"/>
      <c r="AB96" s="380"/>
      <c r="AC96" s="377"/>
      <c r="AD96" s="366"/>
      <c r="AE96" s="376"/>
      <c r="AF96" s="377"/>
      <c r="AG96" s="367"/>
      <c r="AH96" s="380"/>
      <c r="AI96" s="377"/>
      <c r="AJ96" s="367"/>
      <c r="AK96" s="432">
        <f t="shared" si="35"/>
        <v>4638.53</v>
      </c>
      <c r="AL96" s="335"/>
    </row>
    <row r="97" spans="1:38" s="336" customFormat="1" ht="18" hidden="1" customHeight="1" x14ac:dyDescent="0.25">
      <c r="A97" s="256">
        <v>55303</v>
      </c>
      <c r="B97" s="1087" t="s">
        <v>85</v>
      </c>
      <c r="C97" s="401"/>
      <c r="D97" s="370"/>
      <c r="E97" s="369"/>
      <c r="F97" s="369">
        <v>0</v>
      </c>
      <c r="G97" s="385">
        <v>0</v>
      </c>
      <c r="H97" s="383"/>
      <c r="I97" s="373"/>
      <c r="J97" s="373"/>
      <c r="K97" s="373"/>
      <c r="L97" s="375">
        <f t="shared" si="36"/>
        <v>0</v>
      </c>
      <c r="M97" s="376">
        <v>0</v>
      </c>
      <c r="N97" s="377">
        <v>0</v>
      </c>
      <c r="O97" s="377">
        <v>0</v>
      </c>
      <c r="P97" s="377">
        <f>+'AG5'!C20</f>
        <v>0</v>
      </c>
      <c r="Q97" s="377">
        <v>0</v>
      </c>
      <c r="R97" s="377">
        <v>0</v>
      </c>
      <c r="S97" s="362">
        <f>M97+N97+O97+P97+Q97+R97</f>
        <v>0</v>
      </c>
      <c r="T97" s="377"/>
      <c r="U97" s="377"/>
      <c r="V97" s="406">
        <f t="shared" si="33"/>
        <v>0</v>
      </c>
      <c r="W97" s="378"/>
      <c r="X97" s="479"/>
      <c r="Y97" s="376"/>
      <c r="Z97" s="379">
        <f t="shared" si="34"/>
        <v>0</v>
      </c>
      <c r="AA97" s="376"/>
      <c r="AB97" s="380"/>
      <c r="AC97" s="377"/>
      <c r="AD97" s="366"/>
      <c r="AE97" s="376"/>
      <c r="AF97" s="377"/>
      <c r="AG97" s="367"/>
      <c r="AH97" s="380"/>
      <c r="AI97" s="377"/>
      <c r="AJ97" s="367"/>
      <c r="AK97" s="432">
        <f t="shared" si="35"/>
        <v>0</v>
      </c>
      <c r="AL97" s="335"/>
    </row>
    <row r="98" spans="1:38" s="336" customFormat="1" ht="18" customHeight="1" x14ac:dyDescent="0.25">
      <c r="A98" s="256">
        <v>55304</v>
      </c>
      <c r="B98" s="1087" t="s">
        <v>86</v>
      </c>
      <c r="C98" s="401">
        <v>0</v>
      </c>
      <c r="D98" s="370">
        <v>0</v>
      </c>
      <c r="E98" s="369">
        <v>0</v>
      </c>
      <c r="F98" s="369">
        <v>0</v>
      </c>
      <c r="G98" s="385">
        <v>0</v>
      </c>
      <c r="H98" s="383">
        <v>0</v>
      </c>
      <c r="I98" s="373">
        <v>0</v>
      </c>
      <c r="J98" s="373">
        <v>0</v>
      </c>
      <c r="K98" s="373">
        <v>0</v>
      </c>
      <c r="L98" s="375">
        <f t="shared" si="36"/>
        <v>0</v>
      </c>
      <c r="M98" s="376">
        <v>0</v>
      </c>
      <c r="N98" s="377">
        <v>0</v>
      </c>
      <c r="O98" s="377">
        <v>0</v>
      </c>
      <c r="P98" s="377">
        <v>0</v>
      </c>
      <c r="Q98" s="377">
        <f>'AG5'!H21</f>
        <v>63199.569999999992</v>
      </c>
      <c r="R98" s="377">
        <v>0</v>
      </c>
      <c r="S98" s="362">
        <f>M98+N98+O98+P98+Q98+R98</f>
        <v>63199.569999999992</v>
      </c>
      <c r="T98" s="377"/>
      <c r="U98" s="377"/>
      <c r="V98" s="406">
        <f t="shared" si="33"/>
        <v>0</v>
      </c>
      <c r="W98" s="378">
        <v>0</v>
      </c>
      <c r="X98" s="479">
        <v>0</v>
      </c>
      <c r="Y98" s="376">
        <v>0</v>
      </c>
      <c r="Z98" s="379">
        <v>0</v>
      </c>
      <c r="AA98" s="376"/>
      <c r="AB98" s="380"/>
      <c r="AC98" s="377"/>
      <c r="AD98" s="366"/>
      <c r="AE98" s="376"/>
      <c r="AF98" s="377"/>
      <c r="AG98" s="367"/>
      <c r="AH98" s="380"/>
      <c r="AI98" s="377"/>
      <c r="AJ98" s="367"/>
      <c r="AK98" s="432">
        <f t="shared" si="35"/>
        <v>63199.569999999992</v>
      </c>
      <c r="AL98" s="335"/>
    </row>
    <row r="99" spans="1:38" s="336" customFormat="1" ht="18" hidden="1" customHeight="1" x14ac:dyDescent="0.25">
      <c r="A99" s="256">
        <v>55306</v>
      </c>
      <c r="B99" s="1087" t="s">
        <v>257</v>
      </c>
      <c r="C99" s="401"/>
      <c r="D99" s="370"/>
      <c r="E99" s="369"/>
      <c r="F99" s="369"/>
      <c r="G99" s="385"/>
      <c r="H99" s="383">
        <v>0</v>
      </c>
      <c r="I99" s="373">
        <v>0</v>
      </c>
      <c r="J99" s="373">
        <v>0</v>
      </c>
      <c r="K99" s="373">
        <v>0</v>
      </c>
      <c r="L99" s="375">
        <f t="shared" si="36"/>
        <v>0</v>
      </c>
      <c r="M99" s="376">
        <v>0</v>
      </c>
      <c r="N99" s="377">
        <v>0</v>
      </c>
      <c r="O99" s="377">
        <v>0</v>
      </c>
      <c r="P99" s="377"/>
      <c r="Q99" s="377"/>
      <c r="R99" s="377"/>
      <c r="S99" s="362">
        <f>M99+N99+O99+P99</f>
        <v>0</v>
      </c>
      <c r="T99" s="377"/>
      <c r="U99" s="377"/>
      <c r="V99" s="406">
        <f t="shared" si="33"/>
        <v>0</v>
      </c>
      <c r="W99" s="378">
        <v>0</v>
      </c>
      <c r="X99" s="479">
        <v>0</v>
      </c>
      <c r="Y99" s="376">
        <v>0</v>
      </c>
      <c r="Z99" s="379">
        <v>0</v>
      </c>
      <c r="AA99" s="376"/>
      <c r="AB99" s="380"/>
      <c r="AC99" s="377"/>
      <c r="AD99" s="366"/>
      <c r="AE99" s="376"/>
      <c r="AF99" s="377"/>
      <c r="AG99" s="367"/>
      <c r="AH99" s="380"/>
      <c r="AI99" s="377"/>
      <c r="AJ99" s="367"/>
      <c r="AK99" s="432">
        <f t="shared" si="35"/>
        <v>0</v>
      </c>
      <c r="AL99" s="335"/>
    </row>
    <row r="100" spans="1:38" s="336" customFormat="1" ht="18" hidden="1" customHeight="1" x14ac:dyDescent="0.25">
      <c r="A100" s="256">
        <v>55308</v>
      </c>
      <c r="B100" s="1087" t="s">
        <v>237</v>
      </c>
      <c r="C100" s="401"/>
      <c r="D100" s="370"/>
      <c r="E100" s="369"/>
      <c r="F100" s="369"/>
      <c r="G100" s="385"/>
      <c r="H100" s="383">
        <v>0</v>
      </c>
      <c r="I100" s="373">
        <v>0</v>
      </c>
      <c r="J100" s="373">
        <v>0</v>
      </c>
      <c r="K100" s="373">
        <v>0</v>
      </c>
      <c r="L100" s="375"/>
      <c r="M100" s="376">
        <v>0</v>
      </c>
      <c r="N100" s="377">
        <v>0</v>
      </c>
      <c r="O100" s="377">
        <v>0</v>
      </c>
      <c r="P100" s="377"/>
      <c r="Q100" s="377"/>
      <c r="R100" s="377"/>
      <c r="S100" s="362"/>
      <c r="T100" s="377"/>
      <c r="U100" s="377"/>
      <c r="V100" s="406">
        <f t="shared" si="33"/>
        <v>0</v>
      </c>
      <c r="W100" s="378">
        <v>0</v>
      </c>
      <c r="X100" s="479">
        <v>0</v>
      </c>
      <c r="Y100" s="376">
        <v>0</v>
      </c>
      <c r="Z100" s="379">
        <v>0</v>
      </c>
      <c r="AA100" s="376"/>
      <c r="AB100" s="380"/>
      <c r="AC100" s="377"/>
      <c r="AD100" s="366"/>
      <c r="AE100" s="376"/>
      <c r="AF100" s="377"/>
      <c r="AG100" s="367"/>
      <c r="AH100" s="380"/>
      <c r="AI100" s="377"/>
      <c r="AJ100" s="367"/>
      <c r="AK100" s="432">
        <f t="shared" si="35"/>
        <v>0</v>
      </c>
      <c r="AL100" s="335"/>
    </row>
    <row r="101" spans="1:38" s="352" customFormat="1" ht="18" customHeight="1" x14ac:dyDescent="0.25">
      <c r="A101" s="254">
        <v>555</v>
      </c>
      <c r="B101" s="1089" t="s">
        <v>486</v>
      </c>
      <c r="C101" s="400">
        <f>SUM(C102)</f>
        <v>28.86</v>
      </c>
      <c r="D101" s="354">
        <v>0</v>
      </c>
      <c r="E101" s="386">
        <v>0</v>
      </c>
      <c r="F101" s="386">
        <f>SUM(F102)</f>
        <v>120.01</v>
      </c>
      <c r="G101" s="387">
        <f>+C101+D101+E101+F101</f>
        <v>148.87</v>
      </c>
      <c r="H101" s="357">
        <f t="shared" ref="H101:J101" si="39">H102</f>
        <v>50</v>
      </c>
      <c r="I101" s="357">
        <f t="shared" si="39"/>
        <v>0</v>
      </c>
      <c r="J101" s="357">
        <f t="shared" si="39"/>
        <v>0</v>
      </c>
      <c r="K101" s="357">
        <f>K102</f>
        <v>120.01</v>
      </c>
      <c r="L101" s="359">
        <f>L102</f>
        <v>170.01</v>
      </c>
      <c r="M101" s="360">
        <v>0</v>
      </c>
      <c r="N101" s="361">
        <v>0</v>
      </c>
      <c r="O101" s="361">
        <v>0</v>
      </c>
      <c r="P101" s="361">
        <v>0</v>
      </c>
      <c r="Q101" s="361">
        <v>0</v>
      </c>
      <c r="R101" s="361">
        <v>0</v>
      </c>
      <c r="S101" s="388">
        <v>0</v>
      </c>
      <c r="T101" s="361"/>
      <c r="U101" s="361"/>
      <c r="V101" s="1073">
        <f t="shared" si="33"/>
        <v>0</v>
      </c>
      <c r="W101" s="363">
        <v>0</v>
      </c>
      <c r="X101" s="478">
        <v>0</v>
      </c>
      <c r="Y101" s="360">
        <v>0</v>
      </c>
      <c r="Z101" s="364">
        <v>0</v>
      </c>
      <c r="AA101" s="360"/>
      <c r="AB101" s="365"/>
      <c r="AC101" s="361"/>
      <c r="AD101" s="398"/>
      <c r="AE101" s="360"/>
      <c r="AF101" s="361"/>
      <c r="AG101" s="399"/>
      <c r="AH101" s="365"/>
      <c r="AI101" s="361"/>
      <c r="AJ101" s="399"/>
      <c r="AK101" s="407">
        <f t="shared" si="35"/>
        <v>318.88</v>
      </c>
      <c r="AL101" s="351"/>
    </row>
    <row r="102" spans="1:38" s="336" customFormat="1" ht="18" customHeight="1" x14ac:dyDescent="0.25">
      <c r="A102" s="256">
        <v>55508</v>
      </c>
      <c r="B102" s="1087" t="s">
        <v>338</v>
      </c>
      <c r="C102" s="401">
        <f>+'egresos 25% y F.P'!C183</f>
        <v>28.86</v>
      </c>
      <c r="D102" s="370">
        <v>0</v>
      </c>
      <c r="E102" s="369">
        <v>0</v>
      </c>
      <c r="F102" s="369">
        <f>'egresos 25% y F.P'!F183</f>
        <v>120.01</v>
      </c>
      <c r="G102" s="385">
        <f>SUM(C102:F102)</f>
        <v>148.87</v>
      </c>
      <c r="H102" s="383">
        <f>'egresos 25% y F.P'!C74</f>
        <v>50</v>
      </c>
      <c r="I102" s="373">
        <f>'egresos 25% y F.P'!D74</f>
        <v>0</v>
      </c>
      <c r="J102" s="373">
        <f>'egresos 25% y F.P'!E74</f>
        <v>0</v>
      </c>
      <c r="K102" s="373">
        <f>'egresos 25% y F.P'!F74</f>
        <v>120.01</v>
      </c>
      <c r="L102" s="375">
        <f>+K102+J102+I102+H102</f>
        <v>170.01</v>
      </c>
      <c r="M102" s="376">
        <v>0</v>
      </c>
      <c r="N102" s="377">
        <v>0</v>
      </c>
      <c r="O102" s="377">
        <v>0</v>
      </c>
      <c r="P102" s="377">
        <v>0</v>
      </c>
      <c r="Q102" s="377">
        <v>0</v>
      </c>
      <c r="R102" s="377">
        <v>0</v>
      </c>
      <c r="S102" s="362">
        <f>M102+N102+O102+P102+Q102+R102</f>
        <v>0</v>
      </c>
      <c r="T102" s="377"/>
      <c r="U102" s="377"/>
      <c r="V102" s="406">
        <f t="shared" si="33"/>
        <v>0</v>
      </c>
      <c r="W102" s="378">
        <v>0</v>
      </c>
      <c r="X102" s="479">
        <v>0</v>
      </c>
      <c r="Y102" s="376">
        <v>0</v>
      </c>
      <c r="Z102" s="379">
        <v>0</v>
      </c>
      <c r="AA102" s="376"/>
      <c r="AB102" s="380"/>
      <c r="AC102" s="377"/>
      <c r="AD102" s="366"/>
      <c r="AE102" s="376"/>
      <c r="AF102" s="377"/>
      <c r="AG102" s="367"/>
      <c r="AH102" s="380"/>
      <c r="AI102" s="377"/>
      <c r="AJ102" s="367"/>
      <c r="AK102" s="432">
        <f t="shared" si="35"/>
        <v>318.88</v>
      </c>
      <c r="AL102" s="335"/>
    </row>
    <row r="103" spans="1:38" s="336" customFormat="1" ht="18" customHeight="1" x14ac:dyDescent="0.25">
      <c r="A103" s="254">
        <v>556</v>
      </c>
      <c r="B103" s="1089" t="s">
        <v>88</v>
      </c>
      <c r="C103" s="400">
        <f>C104+C105+C106</f>
        <v>700</v>
      </c>
      <c r="D103" s="354">
        <f>D104+D105+D106</f>
        <v>257.18</v>
      </c>
      <c r="E103" s="354">
        <f>E104+E105+E106</f>
        <v>0</v>
      </c>
      <c r="F103" s="354">
        <f>F104+F105+F106</f>
        <v>0</v>
      </c>
      <c r="G103" s="387">
        <f>SUM(G104:G106)</f>
        <v>957.18000000000006</v>
      </c>
      <c r="H103" s="382">
        <f>SUM(H104:H106)</f>
        <v>4000</v>
      </c>
      <c r="I103" s="357">
        <f>SUM(I104:I106)</f>
        <v>100</v>
      </c>
      <c r="J103" s="357">
        <f>SUM(J104:J106)</f>
        <v>0</v>
      </c>
      <c r="K103" s="357">
        <f>SUM(K104:K106)</f>
        <v>0</v>
      </c>
      <c r="L103" s="359">
        <f>SUM(H103:K103)</f>
        <v>4100</v>
      </c>
      <c r="M103" s="360">
        <v>0</v>
      </c>
      <c r="N103" s="361">
        <v>0</v>
      </c>
      <c r="O103" s="361">
        <v>0</v>
      </c>
      <c r="P103" s="361">
        <v>0</v>
      </c>
      <c r="Q103" s="361">
        <f>Q106</f>
        <v>0</v>
      </c>
      <c r="R103" s="361">
        <f>R106</f>
        <v>0</v>
      </c>
      <c r="S103" s="388">
        <f>M103+N103+O103+P103+R103</f>
        <v>0</v>
      </c>
      <c r="T103" s="361"/>
      <c r="U103" s="361"/>
      <c r="V103" s="1073">
        <f t="shared" si="33"/>
        <v>0</v>
      </c>
      <c r="W103" s="363">
        <v>0</v>
      </c>
      <c r="X103" s="478">
        <v>0</v>
      </c>
      <c r="Y103" s="360">
        <v>0</v>
      </c>
      <c r="Z103" s="364">
        <f t="shared" si="34"/>
        <v>0</v>
      </c>
      <c r="AA103" s="376"/>
      <c r="AB103" s="380"/>
      <c r="AC103" s="377"/>
      <c r="AD103" s="366"/>
      <c r="AE103" s="376"/>
      <c r="AF103" s="377"/>
      <c r="AG103" s="367"/>
      <c r="AH103" s="380"/>
      <c r="AI103" s="377"/>
      <c r="AJ103" s="367"/>
      <c r="AK103" s="407">
        <f t="shared" si="35"/>
        <v>5057.18</v>
      </c>
      <c r="AL103" s="335"/>
    </row>
    <row r="104" spans="1:38" s="336" customFormat="1" ht="18" customHeight="1" x14ac:dyDescent="0.25">
      <c r="A104" s="256">
        <v>55601</v>
      </c>
      <c r="B104" s="1087" t="s">
        <v>89</v>
      </c>
      <c r="C104" s="401">
        <v>0</v>
      </c>
      <c r="D104" s="370">
        <f>'egresos 25% y F.P'!D185</f>
        <v>0</v>
      </c>
      <c r="E104" s="369">
        <v>0</v>
      </c>
      <c r="F104" s="369">
        <v>0</v>
      </c>
      <c r="G104" s="385">
        <f t="shared" ref="G104:G106" si="40">F104+D104+C104</f>
        <v>0</v>
      </c>
      <c r="H104" s="383">
        <f>'egresos 25% y F.P'!C76</f>
        <v>0</v>
      </c>
      <c r="I104" s="373">
        <f>'egresos 25% y F.P'!D76</f>
        <v>50</v>
      </c>
      <c r="J104" s="373">
        <f>'egresos 25% y F.P'!E76</f>
        <v>0</v>
      </c>
      <c r="K104" s="373">
        <f>'egresos 25% y F.P'!F76</f>
        <v>0</v>
      </c>
      <c r="L104" s="375">
        <f t="shared" ref="L104:L115" si="41">SUM(H104:J104)</f>
        <v>50</v>
      </c>
      <c r="M104" s="376">
        <v>0</v>
      </c>
      <c r="N104" s="377">
        <v>0</v>
      </c>
      <c r="O104" s="377">
        <v>0</v>
      </c>
      <c r="P104" s="377">
        <v>0</v>
      </c>
      <c r="Q104" s="377">
        <v>0</v>
      </c>
      <c r="R104" s="377">
        <v>0</v>
      </c>
      <c r="S104" s="362">
        <f>M104+N104+O104+P104</f>
        <v>0</v>
      </c>
      <c r="T104" s="377"/>
      <c r="U104" s="377"/>
      <c r="V104" s="406">
        <f t="shared" si="33"/>
        <v>0</v>
      </c>
      <c r="W104" s="378">
        <v>0</v>
      </c>
      <c r="X104" s="479">
        <v>0</v>
      </c>
      <c r="Y104" s="376">
        <v>0</v>
      </c>
      <c r="Z104" s="379">
        <f t="shared" si="34"/>
        <v>0</v>
      </c>
      <c r="AA104" s="376"/>
      <c r="AB104" s="380"/>
      <c r="AC104" s="377"/>
      <c r="AD104" s="366"/>
      <c r="AE104" s="376"/>
      <c r="AF104" s="377"/>
      <c r="AG104" s="367"/>
      <c r="AH104" s="380"/>
      <c r="AI104" s="377"/>
      <c r="AJ104" s="367"/>
      <c r="AK104" s="432">
        <f t="shared" si="35"/>
        <v>50</v>
      </c>
      <c r="AL104" s="335"/>
    </row>
    <row r="105" spans="1:38" s="336" customFormat="1" ht="18" customHeight="1" x14ac:dyDescent="0.25">
      <c r="A105" s="256">
        <v>55602</v>
      </c>
      <c r="B105" s="1087" t="s">
        <v>90</v>
      </c>
      <c r="C105" s="401">
        <f>'egresos 25% y F.P'!C186</f>
        <v>700</v>
      </c>
      <c r="D105" s="370">
        <v>0</v>
      </c>
      <c r="E105" s="369">
        <v>0</v>
      </c>
      <c r="F105" s="369">
        <v>0</v>
      </c>
      <c r="G105" s="385">
        <f t="shared" si="40"/>
        <v>700</v>
      </c>
      <c r="H105" s="383">
        <f>'egresos 25% y F.P'!C77</f>
        <v>4000</v>
      </c>
      <c r="I105" s="373">
        <f>'egresos 25% y F.P'!D77</f>
        <v>0</v>
      </c>
      <c r="J105" s="373">
        <f>'egresos 25% y F.P'!E77</f>
        <v>0</v>
      </c>
      <c r="K105" s="373">
        <f>'egresos 25% y F.P'!F77</f>
        <v>0</v>
      </c>
      <c r="L105" s="375">
        <f t="shared" si="41"/>
        <v>4000</v>
      </c>
      <c r="M105" s="376">
        <v>0</v>
      </c>
      <c r="N105" s="377">
        <v>0</v>
      </c>
      <c r="O105" s="377">
        <v>0</v>
      </c>
      <c r="P105" s="377">
        <v>0</v>
      </c>
      <c r="Q105" s="377">
        <v>0</v>
      </c>
      <c r="R105" s="377">
        <v>0</v>
      </c>
      <c r="S105" s="362">
        <f>M105+N105+O105+P105</f>
        <v>0</v>
      </c>
      <c r="T105" s="377"/>
      <c r="U105" s="377"/>
      <c r="V105" s="406">
        <f t="shared" si="33"/>
        <v>0</v>
      </c>
      <c r="W105" s="378">
        <v>0</v>
      </c>
      <c r="X105" s="479">
        <v>0</v>
      </c>
      <c r="Y105" s="376">
        <v>0</v>
      </c>
      <c r="Z105" s="379">
        <f t="shared" si="34"/>
        <v>0</v>
      </c>
      <c r="AA105" s="376"/>
      <c r="AB105" s="380"/>
      <c r="AC105" s="377"/>
      <c r="AD105" s="366"/>
      <c r="AE105" s="376"/>
      <c r="AF105" s="377"/>
      <c r="AG105" s="367"/>
      <c r="AH105" s="380"/>
      <c r="AI105" s="377"/>
      <c r="AJ105" s="367"/>
      <c r="AK105" s="432">
        <f t="shared" si="35"/>
        <v>4700</v>
      </c>
      <c r="AL105" s="335"/>
    </row>
    <row r="106" spans="1:38" s="336" customFormat="1" ht="18" customHeight="1" x14ac:dyDescent="0.25">
      <c r="A106" s="256">
        <v>55603</v>
      </c>
      <c r="B106" s="1087" t="s">
        <v>91</v>
      </c>
      <c r="C106" s="401">
        <v>0</v>
      </c>
      <c r="D106" s="370">
        <f>'egresos 25% y F.P'!D187</f>
        <v>257.18</v>
      </c>
      <c r="E106" s="369">
        <v>0</v>
      </c>
      <c r="F106" s="369">
        <v>0</v>
      </c>
      <c r="G106" s="385">
        <f t="shared" si="40"/>
        <v>257.18</v>
      </c>
      <c r="H106" s="383">
        <f>'egresos 25% y F.P'!C78</f>
        <v>0</v>
      </c>
      <c r="I106" s="373">
        <f>'egresos 25% y F.P'!D78</f>
        <v>50</v>
      </c>
      <c r="J106" s="373">
        <f>'egresos 25% y F.P'!E78</f>
        <v>0</v>
      </c>
      <c r="K106" s="373">
        <f>'egresos 25% y F.P'!F78</f>
        <v>0</v>
      </c>
      <c r="L106" s="375">
        <f t="shared" si="41"/>
        <v>50</v>
      </c>
      <c r="M106" s="376">
        <v>0</v>
      </c>
      <c r="N106" s="377">
        <v>0</v>
      </c>
      <c r="O106" s="377">
        <v>0</v>
      </c>
      <c r="P106" s="377">
        <v>0</v>
      </c>
      <c r="Q106" s="377">
        <v>0</v>
      </c>
      <c r="R106" s="377">
        <f>'AG5'!C24</f>
        <v>0</v>
      </c>
      <c r="S106" s="362">
        <f>M106+N106+O106+P106+Q106+R106</f>
        <v>0</v>
      </c>
      <c r="T106" s="377"/>
      <c r="U106" s="377"/>
      <c r="V106" s="406">
        <f t="shared" si="33"/>
        <v>0</v>
      </c>
      <c r="W106" s="378">
        <v>0</v>
      </c>
      <c r="X106" s="479">
        <v>0</v>
      </c>
      <c r="Y106" s="376">
        <v>0</v>
      </c>
      <c r="Z106" s="379">
        <f t="shared" si="34"/>
        <v>0</v>
      </c>
      <c r="AA106" s="376"/>
      <c r="AB106" s="380"/>
      <c r="AC106" s="377"/>
      <c r="AD106" s="366"/>
      <c r="AE106" s="376"/>
      <c r="AF106" s="377"/>
      <c r="AG106" s="367"/>
      <c r="AH106" s="380"/>
      <c r="AI106" s="377"/>
      <c r="AJ106" s="367"/>
      <c r="AK106" s="432">
        <f t="shared" si="35"/>
        <v>307.18</v>
      </c>
      <c r="AL106" s="335"/>
    </row>
    <row r="107" spans="1:38" s="336" customFormat="1" ht="18" hidden="1" customHeight="1" x14ac:dyDescent="0.25">
      <c r="A107" s="254">
        <v>557</v>
      </c>
      <c r="B107" s="1089" t="s">
        <v>92</v>
      </c>
      <c r="C107" s="400">
        <f>C108+C109+C110</f>
        <v>0</v>
      </c>
      <c r="D107" s="354">
        <f>D108+D109+D110</f>
        <v>0</v>
      </c>
      <c r="E107" s="369"/>
      <c r="F107" s="369"/>
      <c r="G107" s="385"/>
      <c r="H107" s="382">
        <f>SUM(H108:H110)</f>
        <v>0</v>
      </c>
      <c r="I107" s="357">
        <f>SUM(I108:I110)</f>
        <v>0</v>
      </c>
      <c r="J107" s="357">
        <f>SUM(J108:J110)</f>
        <v>0</v>
      </c>
      <c r="K107" s="357">
        <f>SUM(K108:K110)</f>
        <v>0</v>
      </c>
      <c r="L107" s="359">
        <f t="shared" si="41"/>
        <v>0</v>
      </c>
      <c r="M107" s="376">
        <v>0</v>
      </c>
      <c r="N107" s="377">
        <v>0</v>
      </c>
      <c r="O107" s="377">
        <v>0</v>
      </c>
      <c r="P107" s="377">
        <v>0</v>
      </c>
      <c r="Q107" s="377"/>
      <c r="R107" s="377"/>
      <c r="S107" s="362">
        <f>M107+N107+O107+P107</f>
        <v>0</v>
      </c>
      <c r="T107" s="377"/>
      <c r="U107" s="377"/>
      <c r="V107" s="406">
        <f t="shared" si="33"/>
        <v>0</v>
      </c>
      <c r="W107" s="378"/>
      <c r="X107" s="479"/>
      <c r="Y107" s="376"/>
      <c r="Z107" s="379">
        <f t="shared" si="34"/>
        <v>0</v>
      </c>
      <c r="AA107" s="376"/>
      <c r="AB107" s="380"/>
      <c r="AC107" s="377"/>
      <c r="AD107" s="366"/>
      <c r="AE107" s="376"/>
      <c r="AF107" s="377"/>
      <c r="AG107" s="367"/>
      <c r="AH107" s="380"/>
      <c r="AI107" s="377"/>
      <c r="AJ107" s="367"/>
      <c r="AK107" s="407">
        <f t="shared" si="35"/>
        <v>0</v>
      </c>
      <c r="AL107" s="335"/>
    </row>
    <row r="108" spans="1:38" s="336" customFormat="1" ht="18" hidden="1" customHeight="1" x14ac:dyDescent="0.25">
      <c r="A108" s="256">
        <v>55701</v>
      </c>
      <c r="B108" s="1087" t="s">
        <v>93</v>
      </c>
      <c r="C108" s="401"/>
      <c r="D108" s="370"/>
      <c r="E108" s="369"/>
      <c r="F108" s="369"/>
      <c r="G108" s="385"/>
      <c r="H108" s="383"/>
      <c r="I108" s="373"/>
      <c r="J108" s="373"/>
      <c r="K108" s="373"/>
      <c r="L108" s="359">
        <f t="shared" si="41"/>
        <v>0</v>
      </c>
      <c r="M108" s="376">
        <v>0</v>
      </c>
      <c r="N108" s="377">
        <v>0</v>
      </c>
      <c r="O108" s="377">
        <v>0</v>
      </c>
      <c r="P108" s="377">
        <v>0</v>
      </c>
      <c r="Q108" s="377"/>
      <c r="R108" s="377"/>
      <c r="S108" s="362">
        <f>M108+N108+O108+P108</f>
        <v>0</v>
      </c>
      <c r="T108" s="377"/>
      <c r="U108" s="377"/>
      <c r="V108" s="406">
        <f t="shared" si="33"/>
        <v>0</v>
      </c>
      <c r="W108" s="378"/>
      <c r="X108" s="479"/>
      <c r="Y108" s="376"/>
      <c r="Z108" s="379">
        <f t="shared" si="34"/>
        <v>0</v>
      </c>
      <c r="AA108" s="376"/>
      <c r="AB108" s="380"/>
      <c r="AC108" s="377"/>
      <c r="AD108" s="366"/>
      <c r="AE108" s="376"/>
      <c r="AF108" s="377"/>
      <c r="AG108" s="367"/>
      <c r="AH108" s="380"/>
      <c r="AI108" s="377"/>
      <c r="AJ108" s="367"/>
      <c r="AK108" s="407">
        <f t="shared" si="35"/>
        <v>0</v>
      </c>
      <c r="AL108" s="335"/>
    </row>
    <row r="109" spans="1:38" s="336" customFormat="1" ht="18" hidden="1" customHeight="1" x14ac:dyDescent="0.25">
      <c r="A109" s="256">
        <v>55702</v>
      </c>
      <c r="B109" s="1087" t="s">
        <v>94</v>
      </c>
      <c r="C109" s="401"/>
      <c r="D109" s="370"/>
      <c r="E109" s="369"/>
      <c r="F109" s="369"/>
      <c r="G109" s="385"/>
      <c r="H109" s="383"/>
      <c r="I109" s="373"/>
      <c r="J109" s="373"/>
      <c r="K109" s="373"/>
      <c r="L109" s="359">
        <f t="shared" si="41"/>
        <v>0</v>
      </c>
      <c r="M109" s="360">
        <v>0</v>
      </c>
      <c r="N109" s="361">
        <v>0</v>
      </c>
      <c r="O109" s="361">
        <v>0</v>
      </c>
      <c r="P109" s="361">
        <v>0</v>
      </c>
      <c r="Q109" s="361"/>
      <c r="R109" s="361"/>
      <c r="S109" s="362">
        <f>M109+N109+O109+P109</f>
        <v>0</v>
      </c>
      <c r="T109" s="361"/>
      <c r="U109" s="361"/>
      <c r="V109" s="1073">
        <f t="shared" si="33"/>
        <v>0</v>
      </c>
      <c r="W109" s="363"/>
      <c r="X109" s="478"/>
      <c r="Y109" s="360"/>
      <c r="Z109" s="379">
        <f t="shared" si="34"/>
        <v>0</v>
      </c>
      <c r="AA109" s="360"/>
      <c r="AB109" s="365"/>
      <c r="AC109" s="361"/>
      <c r="AD109" s="398"/>
      <c r="AE109" s="360"/>
      <c r="AF109" s="361"/>
      <c r="AG109" s="399"/>
      <c r="AH109" s="365"/>
      <c r="AI109" s="361"/>
      <c r="AJ109" s="399"/>
      <c r="AK109" s="407">
        <f t="shared" si="35"/>
        <v>0</v>
      </c>
      <c r="AL109" s="335"/>
    </row>
    <row r="110" spans="1:38" s="336" customFormat="1" ht="18" hidden="1" customHeight="1" x14ac:dyDescent="0.25">
      <c r="A110" s="256">
        <v>55799</v>
      </c>
      <c r="B110" s="1087" t="s">
        <v>95</v>
      </c>
      <c r="C110" s="401"/>
      <c r="D110" s="370"/>
      <c r="E110" s="369"/>
      <c r="F110" s="369"/>
      <c r="G110" s="385">
        <f>C110</f>
        <v>0</v>
      </c>
      <c r="H110" s="383"/>
      <c r="I110" s="373"/>
      <c r="J110" s="373"/>
      <c r="K110" s="373"/>
      <c r="L110" s="359">
        <f t="shared" si="41"/>
        <v>0</v>
      </c>
      <c r="M110" s="376">
        <v>0</v>
      </c>
      <c r="N110" s="377">
        <v>0</v>
      </c>
      <c r="O110" s="377">
        <v>0</v>
      </c>
      <c r="P110" s="377">
        <v>0</v>
      </c>
      <c r="Q110" s="377"/>
      <c r="R110" s="377"/>
      <c r="S110" s="362">
        <f>M110+N110+O110+P110</f>
        <v>0</v>
      </c>
      <c r="T110" s="377"/>
      <c r="U110" s="377"/>
      <c r="V110" s="406">
        <f t="shared" si="33"/>
        <v>0</v>
      </c>
      <c r="W110" s="378"/>
      <c r="X110" s="479"/>
      <c r="Y110" s="376"/>
      <c r="Z110" s="379">
        <f t="shared" si="34"/>
        <v>0</v>
      </c>
      <c r="AA110" s="376"/>
      <c r="AB110" s="380"/>
      <c r="AC110" s="377"/>
      <c r="AD110" s="366"/>
      <c r="AE110" s="376"/>
      <c r="AF110" s="377"/>
      <c r="AG110" s="367"/>
      <c r="AH110" s="380"/>
      <c r="AI110" s="377"/>
      <c r="AJ110" s="367"/>
      <c r="AK110" s="407">
        <f t="shared" si="35"/>
        <v>0</v>
      </c>
      <c r="AL110" s="335"/>
    </row>
    <row r="111" spans="1:38" s="336" customFormat="1" ht="18" hidden="1" customHeight="1" x14ac:dyDescent="0.25">
      <c r="A111" s="256"/>
      <c r="B111" s="1087"/>
      <c r="C111" s="401"/>
      <c r="D111" s="370"/>
      <c r="E111" s="370"/>
      <c r="F111" s="370"/>
      <c r="G111" s="402"/>
      <c r="H111" s="383"/>
      <c r="I111" s="373"/>
      <c r="J111" s="373"/>
      <c r="K111" s="373"/>
      <c r="L111" s="359">
        <f t="shared" si="41"/>
        <v>0</v>
      </c>
      <c r="M111" s="376">
        <v>0</v>
      </c>
      <c r="N111" s="377">
        <v>0</v>
      </c>
      <c r="O111" s="377">
        <v>0</v>
      </c>
      <c r="P111" s="377">
        <v>0</v>
      </c>
      <c r="Q111" s="377"/>
      <c r="R111" s="377"/>
      <c r="S111" s="362">
        <f>M111+N111+O111+P111</f>
        <v>0</v>
      </c>
      <c r="T111" s="377"/>
      <c r="U111" s="377"/>
      <c r="V111" s="406">
        <f t="shared" si="33"/>
        <v>0</v>
      </c>
      <c r="W111" s="378"/>
      <c r="X111" s="479"/>
      <c r="Y111" s="376"/>
      <c r="Z111" s="379">
        <f t="shared" si="34"/>
        <v>0</v>
      </c>
      <c r="AA111" s="376"/>
      <c r="AB111" s="380"/>
      <c r="AC111" s="377"/>
      <c r="AD111" s="366"/>
      <c r="AE111" s="376"/>
      <c r="AF111" s="377"/>
      <c r="AG111" s="367"/>
      <c r="AH111" s="380"/>
      <c r="AI111" s="377"/>
      <c r="AJ111" s="367"/>
      <c r="AK111" s="407">
        <f t="shared" si="35"/>
        <v>0</v>
      </c>
      <c r="AL111" s="335"/>
    </row>
    <row r="112" spans="1:38" s="336" customFormat="1" ht="18" customHeight="1" x14ac:dyDescent="0.25">
      <c r="A112" s="254">
        <v>56</v>
      </c>
      <c r="B112" s="1089" t="s">
        <v>96</v>
      </c>
      <c r="C112" s="400">
        <f>C113+C116</f>
        <v>11489.5</v>
      </c>
      <c r="D112" s="354">
        <f>D113+D116</f>
        <v>0</v>
      </c>
      <c r="E112" s="354">
        <f>E113+E116</f>
        <v>0</v>
      </c>
      <c r="F112" s="354">
        <f>F113+F116</f>
        <v>0</v>
      </c>
      <c r="G112" s="403">
        <f>F112+D112+C112</f>
        <v>11489.5</v>
      </c>
      <c r="H112" s="382">
        <f>H113+H116</f>
        <v>17619.599999999999</v>
      </c>
      <c r="I112" s="357">
        <f>I113+I116</f>
        <v>0</v>
      </c>
      <c r="J112" s="357">
        <f>J113+J116</f>
        <v>0</v>
      </c>
      <c r="K112" s="357">
        <f>K113+K116</f>
        <v>0</v>
      </c>
      <c r="L112" s="359">
        <f t="shared" si="41"/>
        <v>17619.599999999999</v>
      </c>
      <c r="M112" s="376">
        <f t="shared" ref="M112:N112" si="42">M113+M116</f>
        <v>0</v>
      </c>
      <c r="N112" s="361">
        <f t="shared" si="42"/>
        <v>112562</v>
      </c>
      <c r="O112" s="377">
        <v>0</v>
      </c>
      <c r="P112" s="377">
        <v>0</v>
      </c>
      <c r="Q112" s="377">
        <v>0</v>
      </c>
      <c r="R112" s="377">
        <v>0</v>
      </c>
      <c r="S112" s="388">
        <f>M112+N112+O112+P112+R112</f>
        <v>112562</v>
      </c>
      <c r="T112" s="377"/>
      <c r="U112" s="377"/>
      <c r="V112" s="406">
        <f t="shared" si="33"/>
        <v>0</v>
      </c>
      <c r="W112" s="363">
        <v>0</v>
      </c>
      <c r="X112" s="478">
        <v>0</v>
      </c>
      <c r="Y112" s="360">
        <v>0</v>
      </c>
      <c r="Z112" s="364">
        <f t="shared" si="34"/>
        <v>0</v>
      </c>
      <c r="AA112" s="376"/>
      <c r="AB112" s="380"/>
      <c r="AC112" s="377"/>
      <c r="AD112" s="366"/>
      <c r="AE112" s="376"/>
      <c r="AF112" s="377"/>
      <c r="AG112" s="367"/>
      <c r="AH112" s="380"/>
      <c r="AI112" s="377"/>
      <c r="AJ112" s="367"/>
      <c r="AK112" s="407">
        <f t="shared" si="35"/>
        <v>141671.1</v>
      </c>
      <c r="AL112" s="335"/>
    </row>
    <row r="113" spans="1:38" s="336" customFormat="1" ht="18" customHeight="1" x14ac:dyDescent="0.25">
      <c r="A113" s="254">
        <v>562</v>
      </c>
      <c r="B113" s="1089" t="s">
        <v>97</v>
      </c>
      <c r="C113" s="400">
        <f>C114+C115</f>
        <v>2489.5</v>
      </c>
      <c r="D113" s="354">
        <f>D114+D115</f>
        <v>0</v>
      </c>
      <c r="E113" s="370">
        <v>0</v>
      </c>
      <c r="F113" s="370">
        <v>0</v>
      </c>
      <c r="G113" s="403">
        <f t="shared" ref="G113:G119" si="43">F113+D113+C113</f>
        <v>2489.5</v>
      </c>
      <c r="H113" s="382">
        <f>H114+H115</f>
        <v>17619.599999999999</v>
      </c>
      <c r="I113" s="357">
        <f>I114+I115</f>
        <v>0</v>
      </c>
      <c r="J113" s="357">
        <f>J114+J115</f>
        <v>0</v>
      </c>
      <c r="K113" s="357">
        <f>K114+K115</f>
        <v>0</v>
      </c>
      <c r="L113" s="359">
        <f t="shared" si="41"/>
        <v>17619.599999999999</v>
      </c>
      <c r="M113" s="376">
        <v>0</v>
      </c>
      <c r="N113" s="377">
        <v>0</v>
      </c>
      <c r="O113" s="377">
        <v>0</v>
      </c>
      <c r="P113" s="377">
        <v>0</v>
      </c>
      <c r="Q113" s="377">
        <v>0</v>
      </c>
      <c r="R113" s="377">
        <v>0</v>
      </c>
      <c r="S113" s="388">
        <f>M113+N113+O113+P113+R113</f>
        <v>0</v>
      </c>
      <c r="T113" s="377"/>
      <c r="U113" s="377"/>
      <c r="V113" s="406">
        <f t="shared" si="33"/>
        <v>0</v>
      </c>
      <c r="W113" s="363">
        <v>0</v>
      </c>
      <c r="X113" s="478">
        <v>0</v>
      </c>
      <c r="Y113" s="360">
        <v>0</v>
      </c>
      <c r="Z113" s="364">
        <f t="shared" si="34"/>
        <v>0</v>
      </c>
      <c r="AA113" s="376"/>
      <c r="AB113" s="380"/>
      <c r="AC113" s="377"/>
      <c r="AD113" s="366"/>
      <c r="AE113" s="376"/>
      <c r="AF113" s="377"/>
      <c r="AG113" s="367"/>
      <c r="AH113" s="380"/>
      <c r="AI113" s="377"/>
      <c r="AJ113" s="367"/>
      <c r="AK113" s="407">
        <f t="shared" si="35"/>
        <v>20109.099999999999</v>
      </c>
      <c r="AL113" s="335"/>
    </row>
    <row r="114" spans="1:38" s="336" customFormat="1" ht="18" customHeight="1" x14ac:dyDescent="0.25">
      <c r="A114" s="256">
        <v>56201</v>
      </c>
      <c r="B114" s="1087" t="s">
        <v>591</v>
      </c>
      <c r="C114" s="384">
        <f>'egresos 25% y F.P'!C196</f>
        <v>2489.5</v>
      </c>
      <c r="D114" s="370"/>
      <c r="E114" s="370">
        <v>0</v>
      </c>
      <c r="F114" s="370">
        <v>0</v>
      </c>
      <c r="G114" s="402">
        <f>F114+D114+C114</f>
        <v>2489.5</v>
      </c>
      <c r="H114" s="383">
        <f>'egresos 25% y F.P'!C88</f>
        <v>17619.599999999999</v>
      </c>
      <c r="I114" s="373">
        <v>0</v>
      </c>
      <c r="J114" s="373">
        <v>0</v>
      </c>
      <c r="K114" s="373">
        <v>0</v>
      </c>
      <c r="L114" s="359">
        <f t="shared" si="41"/>
        <v>17619.599999999999</v>
      </c>
      <c r="M114" s="376">
        <v>0</v>
      </c>
      <c r="N114" s="377">
        <v>0</v>
      </c>
      <c r="O114" s="377">
        <v>0</v>
      </c>
      <c r="P114" s="377">
        <v>0</v>
      </c>
      <c r="Q114" s="377">
        <v>0</v>
      </c>
      <c r="R114" s="377">
        <v>0</v>
      </c>
      <c r="S114" s="362">
        <f>M114+N114+O114+P114+Q114+R114</f>
        <v>0</v>
      </c>
      <c r="T114" s="377"/>
      <c r="U114" s="377"/>
      <c r="V114" s="406">
        <f t="shared" si="33"/>
        <v>0</v>
      </c>
      <c r="W114" s="378">
        <v>0</v>
      </c>
      <c r="X114" s="479">
        <v>0</v>
      </c>
      <c r="Y114" s="376">
        <v>0</v>
      </c>
      <c r="Z114" s="379">
        <f t="shared" si="34"/>
        <v>0</v>
      </c>
      <c r="AA114" s="376"/>
      <c r="AB114" s="380"/>
      <c r="AC114" s="377"/>
      <c r="AD114" s="366"/>
      <c r="AE114" s="376"/>
      <c r="AF114" s="377"/>
      <c r="AG114" s="367"/>
      <c r="AH114" s="380"/>
      <c r="AI114" s="377"/>
      <c r="AJ114" s="367"/>
      <c r="AK114" s="432">
        <f t="shared" si="35"/>
        <v>20109.099999999999</v>
      </c>
      <c r="AL114" s="335"/>
    </row>
    <row r="115" spans="1:38" s="336" customFormat="1" ht="18" hidden="1" customHeight="1" x14ac:dyDescent="0.25">
      <c r="A115" s="256">
        <v>56202</v>
      </c>
      <c r="B115" s="1087" t="s">
        <v>238</v>
      </c>
      <c r="C115" s="401"/>
      <c r="D115" s="370"/>
      <c r="E115" s="370">
        <v>0</v>
      </c>
      <c r="F115" s="370">
        <v>0</v>
      </c>
      <c r="G115" s="402">
        <f t="shared" si="43"/>
        <v>0</v>
      </c>
      <c r="H115" s="383"/>
      <c r="I115" s="373"/>
      <c r="J115" s="373"/>
      <c r="K115" s="373"/>
      <c r="L115" s="359">
        <f t="shared" si="41"/>
        <v>0</v>
      </c>
      <c r="M115" s="376">
        <v>0</v>
      </c>
      <c r="N115" s="377">
        <v>0</v>
      </c>
      <c r="O115" s="377">
        <v>0</v>
      </c>
      <c r="P115" s="377">
        <v>0</v>
      </c>
      <c r="Q115" s="377">
        <v>0</v>
      </c>
      <c r="R115" s="377">
        <v>0</v>
      </c>
      <c r="S115" s="362">
        <f>M115+N115+O115+P115+Q115+R115</f>
        <v>0</v>
      </c>
      <c r="T115" s="377"/>
      <c r="U115" s="377"/>
      <c r="V115" s="406">
        <f t="shared" si="33"/>
        <v>0</v>
      </c>
      <c r="W115" s="378"/>
      <c r="X115" s="479"/>
      <c r="Y115" s="376"/>
      <c r="Z115" s="379">
        <f t="shared" si="34"/>
        <v>0</v>
      </c>
      <c r="AA115" s="376"/>
      <c r="AB115" s="380"/>
      <c r="AC115" s="377"/>
      <c r="AD115" s="366"/>
      <c r="AE115" s="376"/>
      <c r="AF115" s="377"/>
      <c r="AG115" s="367"/>
      <c r="AH115" s="380"/>
      <c r="AI115" s="377"/>
      <c r="AJ115" s="367"/>
      <c r="AK115" s="407">
        <f t="shared" si="35"/>
        <v>0</v>
      </c>
      <c r="AL115" s="335"/>
    </row>
    <row r="116" spans="1:38" s="336" customFormat="1" ht="18" customHeight="1" x14ac:dyDescent="0.25">
      <c r="A116" s="254">
        <v>563</v>
      </c>
      <c r="B116" s="1089" t="s">
        <v>99</v>
      </c>
      <c r="C116" s="400">
        <f>C117+C118</f>
        <v>9000</v>
      </c>
      <c r="D116" s="354">
        <f>D117+D118</f>
        <v>0</v>
      </c>
      <c r="E116" s="370">
        <v>0</v>
      </c>
      <c r="F116" s="370">
        <v>0</v>
      </c>
      <c r="G116" s="403">
        <f t="shared" si="43"/>
        <v>9000</v>
      </c>
      <c r="H116" s="382">
        <f>H117+H118</f>
        <v>0</v>
      </c>
      <c r="I116" s="357">
        <f>I117+I118</f>
        <v>0</v>
      </c>
      <c r="J116" s="357">
        <f>J117+J118</f>
        <v>0</v>
      </c>
      <c r="K116" s="357">
        <f>K117+K118</f>
        <v>0</v>
      </c>
      <c r="L116" s="359">
        <f>SUM(H116:J116)</f>
        <v>0</v>
      </c>
      <c r="M116" s="360">
        <f>SUM(M117:M119)</f>
        <v>0</v>
      </c>
      <c r="N116" s="361">
        <f>SUM(N117:N119)</f>
        <v>112562</v>
      </c>
      <c r="O116" s="361">
        <f t="shared" ref="O116" si="44">SUM(O117:O119)</f>
        <v>0</v>
      </c>
      <c r="P116" s="361">
        <v>0</v>
      </c>
      <c r="Q116" s="361">
        <v>0</v>
      </c>
      <c r="R116" s="361">
        <v>0</v>
      </c>
      <c r="S116" s="388">
        <f>M116+N116+O116+P116+R116</f>
        <v>112562</v>
      </c>
      <c r="T116" s="361"/>
      <c r="U116" s="361"/>
      <c r="V116" s="1073">
        <f t="shared" si="33"/>
        <v>0</v>
      </c>
      <c r="W116" s="363">
        <v>0</v>
      </c>
      <c r="X116" s="478">
        <v>0</v>
      </c>
      <c r="Y116" s="360">
        <v>0</v>
      </c>
      <c r="Z116" s="364">
        <f t="shared" si="34"/>
        <v>0</v>
      </c>
      <c r="AA116" s="376"/>
      <c r="AB116" s="380"/>
      <c r="AC116" s="377"/>
      <c r="AD116" s="366"/>
      <c r="AE116" s="376"/>
      <c r="AF116" s="377"/>
      <c r="AG116" s="367"/>
      <c r="AH116" s="380"/>
      <c r="AI116" s="377"/>
      <c r="AJ116" s="367"/>
      <c r="AK116" s="407">
        <f t="shared" si="35"/>
        <v>121562</v>
      </c>
      <c r="AL116" s="335"/>
    </row>
    <row r="117" spans="1:38" s="336" customFormat="1" ht="18" hidden="1" customHeight="1" x14ac:dyDescent="0.25">
      <c r="A117" s="256">
        <v>56303</v>
      </c>
      <c r="B117" s="1087" t="s">
        <v>98</v>
      </c>
      <c r="C117" s="401"/>
      <c r="D117" s="370"/>
      <c r="E117" s="370">
        <v>0</v>
      </c>
      <c r="F117" s="370">
        <v>0</v>
      </c>
      <c r="G117" s="402">
        <f t="shared" si="43"/>
        <v>0</v>
      </c>
      <c r="H117" s="383"/>
      <c r="I117" s="373"/>
      <c r="J117" s="373"/>
      <c r="K117" s="373"/>
      <c r="L117" s="359">
        <f t="shared" ref="L117:L162" si="45">SUM(H117:J117)</f>
        <v>0</v>
      </c>
      <c r="M117" s="376">
        <v>0</v>
      </c>
      <c r="N117" s="377">
        <v>0</v>
      </c>
      <c r="O117" s="377">
        <v>0</v>
      </c>
      <c r="P117" s="377">
        <v>0</v>
      </c>
      <c r="Q117" s="377">
        <v>0</v>
      </c>
      <c r="R117" s="377">
        <v>0</v>
      </c>
      <c r="S117" s="362">
        <f>M117+N117+O117+P117+Q117+R117</f>
        <v>0</v>
      </c>
      <c r="T117" s="377"/>
      <c r="U117" s="377"/>
      <c r="V117" s="406">
        <f t="shared" si="33"/>
        <v>0</v>
      </c>
      <c r="W117" s="378"/>
      <c r="X117" s="479"/>
      <c r="Y117" s="376"/>
      <c r="Z117" s="379">
        <f t="shared" si="34"/>
        <v>0</v>
      </c>
      <c r="AA117" s="376"/>
      <c r="AB117" s="380"/>
      <c r="AC117" s="377"/>
      <c r="AD117" s="366"/>
      <c r="AE117" s="376"/>
      <c r="AF117" s="377"/>
      <c r="AG117" s="367"/>
      <c r="AH117" s="380"/>
      <c r="AI117" s="377"/>
      <c r="AJ117" s="367"/>
      <c r="AK117" s="407">
        <f t="shared" si="35"/>
        <v>0</v>
      </c>
      <c r="AL117" s="335"/>
    </row>
    <row r="118" spans="1:38" s="336" customFormat="1" ht="18" customHeight="1" x14ac:dyDescent="0.25">
      <c r="A118" s="256">
        <v>56304</v>
      </c>
      <c r="B118" s="1087" t="s">
        <v>109</v>
      </c>
      <c r="C118" s="384">
        <f>'egresos 25% y F.P'!C199</f>
        <v>9000</v>
      </c>
      <c r="D118" s="370">
        <v>0</v>
      </c>
      <c r="E118" s="370">
        <v>0</v>
      </c>
      <c r="F118" s="370">
        <v>0</v>
      </c>
      <c r="G118" s="402">
        <f t="shared" si="43"/>
        <v>9000</v>
      </c>
      <c r="H118" s="383">
        <f>'egresos 25% y F.P'!C91</f>
        <v>0</v>
      </c>
      <c r="I118" s="373">
        <v>0</v>
      </c>
      <c r="J118" s="373">
        <v>0</v>
      </c>
      <c r="K118" s="373">
        <v>0</v>
      </c>
      <c r="L118" s="359">
        <f t="shared" si="45"/>
        <v>0</v>
      </c>
      <c r="M118" s="376">
        <v>0</v>
      </c>
      <c r="N118" s="377">
        <f>'AG3'!E100+'AG3'!E129+'AG3'!E137+'AG3'!E92</f>
        <v>27250</v>
      </c>
      <c r="O118" s="377">
        <v>0</v>
      </c>
      <c r="P118" s="377">
        <v>0</v>
      </c>
      <c r="Q118" s="377">
        <v>0</v>
      </c>
      <c r="R118" s="377">
        <v>0</v>
      </c>
      <c r="S118" s="362">
        <f>M118+N118+O118+P118+Q118+R118</f>
        <v>27250</v>
      </c>
      <c r="T118" s="377"/>
      <c r="U118" s="377"/>
      <c r="V118" s="406">
        <f t="shared" si="33"/>
        <v>0</v>
      </c>
      <c r="W118" s="378">
        <v>0</v>
      </c>
      <c r="X118" s="479">
        <v>0</v>
      </c>
      <c r="Y118" s="376">
        <v>0</v>
      </c>
      <c r="Z118" s="379">
        <f t="shared" si="34"/>
        <v>0</v>
      </c>
      <c r="AA118" s="376"/>
      <c r="AB118" s="380"/>
      <c r="AC118" s="377"/>
      <c r="AD118" s="366"/>
      <c r="AE118" s="376"/>
      <c r="AF118" s="377"/>
      <c r="AG118" s="367"/>
      <c r="AH118" s="380"/>
      <c r="AI118" s="377"/>
      <c r="AJ118" s="367"/>
      <c r="AK118" s="432">
        <f t="shared" si="35"/>
        <v>36250</v>
      </c>
      <c r="AL118" s="335"/>
    </row>
    <row r="119" spans="1:38" s="336" customFormat="1" ht="18" customHeight="1" x14ac:dyDescent="0.25">
      <c r="A119" s="256">
        <v>56305</v>
      </c>
      <c r="B119" s="1087" t="s">
        <v>252</v>
      </c>
      <c r="C119" s="401">
        <v>0</v>
      </c>
      <c r="D119" s="370">
        <v>0</v>
      </c>
      <c r="E119" s="370">
        <v>0</v>
      </c>
      <c r="F119" s="370">
        <v>0</v>
      </c>
      <c r="G119" s="402">
        <f t="shared" si="43"/>
        <v>0</v>
      </c>
      <c r="H119" s="383">
        <v>0</v>
      </c>
      <c r="I119" s="373">
        <v>0</v>
      </c>
      <c r="J119" s="373">
        <v>0</v>
      </c>
      <c r="K119" s="373">
        <v>0</v>
      </c>
      <c r="L119" s="359">
        <f t="shared" si="45"/>
        <v>0</v>
      </c>
      <c r="M119" s="376">
        <v>0</v>
      </c>
      <c r="N119" s="377">
        <f>'AG3'!E88+'AG3'!E83</f>
        <v>85312</v>
      </c>
      <c r="O119" s="377">
        <v>0</v>
      </c>
      <c r="P119" s="377">
        <v>0</v>
      </c>
      <c r="Q119" s="377">
        <v>0</v>
      </c>
      <c r="R119" s="377">
        <v>0</v>
      </c>
      <c r="S119" s="362">
        <f>M119+N119+O119+P119+Q119+R119</f>
        <v>85312</v>
      </c>
      <c r="T119" s="377"/>
      <c r="U119" s="377"/>
      <c r="V119" s="406">
        <f t="shared" si="33"/>
        <v>0</v>
      </c>
      <c r="W119" s="378">
        <v>0</v>
      </c>
      <c r="X119" s="479">
        <v>0</v>
      </c>
      <c r="Y119" s="376">
        <v>0</v>
      </c>
      <c r="Z119" s="379">
        <f t="shared" si="34"/>
        <v>0</v>
      </c>
      <c r="AA119" s="376"/>
      <c r="AB119" s="380"/>
      <c r="AC119" s="377"/>
      <c r="AD119" s="366"/>
      <c r="AE119" s="376"/>
      <c r="AF119" s="377"/>
      <c r="AG119" s="367"/>
      <c r="AH119" s="380"/>
      <c r="AI119" s="377"/>
      <c r="AJ119" s="367"/>
      <c r="AK119" s="432">
        <f t="shared" si="35"/>
        <v>85312</v>
      </c>
      <c r="AL119" s="335"/>
    </row>
    <row r="120" spans="1:38" s="336" customFormat="1" ht="18" customHeight="1" x14ac:dyDescent="0.25">
      <c r="A120" s="258" t="s">
        <v>162</v>
      </c>
      <c r="B120" s="1088" t="s">
        <v>163</v>
      </c>
      <c r="C120" s="400">
        <v>0</v>
      </c>
      <c r="D120" s="354">
        <v>0</v>
      </c>
      <c r="E120" s="354">
        <v>0</v>
      </c>
      <c r="F120" s="354">
        <f>F141</f>
        <v>0</v>
      </c>
      <c r="G120" s="403">
        <f>G121+G132+G136+G141</f>
        <v>0</v>
      </c>
      <c r="H120" s="382">
        <f>H121+H132+H136+H141</f>
        <v>0</v>
      </c>
      <c r="I120" s="357">
        <f>I121+I132+I136+I141</f>
        <v>0</v>
      </c>
      <c r="J120" s="357">
        <f>J143</f>
        <v>0</v>
      </c>
      <c r="K120" s="357">
        <f>K121+K132+K136+K141</f>
        <v>0</v>
      </c>
      <c r="L120" s="359">
        <f>SUM(H120:K120)</f>
        <v>0</v>
      </c>
      <c r="M120" s="363">
        <f>M121+M132+M136+M141</f>
        <v>146750.14000000001</v>
      </c>
      <c r="N120" s="361">
        <f>N121+N132+N136+N141</f>
        <v>287175.33</v>
      </c>
      <c r="O120" s="361">
        <f>O121+O132+O136+O141</f>
        <v>271222.23</v>
      </c>
      <c r="P120" s="361">
        <v>0</v>
      </c>
      <c r="Q120" s="361">
        <v>0</v>
      </c>
      <c r="R120" s="361">
        <v>0</v>
      </c>
      <c r="S120" s="388">
        <f>M120+N120+O120+P120+Q120+R120</f>
        <v>705147.7</v>
      </c>
      <c r="T120" s="361">
        <f t="shared" ref="T120:U120" si="46">T121+T132+T136+T141</f>
        <v>108857.97</v>
      </c>
      <c r="U120" s="361">
        <f t="shared" si="46"/>
        <v>268760.29000000004</v>
      </c>
      <c r="V120" s="1073">
        <f t="shared" si="33"/>
        <v>377618.26</v>
      </c>
      <c r="W120" s="363">
        <f>W121+W132+W136+W141</f>
        <v>148.32</v>
      </c>
      <c r="X120" s="478">
        <f>X121+X132+X136+X141</f>
        <v>0</v>
      </c>
      <c r="Y120" s="360">
        <f>Y121+Y132+Y136+Y141</f>
        <v>0</v>
      </c>
      <c r="Z120" s="364">
        <f t="shared" si="34"/>
        <v>0</v>
      </c>
      <c r="AA120" s="360">
        <f>AA121+AA132+AA136+AA141</f>
        <v>0</v>
      </c>
      <c r="AB120" s="380">
        <f>SUM(M120:S120)</f>
        <v>1410295.4</v>
      </c>
      <c r="AC120" s="377"/>
      <c r="AD120" s="366"/>
      <c r="AE120" s="376"/>
      <c r="AF120" s="377"/>
      <c r="AG120" s="367"/>
      <c r="AH120" s="380"/>
      <c r="AI120" s="377"/>
      <c r="AJ120" s="367"/>
      <c r="AK120" s="407">
        <f t="shared" si="35"/>
        <v>1082914.28</v>
      </c>
      <c r="AL120" s="335"/>
    </row>
    <row r="121" spans="1:38" s="336" customFormat="1" ht="18" customHeight="1" x14ac:dyDescent="0.25">
      <c r="A121" s="258" t="s">
        <v>164</v>
      </c>
      <c r="B121" s="1088" t="s">
        <v>165</v>
      </c>
      <c r="C121" s="400">
        <v>0</v>
      </c>
      <c r="D121" s="354">
        <v>0</v>
      </c>
      <c r="E121" s="354">
        <v>0</v>
      </c>
      <c r="F121" s="354">
        <v>0</v>
      </c>
      <c r="G121" s="403">
        <v>0</v>
      </c>
      <c r="H121" s="382">
        <v>0</v>
      </c>
      <c r="I121" s="357">
        <v>0</v>
      </c>
      <c r="J121" s="357">
        <v>0</v>
      </c>
      <c r="K121" s="357">
        <v>0</v>
      </c>
      <c r="L121" s="359">
        <f t="shared" si="45"/>
        <v>0</v>
      </c>
      <c r="M121" s="363">
        <f>SUM(M122:M131)</f>
        <v>72745</v>
      </c>
      <c r="N121" s="361">
        <f>SUM(N122:N131)</f>
        <v>1340</v>
      </c>
      <c r="O121" s="361">
        <f>SUM(O122:O131)</f>
        <v>1300</v>
      </c>
      <c r="P121" s="361">
        <v>0</v>
      </c>
      <c r="Q121" s="361">
        <v>0</v>
      </c>
      <c r="R121" s="361">
        <v>0</v>
      </c>
      <c r="S121" s="388">
        <f t="shared" ref="S121:S126" si="47">M121+N121+O121+P121+R121</f>
        <v>75385</v>
      </c>
      <c r="T121" s="361"/>
      <c r="U121" s="361"/>
      <c r="V121" s="1073">
        <f t="shared" si="33"/>
        <v>0</v>
      </c>
      <c r="W121" s="363">
        <f>SUM(W122:W131)</f>
        <v>0</v>
      </c>
      <c r="X121" s="478">
        <v>0</v>
      </c>
      <c r="Y121" s="360">
        <v>0</v>
      </c>
      <c r="Z121" s="364">
        <f t="shared" si="34"/>
        <v>0</v>
      </c>
      <c r="AA121" s="376"/>
      <c r="AB121" s="380"/>
      <c r="AC121" s="377"/>
      <c r="AD121" s="366"/>
      <c r="AE121" s="376"/>
      <c r="AF121" s="377"/>
      <c r="AG121" s="367"/>
      <c r="AH121" s="380"/>
      <c r="AI121" s="377"/>
      <c r="AJ121" s="367"/>
      <c r="AK121" s="407">
        <f t="shared" si="35"/>
        <v>75385</v>
      </c>
      <c r="AL121" s="335"/>
    </row>
    <row r="122" spans="1:38" s="336" customFormat="1" ht="18" hidden="1" customHeight="1" x14ac:dyDescent="0.25">
      <c r="A122" s="255" t="s">
        <v>166</v>
      </c>
      <c r="B122" s="1086" t="s">
        <v>167</v>
      </c>
      <c r="C122" s="401">
        <v>0</v>
      </c>
      <c r="D122" s="370">
        <v>0</v>
      </c>
      <c r="E122" s="370">
        <v>0</v>
      </c>
      <c r="F122" s="370">
        <v>0</v>
      </c>
      <c r="G122" s="402">
        <v>0</v>
      </c>
      <c r="H122" s="383">
        <v>0</v>
      </c>
      <c r="I122" s="373">
        <v>0</v>
      </c>
      <c r="J122" s="373">
        <v>0</v>
      </c>
      <c r="K122" s="373">
        <v>0</v>
      </c>
      <c r="L122" s="359">
        <f t="shared" si="45"/>
        <v>0</v>
      </c>
      <c r="M122" s="378">
        <v>0</v>
      </c>
      <c r="N122" s="377">
        <v>0</v>
      </c>
      <c r="O122" s="377">
        <v>0</v>
      </c>
      <c r="P122" s="377">
        <v>0</v>
      </c>
      <c r="Q122" s="377">
        <v>0</v>
      </c>
      <c r="R122" s="377">
        <v>0</v>
      </c>
      <c r="S122" s="388">
        <f t="shared" si="47"/>
        <v>0</v>
      </c>
      <c r="T122" s="377"/>
      <c r="U122" s="377"/>
      <c r="V122" s="406">
        <f t="shared" si="33"/>
        <v>0</v>
      </c>
      <c r="W122" s="378">
        <v>0</v>
      </c>
      <c r="X122" s="479">
        <v>0</v>
      </c>
      <c r="Y122" s="376">
        <v>0</v>
      </c>
      <c r="Z122" s="379">
        <f t="shared" si="34"/>
        <v>0</v>
      </c>
      <c r="AA122" s="376"/>
      <c r="AB122" s="380"/>
      <c r="AC122" s="377"/>
      <c r="AD122" s="366"/>
      <c r="AE122" s="376"/>
      <c r="AF122" s="377"/>
      <c r="AG122" s="367"/>
      <c r="AH122" s="380"/>
      <c r="AI122" s="377"/>
      <c r="AJ122" s="367"/>
      <c r="AK122" s="407">
        <f t="shared" si="35"/>
        <v>0</v>
      </c>
      <c r="AL122" s="335"/>
    </row>
    <row r="123" spans="1:38" s="336" customFormat="1" ht="18" hidden="1" customHeight="1" x14ac:dyDescent="0.25">
      <c r="A123" s="255" t="s">
        <v>168</v>
      </c>
      <c r="B123" s="1086" t="s">
        <v>169</v>
      </c>
      <c r="C123" s="401">
        <v>0</v>
      </c>
      <c r="D123" s="370">
        <v>0</v>
      </c>
      <c r="E123" s="370">
        <v>0</v>
      </c>
      <c r="F123" s="370">
        <v>0</v>
      </c>
      <c r="G123" s="402">
        <v>0</v>
      </c>
      <c r="H123" s="383">
        <v>0</v>
      </c>
      <c r="I123" s="373">
        <v>0</v>
      </c>
      <c r="J123" s="373">
        <v>0</v>
      </c>
      <c r="K123" s="373">
        <v>0</v>
      </c>
      <c r="L123" s="359">
        <f t="shared" si="45"/>
        <v>0</v>
      </c>
      <c r="M123" s="378">
        <v>0</v>
      </c>
      <c r="N123" s="377">
        <v>0</v>
      </c>
      <c r="O123" s="377">
        <v>0</v>
      </c>
      <c r="P123" s="377">
        <v>0</v>
      </c>
      <c r="Q123" s="377">
        <v>0</v>
      </c>
      <c r="R123" s="377">
        <v>0</v>
      </c>
      <c r="S123" s="388">
        <f t="shared" si="47"/>
        <v>0</v>
      </c>
      <c r="T123" s="377"/>
      <c r="U123" s="377"/>
      <c r="V123" s="406">
        <f t="shared" si="33"/>
        <v>0</v>
      </c>
      <c r="W123" s="378">
        <v>0</v>
      </c>
      <c r="X123" s="479">
        <v>0</v>
      </c>
      <c r="Y123" s="376">
        <v>0</v>
      </c>
      <c r="Z123" s="379">
        <f t="shared" si="34"/>
        <v>0</v>
      </c>
      <c r="AA123" s="376"/>
      <c r="AB123" s="380"/>
      <c r="AC123" s="377"/>
      <c r="AD123" s="366"/>
      <c r="AE123" s="376"/>
      <c r="AF123" s="377"/>
      <c r="AG123" s="367"/>
      <c r="AH123" s="380"/>
      <c r="AI123" s="377"/>
      <c r="AJ123" s="367"/>
      <c r="AK123" s="407">
        <f t="shared" si="35"/>
        <v>0</v>
      </c>
      <c r="AL123" s="335"/>
    </row>
    <row r="124" spans="1:38" s="336" customFormat="1" ht="18" hidden="1" customHeight="1" x14ac:dyDescent="0.25">
      <c r="A124" s="255" t="s">
        <v>170</v>
      </c>
      <c r="B124" s="1086" t="s">
        <v>171</v>
      </c>
      <c r="C124" s="401">
        <v>0</v>
      </c>
      <c r="D124" s="370">
        <v>0</v>
      </c>
      <c r="E124" s="370">
        <v>0</v>
      </c>
      <c r="F124" s="370">
        <v>0</v>
      </c>
      <c r="G124" s="402">
        <v>0</v>
      </c>
      <c r="H124" s="383">
        <v>0</v>
      </c>
      <c r="I124" s="373">
        <v>0</v>
      </c>
      <c r="J124" s="373">
        <v>0</v>
      </c>
      <c r="K124" s="373">
        <v>0</v>
      </c>
      <c r="L124" s="359">
        <f t="shared" si="45"/>
        <v>0</v>
      </c>
      <c r="M124" s="378">
        <v>0</v>
      </c>
      <c r="N124" s="377">
        <v>0</v>
      </c>
      <c r="O124" s="377">
        <v>0</v>
      </c>
      <c r="P124" s="377">
        <v>0</v>
      </c>
      <c r="Q124" s="377">
        <v>0</v>
      </c>
      <c r="R124" s="377">
        <v>0</v>
      </c>
      <c r="S124" s="388">
        <f t="shared" si="47"/>
        <v>0</v>
      </c>
      <c r="T124" s="377"/>
      <c r="U124" s="377"/>
      <c r="V124" s="406">
        <f t="shared" si="33"/>
        <v>0</v>
      </c>
      <c r="W124" s="378">
        <v>0</v>
      </c>
      <c r="X124" s="479">
        <v>0</v>
      </c>
      <c r="Y124" s="376">
        <v>0</v>
      </c>
      <c r="Z124" s="379">
        <f t="shared" si="34"/>
        <v>0</v>
      </c>
      <c r="AA124" s="376"/>
      <c r="AB124" s="380"/>
      <c r="AC124" s="377"/>
      <c r="AD124" s="366"/>
      <c r="AE124" s="376"/>
      <c r="AF124" s="377"/>
      <c r="AG124" s="367"/>
      <c r="AH124" s="380"/>
      <c r="AI124" s="377"/>
      <c r="AJ124" s="367"/>
      <c r="AK124" s="407">
        <f t="shared" si="35"/>
        <v>0</v>
      </c>
      <c r="AL124" s="335"/>
    </row>
    <row r="125" spans="1:38" s="336" customFormat="1" ht="18" customHeight="1" x14ac:dyDescent="0.25">
      <c r="A125" s="255" t="s">
        <v>166</v>
      </c>
      <c r="B125" s="1086" t="s">
        <v>167</v>
      </c>
      <c r="C125" s="401"/>
      <c r="D125" s="370"/>
      <c r="E125" s="370"/>
      <c r="F125" s="370"/>
      <c r="G125" s="402"/>
      <c r="H125" s="383"/>
      <c r="I125" s="373"/>
      <c r="J125" s="373"/>
      <c r="K125" s="373"/>
      <c r="L125" s="359"/>
      <c r="M125" s="378">
        <f>'AG3'!E15+'AG3'!E32</f>
        <v>8950</v>
      </c>
      <c r="N125" s="377"/>
      <c r="O125" s="377"/>
      <c r="P125" s="377"/>
      <c r="Q125" s="377"/>
      <c r="R125" s="377"/>
      <c r="S125" s="388">
        <f t="shared" si="47"/>
        <v>8950</v>
      </c>
      <c r="T125" s="377"/>
      <c r="U125" s="377"/>
      <c r="V125" s="406">
        <f t="shared" si="33"/>
        <v>0</v>
      </c>
      <c r="W125" s="378"/>
      <c r="X125" s="479"/>
      <c r="Y125" s="376"/>
      <c r="Z125" s="379"/>
      <c r="AA125" s="376"/>
      <c r="AB125" s="380"/>
      <c r="AC125" s="377"/>
      <c r="AD125" s="366"/>
      <c r="AE125" s="376"/>
      <c r="AF125" s="377"/>
      <c r="AG125" s="367"/>
      <c r="AH125" s="380"/>
      <c r="AI125" s="377"/>
      <c r="AJ125" s="367"/>
      <c r="AK125" s="407">
        <f t="shared" si="35"/>
        <v>8950</v>
      </c>
      <c r="AL125" s="335"/>
    </row>
    <row r="126" spans="1:38" s="336" customFormat="1" ht="18" customHeight="1" x14ac:dyDescent="0.25">
      <c r="A126" s="255" t="s">
        <v>168</v>
      </c>
      <c r="B126" s="1086" t="s">
        <v>797</v>
      </c>
      <c r="C126" s="401"/>
      <c r="D126" s="370"/>
      <c r="E126" s="370"/>
      <c r="F126" s="370"/>
      <c r="G126" s="402"/>
      <c r="H126" s="383"/>
      <c r="I126" s="373"/>
      <c r="J126" s="373"/>
      <c r="K126" s="373"/>
      <c r="L126" s="359"/>
      <c r="M126" s="378">
        <f>'AG3'!E16+'AG3'!E33</f>
        <v>12190</v>
      </c>
      <c r="N126" s="377">
        <f>'AG3'!E118</f>
        <v>1340</v>
      </c>
      <c r="O126" s="377"/>
      <c r="P126" s="377"/>
      <c r="Q126" s="377"/>
      <c r="R126" s="377"/>
      <c r="S126" s="388">
        <f t="shared" si="47"/>
        <v>13530</v>
      </c>
      <c r="T126" s="377"/>
      <c r="U126" s="377"/>
      <c r="V126" s="406">
        <f t="shared" si="33"/>
        <v>0</v>
      </c>
      <c r="W126" s="378"/>
      <c r="X126" s="479"/>
      <c r="Y126" s="376"/>
      <c r="Z126" s="379"/>
      <c r="AA126" s="376"/>
      <c r="AB126" s="380"/>
      <c r="AC126" s="377"/>
      <c r="AD126" s="366"/>
      <c r="AE126" s="376"/>
      <c r="AF126" s="377"/>
      <c r="AG126" s="367"/>
      <c r="AH126" s="380"/>
      <c r="AI126" s="377"/>
      <c r="AJ126" s="367"/>
      <c r="AK126" s="407">
        <f t="shared" si="35"/>
        <v>13530</v>
      </c>
      <c r="AL126" s="335"/>
    </row>
    <row r="127" spans="1:38" s="336" customFormat="1" ht="18" customHeight="1" x14ac:dyDescent="0.25">
      <c r="A127" s="255" t="s">
        <v>172</v>
      </c>
      <c r="B127" s="1086" t="s">
        <v>173</v>
      </c>
      <c r="C127" s="401">
        <v>0</v>
      </c>
      <c r="D127" s="370">
        <v>0</v>
      </c>
      <c r="E127" s="370">
        <v>0</v>
      </c>
      <c r="F127" s="370">
        <v>0</v>
      </c>
      <c r="G127" s="402">
        <v>0</v>
      </c>
      <c r="H127" s="383">
        <v>0</v>
      </c>
      <c r="I127" s="373">
        <v>0</v>
      </c>
      <c r="J127" s="373">
        <v>0</v>
      </c>
      <c r="K127" s="373">
        <v>0</v>
      </c>
      <c r="L127" s="359">
        <f t="shared" si="45"/>
        <v>0</v>
      </c>
      <c r="M127" s="378">
        <f>'AG3'!E17</f>
        <v>15180</v>
      </c>
      <c r="N127" s="377">
        <v>0</v>
      </c>
      <c r="O127" s="377">
        <v>0</v>
      </c>
      <c r="P127" s="377">
        <v>0</v>
      </c>
      <c r="Q127" s="377">
        <v>0</v>
      </c>
      <c r="R127" s="377">
        <v>0</v>
      </c>
      <c r="S127" s="362">
        <f>M127+N127+O127+P127+Q127+R127</f>
        <v>15180</v>
      </c>
      <c r="T127" s="377"/>
      <c r="U127" s="377"/>
      <c r="V127" s="406">
        <f t="shared" si="33"/>
        <v>0</v>
      </c>
      <c r="W127" s="378">
        <v>0</v>
      </c>
      <c r="X127" s="479">
        <v>0</v>
      </c>
      <c r="Y127" s="376">
        <v>0</v>
      </c>
      <c r="Z127" s="379">
        <f t="shared" si="34"/>
        <v>0</v>
      </c>
      <c r="AA127" s="376"/>
      <c r="AB127" s="380"/>
      <c r="AC127" s="377"/>
      <c r="AD127" s="366"/>
      <c r="AE127" s="376"/>
      <c r="AF127" s="377"/>
      <c r="AG127" s="367"/>
      <c r="AH127" s="380"/>
      <c r="AI127" s="377"/>
      <c r="AJ127" s="367"/>
      <c r="AK127" s="432">
        <f t="shared" si="35"/>
        <v>15180</v>
      </c>
      <c r="AL127" s="335"/>
    </row>
    <row r="128" spans="1:38" s="336" customFormat="1" ht="18" customHeight="1" x14ac:dyDescent="0.25">
      <c r="A128" s="255" t="s">
        <v>174</v>
      </c>
      <c r="B128" s="1086" t="s">
        <v>175</v>
      </c>
      <c r="C128" s="401">
        <v>0</v>
      </c>
      <c r="D128" s="370">
        <v>0</v>
      </c>
      <c r="E128" s="370">
        <v>0</v>
      </c>
      <c r="F128" s="370">
        <v>0</v>
      </c>
      <c r="G128" s="402">
        <v>0</v>
      </c>
      <c r="H128" s="383">
        <v>0</v>
      </c>
      <c r="I128" s="373">
        <v>0</v>
      </c>
      <c r="J128" s="373">
        <v>0</v>
      </c>
      <c r="K128" s="373">
        <v>0</v>
      </c>
      <c r="L128" s="359">
        <f t="shared" si="45"/>
        <v>0</v>
      </c>
      <c r="M128" s="378">
        <f>'AG3'!E20</f>
        <v>30000</v>
      </c>
      <c r="N128" s="377">
        <v>0</v>
      </c>
      <c r="O128" s="377">
        <v>0</v>
      </c>
      <c r="P128" s="377">
        <v>0</v>
      </c>
      <c r="Q128" s="377">
        <v>0</v>
      </c>
      <c r="R128" s="377">
        <v>0</v>
      </c>
      <c r="S128" s="362">
        <f>M128+N128+O128+P128+Q128+R128</f>
        <v>30000</v>
      </c>
      <c r="T128" s="377"/>
      <c r="U128" s="377"/>
      <c r="V128" s="406">
        <f t="shared" si="33"/>
        <v>0</v>
      </c>
      <c r="W128" s="378">
        <f>'AG4'!G19</f>
        <v>0</v>
      </c>
      <c r="X128" s="479">
        <v>0</v>
      </c>
      <c r="Y128" s="376">
        <v>0</v>
      </c>
      <c r="Z128" s="379">
        <f t="shared" si="34"/>
        <v>0</v>
      </c>
      <c r="AA128" s="376"/>
      <c r="AB128" s="380"/>
      <c r="AC128" s="377"/>
      <c r="AD128" s="366"/>
      <c r="AE128" s="376"/>
      <c r="AF128" s="377"/>
      <c r="AG128" s="367"/>
      <c r="AH128" s="380"/>
      <c r="AI128" s="377"/>
      <c r="AJ128" s="367"/>
      <c r="AK128" s="432">
        <f t="shared" si="35"/>
        <v>30000</v>
      </c>
      <c r="AL128" s="335"/>
    </row>
    <row r="129" spans="1:38" s="336" customFormat="1" ht="18" customHeight="1" x14ac:dyDescent="0.25">
      <c r="A129" s="255" t="s">
        <v>176</v>
      </c>
      <c r="B129" s="1086" t="s">
        <v>177</v>
      </c>
      <c r="C129" s="401">
        <v>0</v>
      </c>
      <c r="D129" s="370">
        <v>0</v>
      </c>
      <c r="E129" s="370">
        <v>0</v>
      </c>
      <c r="F129" s="370">
        <v>0</v>
      </c>
      <c r="G129" s="402">
        <v>0</v>
      </c>
      <c r="H129" s="383">
        <v>0</v>
      </c>
      <c r="I129" s="373">
        <v>0</v>
      </c>
      <c r="J129" s="373">
        <v>0</v>
      </c>
      <c r="K129" s="373">
        <v>0</v>
      </c>
      <c r="L129" s="359">
        <f t="shared" si="45"/>
        <v>0</v>
      </c>
      <c r="M129" s="378">
        <v>0</v>
      </c>
      <c r="N129" s="377">
        <v>0</v>
      </c>
      <c r="O129" s="377">
        <v>0</v>
      </c>
      <c r="P129" s="377">
        <v>0</v>
      </c>
      <c r="Q129" s="377">
        <v>0</v>
      </c>
      <c r="R129" s="377">
        <v>0</v>
      </c>
      <c r="S129" s="362">
        <f>M129+N129+O129+P129+Q129+R129</f>
        <v>0</v>
      </c>
      <c r="T129" s="377"/>
      <c r="U129" s="377"/>
      <c r="V129" s="406">
        <f t="shared" si="33"/>
        <v>0</v>
      </c>
      <c r="W129" s="378">
        <v>0</v>
      </c>
      <c r="X129" s="479">
        <v>0</v>
      </c>
      <c r="Y129" s="376">
        <v>0</v>
      </c>
      <c r="Z129" s="379">
        <f t="shared" si="34"/>
        <v>0</v>
      </c>
      <c r="AA129" s="376"/>
      <c r="AB129" s="380"/>
      <c r="AC129" s="377"/>
      <c r="AD129" s="366"/>
      <c r="AE129" s="376"/>
      <c r="AF129" s="377"/>
      <c r="AG129" s="367"/>
      <c r="AH129" s="380"/>
      <c r="AI129" s="377"/>
      <c r="AJ129" s="367"/>
      <c r="AK129" s="432">
        <f t="shared" si="35"/>
        <v>0</v>
      </c>
      <c r="AL129" s="335"/>
    </row>
    <row r="130" spans="1:38" s="336" customFormat="1" ht="18" customHeight="1" x14ac:dyDescent="0.25">
      <c r="A130" s="255" t="s">
        <v>178</v>
      </c>
      <c r="B130" s="1086" t="s">
        <v>179</v>
      </c>
      <c r="C130" s="401">
        <v>0</v>
      </c>
      <c r="D130" s="370">
        <v>0</v>
      </c>
      <c r="E130" s="370">
        <v>0</v>
      </c>
      <c r="F130" s="370">
        <v>0</v>
      </c>
      <c r="G130" s="402">
        <v>0</v>
      </c>
      <c r="H130" s="383">
        <v>0</v>
      </c>
      <c r="I130" s="373">
        <v>0</v>
      </c>
      <c r="J130" s="373">
        <v>0</v>
      </c>
      <c r="K130" s="373">
        <v>0</v>
      </c>
      <c r="L130" s="359">
        <f t="shared" si="45"/>
        <v>0</v>
      </c>
      <c r="M130" s="378">
        <v>0</v>
      </c>
      <c r="N130" s="377">
        <v>0</v>
      </c>
      <c r="O130" s="377">
        <v>0</v>
      </c>
      <c r="P130" s="377">
        <v>0</v>
      </c>
      <c r="Q130" s="377">
        <v>0</v>
      </c>
      <c r="R130" s="377">
        <v>0</v>
      </c>
      <c r="S130" s="362">
        <f>M130+N130+O130+P130+Q130+R130</f>
        <v>0</v>
      </c>
      <c r="T130" s="377"/>
      <c r="U130" s="377"/>
      <c r="V130" s="406">
        <f t="shared" si="33"/>
        <v>0</v>
      </c>
      <c r="W130" s="378">
        <v>0</v>
      </c>
      <c r="X130" s="479">
        <v>0</v>
      </c>
      <c r="Y130" s="376">
        <v>0</v>
      </c>
      <c r="Z130" s="379">
        <f t="shared" si="34"/>
        <v>0</v>
      </c>
      <c r="AA130" s="376"/>
      <c r="AB130" s="380"/>
      <c r="AC130" s="377"/>
      <c r="AD130" s="366"/>
      <c r="AE130" s="376"/>
      <c r="AF130" s="377"/>
      <c r="AG130" s="367"/>
      <c r="AH130" s="380"/>
      <c r="AI130" s="377"/>
      <c r="AJ130" s="367"/>
      <c r="AK130" s="432">
        <f t="shared" si="35"/>
        <v>0</v>
      </c>
      <c r="AL130" s="335"/>
    </row>
    <row r="131" spans="1:38" s="336" customFormat="1" ht="18" customHeight="1" x14ac:dyDescent="0.25">
      <c r="A131" s="255" t="s">
        <v>180</v>
      </c>
      <c r="B131" s="1086" t="s">
        <v>181</v>
      </c>
      <c r="C131" s="401">
        <v>0</v>
      </c>
      <c r="D131" s="370">
        <v>0</v>
      </c>
      <c r="E131" s="370">
        <v>0</v>
      </c>
      <c r="F131" s="370">
        <v>0</v>
      </c>
      <c r="G131" s="402">
        <v>0</v>
      </c>
      <c r="H131" s="383">
        <v>0</v>
      </c>
      <c r="I131" s="373">
        <v>0</v>
      </c>
      <c r="J131" s="373">
        <v>0</v>
      </c>
      <c r="K131" s="373">
        <v>0</v>
      </c>
      <c r="L131" s="359">
        <f t="shared" si="45"/>
        <v>0</v>
      </c>
      <c r="M131" s="378">
        <f>'AG3'!E34</f>
        <v>6425</v>
      </c>
      <c r="N131" s="377">
        <v>0</v>
      </c>
      <c r="O131" s="377">
        <f>'AG4'!E51</f>
        <v>1300</v>
      </c>
      <c r="P131" s="377">
        <v>0</v>
      </c>
      <c r="Q131" s="377">
        <v>0</v>
      </c>
      <c r="R131" s="377">
        <v>0</v>
      </c>
      <c r="S131" s="362">
        <f>M131+N131+O131+P131+Q131+R131</f>
        <v>7725</v>
      </c>
      <c r="T131" s="377"/>
      <c r="U131" s="377"/>
      <c r="V131" s="406">
        <f t="shared" si="33"/>
        <v>0</v>
      </c>
      <c r="W131" s="378">
        <v>0</v>
      </c>
      <c r="X131" s="479">
        <v>0</v>
      </c>
      <c r="Y131" s="376">
        <v>0</v>
      </c>
      <c r="Z131" s="379">
        <f t="shared" si="34"/>
        <v>0</v>
      </c>
      <c r="AA131" s="376"/>
      <c r="AB131" s="380"/>
      <c r="AC131" s="377"/>
      <c r="AD131" s="366"/>
      <c r="AE131" s="376"/>
      <c r="AF131" s="377"/>
      <c r="AG131" s="367"/>
      <c r="AH131" s="380"/>
      <c r="AI131" s="377"/>
      <c r="AJ131" s="367"/>
      <c r="AK131" s="432">
        <f t="shared" si="35"/>
        <v>7725</v>
      </c>
      <c r="AL131" s="335"/>
    </row>
    <row r="132" spans="1:38" s="336" customFormat="1" ht="18" customHeight="1" x14ac:dyDescent="0.25">
      <c r="A132" s="258" t="s">
        <v>239</v>
      </c>
      <c r="B132" s="1088" t="s">
        <v>193</v>
      </c>
      <c r="C132" s="400">
        <v>0</v>
      </c>
      <c r="D132" s="354">
        <v>0</v>
      </c>
      <c r="E132" s="354">
        <v>0</v>
      </c>
      <c r="F132" s="354">
        <v>0</v>
      </c>
      <c r="G132" s="403">
        <v>0</v>
      </c>
      <c r="H132" s="382">
        <v>0</v>
      </c>
      <c r="I132" s="357">
        <v>0</v>
      </c>
      <c r="J132" s="357">
        <v>0</v>
      </c>
      <c r="K132" s="357">
        <v>0</v>
      </c>
      <c r="L132" s="359">
        <f t="shared" si="45"/>
        <v>0</v>
      </c>
      <c r="M132" s="363">
        <v>0</v>
      </c>
      <c r="N132" s="361">
        <f>N133+N134+N135</f>
        <v>0</v>
      </c>
      <c r="O132" s="361">
        <v>0</v>
      </c>
      <c r="P132" s="361">
        <v>0</v>
      </c>
      <c r="Q132" s="361">
        <v>0</v>
      </c>
      <c r="R132" s="361">
        <v>0</v>
      </c>
      <c r="S132" s="388">
        <f>M132+N132+O132+P132+R132</f>
        <v>0</v>
      </c>
      <c r="T132" s="361"/>
      <c r="U132" s="361"/>
      <c r="V132" s="1073">
        <f t="shared" si="33"/>
        <v>0</v>
      </c>
      <c r="W132" s="363">
        <v>0</v>
      </c>
      <c r="X132" s="478">
        <v>0</v>
      </c>
      <c r="Y132" s="360">
        <v>0</v>
      </c>
      <c r="Z132" s="364">
        <f t="shared" si="34"/>
        <v>0</v>
      </c>
      <c r="AA132" s="376"/>
      <c r="AB132" s="380"/>
      <c r="AC132" s="377"/>
      <c r="AD132" s="366"/>
      <c r="AE132" s="376"/>
      <c r="AF132" s="377"/>
      <c r="AG132" s="367"/>
      <c r="AH132" s="380"/>
      <c r="AI132" s="377"/>
      <c r="AJ132" s="367"/>
      <c r="AK132" s="407">
        <f t="shared" si="35"/>
        <v>0</v>
      </c>
      <c r="AL132" s="335"/>
    </row>
    <row r="133" spans="1:38" s="336" customFormat="1" ht="18" hidden="1" customHeight="1" x14ac:dyDescent="0.25">
      <c r="A133" s="255" t="s">
        <v>240</v>
      </c>
      <c r="B133" s="1086" t="s">
        <v>241</v>
      </c>
      <c r="C133" s="401">
        <v>0</v>
      </c>
      <c r="D133" s="370">
        <v>0</v>
      </c>
      <c r="E133" s="370">
        <v>0</v>
      </c>
      <c r="F133" s="370">
        <v>0</v>
      </c>
      <c r="G133" s="402">
        <v>0</v>
      </c>
      <c r="H133" s="383">
        <v>0</v>
      </c>
      <c r="I133" s="373">
        <v>0</v>
      </c>
      <c r="J133" s="373">
        <v>0</v>
      </c>
      <c r="K133" s="373">
        <v>0</v>
      </c>
      <c r="L133" s="359">
        <f t="shared" si="45"/>
        <v>0</v>
      </c>
      <c r="M133" s="378">
        <v>0</v>
      </c>
      <c r="N133" s="377">
        <v>0</v>
      </c>
      <c r="O133" s="377">
        <v>0</v>
      </c>
      <c r="P133" s="377">
        <v>0</v>
      </c>
      <c r="Q133" s="377">
        <v>0</v>
      </c>
      <c r="R133" s="377">
        <v>0</v>
      </c>
      <c r="S133" s="362">
        <f>M133+N133+O133+P133+Q133+R133</f>
        <v>0</v>
      </c>
      <c r="T133" s="377"/>
      <c r="U133" s="377"/>
      <c r="V133" s="406">
        <f t="shared" si="33"/>
        <v>0</v>
      </c>
      <c r="W133" s="378">
        <v>0</v>
      </c>
      <c r="X133" s="479">
        <v>0</v>
      </c>
      <c r="Y133" s="376">
        <v>0</v>
      </c>
      <c r="Z133" s="379">
        <f t="shared" si="34"/>
        <v>0</v>
      </c>
      <c r="AA133" s="376"/>
      <c r="AB133" s="380"/>
      <c r="AC133" s="377"/>
      <c r="AD133" s="366"/>
      <c r="AE133" s="376"/>
      <c r="AF133" s="377"/>
      <c r="AG133" s="367"/>
      <c r="AH133" s="380"/>
      <c r="AI133" s="377"/>
      <c r="AJ133" s="367"/>
      <c r="AK133" s="407">
        <f t="shared" si="35"/>
        <v>0</v>
      </c>
      <c r="AL133" s="335"/>
    </row>
    <row r="134" spans="1:38" s="336" customFormat="1" ht="18" customHeight="1" x14ac:dyDescent="0.25">
      <c r="A134" s="255" t="s">
        <v>242</v>
      </c>
      <c r="B134" s="1086" t="s">
        <v>243</v>
      </c>
      <c r="C134" s="401">
        <v>0</v>
      </c>
      <c r="D134" s="370">
        <v>0</v>
      </c>
      <c r="E134" s="370">
        <v>0</v>
      </c>
      <c r="F134" s="370">
        <v>0</v>
      </c>
      <c r="G134" s="402">
        <v>0</v>
      </c>
      <c r="H134" s="383">
        <v>0</v>
      </c>
      <c r="I134" s="373">
        <v>0</v>
      </c>
      <c r="J134" s="373">
        <v>0</v>
      </c>
      <c r="K134" s="373">
        <v>0</v>
      </c>
      <c r="L134" s="359">
        <f t="shared" si="45"/>
        <v>0</v>
      </c>
      <c r="M134" s="378">
        <v>0</v>
      </c>
      <c r="N134" s="377">
        <v>0</v>
      </c>
      <c r="O134" s="377">
        <v>0</v>
      </c>
      <c r="P134" s="377">
        <v>0</v>
      </c>
      <c r="Q134" s="377">
        <v>0</v>
      </c>
      <c r="R134" s="377">
        <v>0</v>
      </c>
      <c r="S134" s="362">
        <f>M134+N134+O134+P134+Q134+R134</f>
        <v>0</v>
      </c>
      <c r="T134" s="377"/>
      <c r="U134" s="377"/>
      <c r="V134" s="406">
        <f t="shared" si="33"/>
        <v>0</v>
      </c>
      <c r="W134" s="378">
        <v>0</v>
      </c>
      <c r="X134" s="479">
        <v>0</v>
      </c>
      <c r="Y134" s="376">
        <v>0</v>
      </c>
      <c r="Z134" s="379">
        <f t="shared" si="34"/>
        <v>0</v>
      </c>
      <c r="AA134" s="376"/>
      <c r="AB134" s="380"/>
      <c r="AC134" s="377"/>
      <c r="AD134" s="366"/>
      <c r="AE134" s="376"/>
      <c r="AF134" s="377"/>
      <c r="AG134" s="367"/>
      <c r="AH134" s="380"/>
      <c r="AI134" s="377"/>
      <c r="AJ134" s="367"/>
      <c r="AK134" s="432">
        <f t="shared" si="35"/>
        <v>0</v>
      </c>
      <c r="AL134" s="335"/>
    </row>
    <row r="135" spans="1:38" s="336" customFormat="1" ht="18" hidden="1" customHeight="1" x14ac:dyDescent="0.25">
      <c r="A135" s="255" t="s">
        <v>244</v>
      </c>
      <c r="B135" s="1086" t="s">
        <v>245</v>
      </c>
      <c r="C135" s="401">
        <v>0</v>
      </c>
      <c r="D135" s="370">
        <v>0</v>
      </c>
      <c r="E135" s="370">
        <v>0</v>
      </c>
      <c r="F135" s="370">
        <v>0</v>
      </c>
      <c r="G135" s="402">
        <v>0</v>
      </c>
      <c r="H135" s="383">
        <v>0</v>
      </c>
      <c r="I135" s="373">
        <v>0</v>
      </c>
      <c r="J135" s="373">
        <v>0</v>
      </c>
      <c r="K135" s="373">
        <v>0</v>
      </c>
      <c r="L135" s="359">
        <f t="shared" si="45"/>
        <v>0</v>
      </c>
      <c r="M135" s="378">
        <v>0</v>
      </c>
      <c r="N135" s="377">
        <v>0</v>
      </c>
      <c r="O135" s="377">
        <v>0</v>
      </c>
      <c r="P135" s="377">
        <v>0</v>
      </c>
      <c r="Q135" s="377">
        <v>0</v>
      </c>
      <c r="R135" s="377">
        <v>0</v>
      </c>
      <c r="S135" s="362">
        <f>M135+N135+O135+P135+Q135+R135</f>
        <v>0</v>
      </c>
      <c r="T135" s="377"/>
      <c r="U135" s="377"/>
      <c r="V135" s="406">
        <f t="shared" si="33"/>
        <v>0</v>
      </c>
      <c r="W135" s="378">
        <v>0</v>
      </c>
      <c r="X135" s="479">
        <v>0</v>
      </c>
      <c r="Y135" s="376">
        <v>0</v>
      </c>
      <c r="Z135" s="379">
        <f t="shared" si="34"/>
        <v>0</v>
      </c>
      <c r="AA135" s="376"/>
      <c r="AB135" s="380"/>
      <c r="AC135" s="377"/>
      <c r="AD135" s="366"/>
      <c r="AE135" s="376"/>
      <c r="AF135" s="377"/>
      <c r="AG135" s="367"/>
      <c r="AH135" s="380"/>
      <c r="AI135" s="377"/>
      <c r="AJ135" s="367"/>
      <c r="AK135" s="407">
        <f t="shared" si="35"/>
        <v>0</v>
      </c>
      <c r="AL135" s="335"/>
    </row>
    <row r="136" spans="1:38" s="336" customFormat="1" ht="18" customHeight="1" x14ac:dyDescent="0.25">
      <c r="A136" s="254">
        <v>615</v>
      </c>
      <c r="B136" s="1088" t="s">
        <v>194</v>
      </c>
      <c r="C136" s="400">
        <v>0</v>
      </c>
      <c r="D136" s="354">
        <v>0</v>
      </c>
      <c r="E136" s="354">
        <v>0</v>
      </c>
      <c r="F136" s="354">
        <v>0</v>
      </c>
      <c r="G136" s="403">
        <v>0</v>
      </c>
      <c r="H136" s="382">
        <v>0</v>
      </c>
      <c r="I136" s="357">
        <v>0</v>
      </c>
      <c r="J136" s="357">
        <v>0</v>
      </c>
      <c r="K136" s="357">
        <v>0</v>
      </c>
      <c r="L136" s="359">
        <f t="shared" si="45"/>
        <v>0</v>
      </c>
      <c r="M136" s="363">
        <f>M137+M138+M139+M140</f>
        <v>74005.14</v>
      </c>
      <c r="N136" s="361">
        <v>0</v>
      </c>
      <c r="O136" s="361">
        <v>0</v>
      </c>
      <c r="P136" s="361">
        <v>0</v>
      </c>
      <c r="Q136" s="361">
        <v>0</v>
      </c>
      <c r="R136" s="361">
        <v>0</v>
      </c>
      <c r="S136" s="388">
        <f>M136+N136+O136+P136+R136</f>
        <v>74005.14</v>
      </c>
      <c r="T136" s="361"/>
      <c r="U136" s="361"/>
      <c r="V136" s="1073">
        <f t="shared" si="33"/>
        <v>0</v>
      </c>
      <c r="W136" s="363">
        <v>0</v>
      </c>
      <c r="X136" s="478">
        <v>0</v>
      </c>
      <c r="Y136" s="360">
        <v>0</v>
      </c>
      <c r="Z136" s="364">
        <f t="shared" si="34"/>
        <v>0</v>
      </c>
      <c r="AA136" s="376"/>
      <c r="AB136" s="380"/>
      <c r="AC136" s="377"/>
      <c r="AD136" s="366"/>
      <c r="AE136" s="376"/>
      <c r="AF136" s="377"/>
      <c r="AG136" s="367"/>
      <c r="AH136" s="380"/>
      <c r="AI136" s="377"/>
      <c r="AJ136" s="367"/>
      <c r="AK136" s="407">
        <f t="shared" si="35"/>
        <v>74005.14</v>
      </c>
      <c r="AL136" s="335"/>
    </row>
    <row r="137" spans="1:38" s="336" customFormat="1" ht="18" hidden="1" customHeight="1" x14ac:dyDescent="0.25">
      <c r="A137" s="256">
        <v>61501</v>
      </c>
      <c r="B137" s="1086" t="s">
        <v>195</v>
      </c>
      <c r="C137" s="401">
        <v>0</v>
      </c>
      <c r="D137" s="370">
        <v>0</v>
      </c>
      <c r="E137" s="370">
        <v>0</v>
      </c>
      <c r="F137" s="370">
        <v>0</v>
      </c>
      <c r="G137" s="402">
        <v>0</v>
      </c>
      <c r="H137" s="383">
        <v>0</v>
      </c>
      <c r="I137" s="373">
        <v>0</v>
      </c>
      <c r="J137" s="373">
        <v>0</v>
      </c>
      <c r="K137" s="373">
        <v>0</v>
      </c>
      <c r="L137" s="359">
        <f t="shared" si="45"/>
        <v>0</v>
      </c>
      <c r="M137" s="378">
        <v>0</v>
      </c>
      <c r="N137" s="377">
        <v>0</v>
      </c>
      <c r="O137" s="377">
        <v>0</v>
      </c>
      <c r="P137" s="377">
        <v>0</v>
      </c>
      <c r="Q137" s="377">
        <v>0</v>
      </c>
      <c r="R137" s="377">
        <v>0</v>
      </c>
      <c r="S137" s="362">
        <f t="shared" ref="S137:S149" si="48">M137+N137+O137+P137+Q137+R137</f>
        <v>0</v>
      </c>
      <c r="T137" s="377"/>
      <c r="U137" s="377"/>
      <c r="V137" s="406">
        <f t="shared" si="33"/>
        <v>0</v>
      </c>
      <c r="W137" s="378">
        <v>0</v>
      </c>
      <c r="X137" s="479">
        <v>0</v>
      </c>
      <c r="Y137" s="376">
        <v>0</v>
      </c>
      <c r="Z137" s="364">
        <f t="shared" si="34"/>
        <v>0</v>
      </c>
      <c r="AA137" s="376"/>
      <c r="AB137" s="380"/>
      <c r="AC137" s="377"/>
      <c r="AD137" s="366"/>
      <c r="AE137" s="376"/>
      <c r="AF137" s="377"/>
      <c r="AG137" s="367"/>
      <c r="AH137" s="380"/>
      <c r="AI137" s="377"/>
      <c r="AJ137" s="367"/>
      <c r="AK137" s="407">
        <f t="shared" si="35"/>
        <v>0</v>
      </c>
      <c r="AL137" s="335"/>
    </row>
    <row r="138" spans="1:38" s="336" customFormat="1" ht="18" hidden="1" customHeight="1" x14ac:dyDescent="0.25">
      <c r="A138" s="256">
        <v>61502</v>
      </c>
      <c r="B138" s="1086" t="s">
        <v>196</v>
      </c>
      <c r="C138" s="401">
        <v>0</v>
      </c>
      <c r="D138" s="370">
        <v>0</v>
      </c>
      <c r="E138" s="370">
        <v>0</v>
      </c>
      <c r="F138" s="370">
        <v>0</v>
      </c>
      <c r="G138" s="402">
        <v>0</v>
      </c>
      <c r="H138" s="383">
        <v>0</v>
      </c>
      <c r="I138" s="373">
        <v>0</v>
      </c>
      <c r="J138" s="373">
        <v>0</v>
      </c>
      <c r="K138" s="373">
        <v>0</v>
      </c>
      <c r="L138" s="359">
        <f t="shared" si="45"/>
        <v>0</v>
      </c>
      <c r="M138" s="378">
        <v>0</v>
      </c>
      <c r="N138" s="377">
        <v>0</v>
      </c>
      <c r="O138" s="377">
        <v>0</v>
      </c>
      <c r="P138" s="377">
        <v>0</v>
      </c>
      <c r="Q138" s="377">
        <v>0</v>
      </c>
      <c r="R138" s="377">
        <v>0</v>
      </c>
      <c r="S138" s="362">
        <f t="shared" si="48"/>
        <v>0</v>
      </c>
      <c r="T138" s="377"/>
      <c r="U138" s="377"/>
      <c r="V138" s="406">
        <f t="shared" ref="V138:V159" si="49">+T138+U138</f>
        <v>0</v>
      </c>
      <c r="W138" s="378">
        <v>0</v>
      </c>
      <c r="X138" s="479">
        <v>0</v>
      </c>
      <c r="Y138" s="376">
        <v>0</v>
      </c>
      <c r="Z138" s="364">
        <f t="shared" si="34"/>
        <v>0</v>
      </c>
      <c r="AA138" s="376"/>
      <c r="AB138" s="380"/>
      <c r="AC138" s="377"/>
      <c r="AD138" s="366"/>
      <c r="AE138" s="376"/>
      <c r="AF138" s="377"/>
      <c r="AG138" s="367"/>
      <c r="AH138" s="380"/>
      <c r="AI138" s="377"/>
      <c r="AJ138" s="367"/>
      <c r="AK138" s="407">
        <f t="shared" ref="AK138:AK162" si="50">+L138+S138+G138+AD138+AG138+AJ138+V138+W138+Z138+AA138</f>
        <v>0</v>
      </c>
      <c r="AL138" s="335"/>
    </row>
    <row r="139" spans="1:38" s="336" customFormat="1" ht="18" hidden="1" customHeight="1" x14ac:dyDescent="0.25">
      <c r="A139" s="256">
        <v>61503</v>
      </c>
      <c r="B139" s="1086" t="s">
        <v>197</v>
      </c>
      <c r="C139" s="401">
        <v>0</v>
      </c>
      <c r="D139" s="370">
        <v>0</v>
      </c>
      <c r="E139" s="370">
        <v>0</v>
      </c>
      <c r="F139" s="370">
        <v>0</v>
      </c>
      <c r="G139" s="402">
        <v>0</v>
      </c>
      <c r="H139" s="383">
        <v>0</v>
      </c>
      <c r="I139" s="373">
        <v>0</v>
      </c>
      <c r="J139" s="373">
        <v>0</v>
      </c>
      <c r="K139" s="373">
        <v>0</v>
      </c>
      <c r="L139" s="359">
        <f t="shared" si="45"/>
        <v>0</v>
      </c>
      <c r="M139" s="378">
        <v>0</v>
      </c>
      <c r="N139" s="377">
        <v>0</v>
      </c>
      <c r="O139" s="377">
        <v>0</v>
      </c>
      <c r="P139" s="377">
        <v>0</v>
      </c>
      <c r="Q139" s="377">
        <v>0</v>
      </c>
      <c r="R139" s="377">
        <v>0</v>
      </c>
      <c r="S139" s="362">
        <f t="shared" si="48"/>
        <v>0</v>
      </c>
      <c r="T139" s="377"/>
      <c r="U139" s="377"/>
      <c r="V139" s="406">
        <f t="shared" si="49"/>
        <v>0</v>
      </c>
      <c r="W139" s="378">
        <v>0</v>
      </c>
      <c r="X139" s="479">
        <v>0</v>
      </c>
      <c r="Y139" s="376">
        <v>0</v>
      </c>
      <c r="Z139" s="364">
        <f t="shared" si="34"/>
        <v>0</v>
      </c>
      <c r="AA139" s="376"/>
      <c r="AB139" s="380"/>
      <c r="AC139" s="377"/>
      <c r="AD139" s="366"/>
      <c r="AE139" s="376"/>
      <c r="AF139" s="377"/>
      <c r="AG139" s="367"/>
      <c r="AH139" s="380"/>
      <c r="AI139" s="377"/>
      <c r="AJ139" s="367"/>
      <c r="AK139" s="407">
        <f t="shared" si="50"/>
        <v>0</v>
      </c>
      <c r="AL139" s="335"/>
    </row>
    <row r="140" spans="1:38" s="336" customFormat="1" ht="18" customHeight="1" x14ac:dyDescent="0.25">
      <c r="A140" s="256">
        <v>61599</v>
      </c>
      <c r="B140" s="1086" t="s">
        <v>198</v>
      </c>
      <c r="C140" s="401">
        <v>0</v>
      </c>
      <c r="D140" s="370">
        <v>0</v>
      </c>
      <c r="E140" s="370">
        <v>0</v>
      </c>
      <c r="F140" s="370">
        <v>0</v>
      </c>
      <c r="G140" s="402">
        <v>0</v>
      </c>
      <c r="H140" s="383">
        <v>0</v>
      </c>
      <c r="I140" s="373">
        <v>0</v>
      </c>
      <c r="J140" s="373">
        <v>0</v>
      </c>
      <c r="K140" s="373">
        <v>0</v>
      </c>
      <c r="L140" s="359">
        <f t="shared" si="45"/>
        <v>0</v>
      </c>
      <c r="M140" s="378">
        <f>'AG3'!E37+'AG3'!E41</f>
        <v>74005.14</v>
      </c>
      <c r="N140" s="377">
        <v>0</v>
      </c>
      <c r="O140" s="377">
        <v>0</v>
      </c>
      <c r="P140" s="377">
        <v>0</v>
      </c>
      <c r="Q140" s="377">
        <v>0</v>
      </c>
      <c r="R140" s="377">
        <v>0</v>
      </c>
      <c r="S140" s="362">
        <f t="shared" si="48"/>
        <v>74005.14</v>
      </c>
      <c r="T140" s="377"/>
      <c r="U140" s="377"/>
      <c r="V140" s="406">
        <f t="shared" si="49"/>
        <v>0</v>
      </c>
      <c r="W140" s="378">
        <v>0</v>
      </c>
      <c r="X140" s="479">
        <v>0</v>
      </c>
      <c r="Y140" s="376">
        <v>0</v>
      </c>
      <c r="Z140" s="379">
        <f t="shared" si="34"/>
        <v>0</v>
      </c>
      <c r="AA140" s="376"/>
      <c r="AB140" s="380"/>
      <c r="AC140" s="377"/>
      <c r="AD140" s="366"/>
      <c r="AE140" s="376"/>
      <c r="AF140" s="377"/>
      <c r="AG140" s="367"/>
      <c r="AH140" s="380"/>
      <c r="AI140" s="377"/>
      <c r="AJ140" s="367"/>
      <c r="AK140" s="432">
        <f t="shared" si="50"/>
        <v>74005.14</v>
      </c>
      <c r="AL140" s="335"/>
    </row>
    <row r="141" spans="1:38" s="336" customFormat="1" ht="18" customHeight="1" x14ac:dyDescent="0.25">
      <c r="A141" s="254">
        <v>616</v>
      </c>
      <c r="B141" s="1088" t="s">
        <v>199</v>
      </c>
      <c r="C141" s="400">
        <v>0</v>
      </c>
      <c r="D141" s="354">
        <v>0</v>
      </c>
      <c r="E141" s="354">
        <v>0</v>
      </c>
      <c r="F141" s="370">
        <f>F143</f>
        <v>0</v>
      </c>
      <c r="G141" s="403">
        <f>G143</f>
        <v>0</v>
      </c>
      <c r="H141" s="382">
        <v>0</v>
      </c>
      <c r="I141" s="357">
        <v>0</v>
      </c>
      <c r="J141" s="357">
        <v>0</v>
      </c>
      <c r="K141" s="357">
        <v>0</v>
      </c>
      <c r="L141" s="1027">
        <f>K141</f>
        <v>0</v>
      </c>
      <c r="M141" s="361">
        <f>M142+M143+M144+M145+M146+M147+M148+M149</f>
        <v>0</v>
      </c>
      <c r="N141" s="361">
        <f>SUM(N142:N149)</f>
        <v>285835.33</v>
      </c>
      <c r="O141" s="361">
        <f>SUM(O142:O149)</f>
        <v>269922.23</v>
      </c>
      <c r="P141" s="377">
        <v>0</v>
      </c>
      <c r="Q141" s="377">
        <v>0</v>
      </c>
      <c r="R141" s="377">
        <v>0</v>
      </c>
      <c r="S141" s="388">
        <f>M141+N141+O141+P141+Q141+R141</f>
        <v>555757.56000000006</v>
      </c>
      <c r="T141" s="361">
        <f>T143</f>
        <v>108857.97</v>
      </c>
      <c r="U141" s="361">
        <f>U142</f>
        <v>268760.29000000004</v>
      </c>
      <c r="V141" s="1073">
        <f t="shared" si="49"/>
        <v>377618.26</v>
      </c>
      <c r="W141" s="363">
        <f>W142+W143+W144+W145+W146+W147+W148+W149</f>
        <v>148.32</v>
      </c>
      <c r="X141" s="478">
        <f>X142+X143+X144+X145+X146+X147+X148+X149</f>
        <v>0</v>
      </c>
      <c r="Y141" s="360">
        <f>Y142+Y143+Y144+Y145+Y146+Y147+Y148+Y149</f>
        <v>0</v>
      </c>
      <c r="Z141" s="364">
        <f t="shared" si="34"/>
        <v>0</v>
      </c>
      <c r="AA141" s="360">
        <f>AA142+AA143+AA144+AA145+AA146+AA147+AA148+AA149</f>
        <v>0</v>
      </c>
      <c r="AB141" s="380">
        <f>SUM(M141:S141)</f>
        <v>1111515.1200000001</v>
      </c>
      <c r="AC141" s="377"/>
      <c r="AD141" s="366"/>
      <c r="AE141" s="376"/>
      <c r="AF141" s="377"/>
      <c r="AG141" s="367"/>
      <c r="AH141" s="380"/>
      <c r="AI141" s="377"/>
      <c r="AJ141" s="367"/>
      <c r="AK141" s="407">
        <f t="shared" si="50"/>
        <v>933524.14</v>
      </c>
      <c r="AL141" s="335"/>
    </row>
    <row r="142" spans="1:38" s="336" customFormat="1" ht="18" customHeight="1" x14ac:dyDescent="0.25">
      <c r="A142" s="256">
        <v>61601</v>
      </c>
      <c r="B142" s="1086" t="s">
        <v>200</v>
      </c>
      <c r="C142" s="401">
        <v>0</v>
      </c>
      <c r="D142" s="370">
        <v>0</v>
      </c>
      <c r="E142" s="370">
        <v>0</v>
      </c>
      <c r="F142" s="370">
        <v>0</v>
      </c>
      <c r="G142" s="402">
        <v>0</v>
      </c>
      <c r="H142" s="383">
        <v>0</v>
      </c>
      <c r="I142" s="373">
        <v>0</v>
      </c>
      <c r="J142" s="373">
        <v>0</v>
      </c>
      <c r="K142" s="373">
        <v>0</v>
      </c>
      <c r="L142" s="1027">
        <f t="shared" si="45"/>
        <v>0</v>
      </c>
      <c r="M142" s="377">
        <v>0</v>
      </c>
      <c r="N142" s="1028"/>
      <c r="O142" s="377">
        <f>'AG4'!E14+'AG4'!E17+'AG4'!E20+'AG4'!E23+'AG4'!E26+'AG4'!E30+'AG4'!E33+'AG4'!E38+'AG4'!E41+'AG4'!E54+'AG4'!E57+'AG4'!E60+'AG4'!E64+'AG4'!E67+'AG4'!E70</f>
        <v>269922.23</v>
      </c>
      <c r="P142" s="377">
        <v>0</v>
      </c>
      <c r="Q142" s="377">
        <v>0</v>
      </c>
      <c r="R142" s="377">
        <v>0</v>
      </c>
      <c r="S142" s="362">
        <f t="shared" si="48"/>
        <v>269922.23</v>
      </c>
      <c r="T142" s="377"/>
      <c r="U142" s="377">
        <f>'AG4'!F41+'AG4'!F54+'AG4'!F57</f>
        <v>268760.29000000004</v>
      </c>
      <c r="V142" s="406">
        <f t="shared" si="49"/>
        <v>268760.29000000004</v>
      </c>
      <c r="W142" s="378">
        <v>0</v>
      </c>
      <c r="X142" s="479">
        <v>0</v>
      </c>
      <c r="Y142" s="376">
        <v>0</v>
      </c>
      <c r="Z142" s="379">
        <f t="shared" si="34"/>
        <v>0</v>
      </c>
      <c r="AA142" s="376"/>
      <c r="AB142" s="380"/>
      <c r="AC142" s="377"/>
      <c r="AD142" s="366"/>
      <c r="AE142" s="376"/>
      <c r="AF142" s="377"/>
      <c r="AG142" s="367"/>
      <c r="AH142" s="380"/>
      <c r="AI142" s="377"/>
      <c r="AJ142" s="367"/>
      <c r="AK142" s="432">
        <f t="shared" si="50"/>
        <v>538682.52</v>
      </c>
      <c r="AL142" s="335"/>
    </row>
    <row r="143" spans="1:38" s="336" customFormat="1" ht="18" customHeight="1" x14ac:dyDescent="0.25">
      <c r="A143" s="256">
        <v>61602</v>
      </c>
      <c r="B143" s="1086" t="s">
        <v>201</v>
      </c>
      <c r="C143" s="384">
        <v>0</v>
      </c>
      <c r="D143" s="370">
        <v>0</v>
      </c>
      <c r="E143" s="370">
        <v>0</v>
      </c>
      <c r="F143" s="370">
        <v>0</v>
      </c>
      <c r="G143" s="402">
        <v>0</v>
      </c>
      <c r="H143" s="383">
        <v>0</v>
      </c>
      <c r="I143" s="373">
        <v>0</v>
      </c>
      <c r="J143" s="373">
        <v>0</v>
      </c>
      <c r="K143" s="373">
        <v>0</v>
      </c>
      <c r="L143" s="359">
        <f>K143</f>
        <v>0</v>
      </c>
      <c r="M143" s="378">
        <v>0</v>
      </c>
      <c r="N143" s="377">
        <f>'AG3'!E44+'AG3'!E63+'AG3'!E66+'AG3'!E69+'AG3'!E73+'AG3'!E76+'AG3'!E79</f>
        <v>65432.03</v>
      </c>
      <c r="O143" s="377"/>
      <c r="P143" s="377">
        <v>0</v>
      </c>
      <c r="Q143" s="377">
        <v>0</v>
      </c>
      <c r="R143" s="377">
        <v>0</v>
      </c>
      <c r="S143" s="362">
        <f t="shared" si="48"/>
        <v>65432.03</v>
      </c>
      <c r="T143" s="377">
        <f>'AG3'!F79</f>
        <v>108857.97</v>
      </c>
      <c r="U143" s="377"/>
      <c r="V143" s="406">
        <f t="shared" si="49"/>
        <v>108857.97</v>
      </c>
      <c r="W143" s="378">
        <v>0</v>
      </c>
      <c r="X143" s="479">
        <v>0</v>
      </c>
      <c r="Y143" s="376">
        <v>0</v>
      </c>
      <c r="Z143" s="379">
        <f t="shared" si="34"/>
        <v>0</v>
      </c>
      <c r="AA143" s="376"/>
      <c r="AB143" s="380"/>
      <c r="AC143" s="377"/>
      <c r="AD143" s="366"/>
      <c r="AE143" s="376"/>
      <c r="AF143" s="377"/>
      <c r="AG143" s="367"/>
      <c r="AH143" s="380"/>
      <c r="AI143" s="377"/>
      <c r="AJ143" s="367"/>
      <c r="AK143" s="432">
        <f t="shared" si="50"/>
        <v>174290</v>
      </c>
      <c r="AL143" s="335"/>
    </row>
    <row r="144" spans="1:38" s="336" customFormat="1" ht="18" customHeight="1" x14ac:dyDescent="0.25">
      <c r="A144" s="256">
        <v>61603</v>
      </c>
      <c r="B144" s="1086" t="s">
        <v>202</v>
      </c>
      <c r="C144" s="401">
        <v>0</v>
      </c>
      <c r="D144" s="370">
        <v>0</v>
      </c>
      <c r="E144" s="370">
        <v>0</v>
      </c>
      <c r="F144" s="370">
        <v>0</v>
      </c>
      <c r="G144" s="402">
        <v>0</v>
      </c>
      <c r="H144" s="383">
        <v>0</v>
      </c>
      <c r="I144" s="373">
        <v>0</v>
      </c>
      <c r="J144" s="373">
        <v>0</v>
      </c>
      <c r="K144" s="373">
        <v>0</v>
      </c>
      <c r="L144" s="359">
        <f t="shared" si="45"/>
        <v>0</v>
      </c>
      <c r="M144" s="378">
        <v>0</v>
      </c>
      <c r="N144" s="377">
        <f>'AG3'!E141+'AG3'!E144</f>
        <v>51448.85</v>
      </c>
      <c r="O144" s="377">
        <v>0</v>
      </c>
      <c r="P144" s="377">
        <v>0</v>
      </c>
      <c r="Q144" s="377">
        <v>0</v>
      </c>
      <c r="R144" s="377">
        <v>0</v>
      </c>
      <c r="S144" s="362">
        <f t="shared" si="48"/>
        <v>51448.85</v>
      </c>
      <c r="T144" s="377"/>
      <c r="U144" s="377"/>
      <c r="V144" s="406">
        <f t="shared" si="49"/>
        <v>0</v>
      </c>
      <c r="W144" s="378">
        <v>0</v>
      </c>
      <c r="X144" s="479">
        <v>0</v>
      </c>
      <c r="Y144" s="376">
        <v>0</v>
      </c>
      <c r="Z144" s="379">
        <f t="shared" ref="Z144:Z153" si="51">+X144+Y144</f>
        <v>0</v>
      </c>
      <c r="AA144" s="376"/>
      <c r="AB144" s="380"/>
      <c r="AC144" s="377"/>
      <c r="AD144" s="366"/>
      <c r="AE144" s="376"/>
      <c r="AF144" s="377"/>
      <c r="AG144" s="367"/>
      <c r="AH144" s="380"/>
      <c r="AI144" s="377"/>
      <c r="AJ144" s="367"/>
      <c r="AK144" s="432">
        <f t="shared" si="50"/>
        <v>51448.85</v>
      </c>
      <c r="AL144" s="335"/>
    </row>
    <row r="145" spans="1:38" s="336" customFormat="1" ht="18" customHeight="1" x14ac:dyDescent="0.25">
      <c r="A145" s="256">
        <v>61604</v>
      </c>
      <c r="B145" s="1086" t="s">
        <v>203</v>
      </c>
      <c r="C145" s="401">
        <v>0</v>
      </c>
      <c r="D145" s="370">
        <v>0</v>
      </c>
      <c r="E145" s="370">
        <v>0</v>
      </c>
      <c r="F145" s="370">
        <v>0</v>
      </c>
      <c r="G145" s="402">
        <v>0</v>
      </c>
      <c r="H145" s="383">
        <v>0</v>
      </c>
      <c r="I145" s="373">
        <v>0</v>
      </c>
      <c r="J145" s="373">
        <v>0</v>
      </c>
      <c r="K145" s="373">
        <v>0</v>
      </c>
      <c r="L145" s="359">
        <f t="shared" si="45"/>
        <v>0</v>
      </c>
      <c r="M145" s="376">
        <v>0</v>
      </c>
      <c r="N145" s="377"/>
      <c r="O145" s="377">
        <v>0</v>
      </c>
      <c r="P145" s="377">
        <v>0</v>
      </c>
      <c r="Q145" s="377">
        <v>0</v>
      </c>
      <c r="R145" s="377">
        <v>0</v>
      </c>
      <c r="S145" s="362">
        <f t="shared" si="48"/>
        <v>0</v>
      </c>
      <c r="T145" s="377"/>
      <c r="U145" s="377"/>
      <c r="V145" s="406">
        <f t="shared" si="49"/>
        <v>0</v>
      </c>
      <c r="W145" s="378">
        <v>0</v>
      </c>
      <c r="X145" s="479">
        <v>0</v>
      </c>
      <c r="Y145" s="376">
        <v>0</v>
      </c>
      <c r="Z145" s="379">
        <f t="shared" si="51"/>
        <v>0</v>
      </c>
      <c r="AA145" s="376"/>
      <c r="AB145" s="380"/>
      <c r="AC145" s="377"/>
      <c r="AD145" s="366"/>
      <c r="AE145" s="376"/>
      <c r="AF145" s="377"/>
      <c r="AG145" s="367"/>
      <c r="AH145" s="380"/>
      <c r="AI145" s="377"/>
      <c r="AJ145" s="367"/>
      <c r="AK145" s="432">
        <f t="shared" si="50"/>
        <v>0</v>
      </c>
      <c r="AL145" s="335"/>
    </row>
    <row r="146" spans="1:38" s="336" customFormat="1" ht="18" customHeight="1" x14ac:dyDescent="0.25">
      <c r="A146" s="256">
        <v>61606</v>
      </c>
      <c r="B146" s="1086" t="s">
        <v>204</v>
      </c>
      <c r="C146" s="401">
        <v>0</v>
      </c>
      <c r="D146" s="370">
        <v>0</v>
      </c>
      <c r="E146" s="370">
        <v>0</v>
      </c>
      <c r="F146" s="370">
        <v>0</v>
      </c>
      <c r="G146" s="402">
        <v>0</v>
      </c>
      <c r="H146" s="383">
        <v>0</v>
      </c>
      <c r="I146" s="373">
        <v>0</v>
      </c>
      <c r="J146" s="373">
        <v>0</v>
      </c>
      <c r="K146" s="373">
        <v>0</v>
      </c>
      <c r="L146" s="359">
        <f t="shared" si="45"/>
        <v>0</v>
      </c>
      <c r="M146" s="376">
        <v>0</v>
      </c>
      <c r="N146" s="377">
        <f>'AG3'!E154</f>
        <v>21144.639999999999</v>
      </c>
      <c r="O146" s="377">
        <v>0</v>
      </c>
      <c r="P146" s="377">
        <v>0</v>
      </c>
      <c r="Q146" s="377">
        <v>0</v>
      </c>
      <c r="R146" s="377">
        <v>0</v>
      </c>
      <c r="S146" s="362">
        <f t="shared" si="48"/>
        <v>21144.639999999999</v>
      </c>
      <c r="T146" s="377"/>
      <c r="U146" s="377"/>
      <c r="V146" s="406">
        <f t="shared" si="49"/>
        <v>0</v>
      </c>
      <c r="W146" s="378">
        <v>0</v>
      </c>
      <c r="X146" s="479">
        <v>0</v>
      </c>
      <c r="Y146" s="376">
        <v>0</v>
      </c>
      <c r="Z146" s="379">
        <f t="shared" si="51"/>
        <v>0</v>
      </c>
      <c r="AA146" s="376"/>
      <c r="AB146" s="380"/>
      <c r="AC146" s="377"/>
      <c r="AD146" s="366"/>
      <c r="AE146" s="376"/>
      <c r="AF146" s="377"/>
      <c r="AG146" s="367"/>
      <c r="AH146" s="380"/>
      <c r="AI146" s="377"/>
      <c r="AJ146" s="367"/>
      <c r="AK146" s="432">
        <f t="shared" si="50"/>
        <v>21144.639999999999</v>
      </c>
      <c r="AL146" s="335"/>
    </row>
    <row r="147" spans="1:38" s="336" customFormat="1" ht="18" hidden="1" customHeight="1" x14ac:dyDescent="0.25">
      <c r="A147" s="256">
        <v>61607</v>
      </c>
      <c r="B147" s="1087" t="s">
        <v>205</v>
      </c>
      <c r="C147" s="401">
        <v>0</v>
      </c>
      <c r="D147" s="370">
        <v>0</v>
      </c>
      <c r="E147" s="370">
        <v>0</v>
      </c>
      <c r="F147" s="370">
        <v>0</v>
      </c>
      <c r="G147" s="402">
        <v>0</v>
      </c>
      <c r="H147" s="383">
        <v>0</v>
      </c>
      <c r="I147" s="373">
        <v>0</v>
      </c>
      <c r="J147" s="373">
        <v>0</v>
      </c>
      <c r="K147" s="373">
        <v>0</v>
      </c>
      <c r="L147" s="359">
        <f t="shared" si="45"/>
        <v>0</v>
      </c>
      <c r="M147" s="376">
        <v>0</v>
      </c>
      <c r="N147" s="377">
        <v>0</v>
      </c>
      <c r="O147" s="377">
        <v>0</v>
      </c>
      <c r="P147" s="377">
        <v>0</v>
      </c>
      <c r="Q147" s="377">
        <v>0</v>
      </c>
      <c r="R147" s="377">
        <v>0</v>
      </c>
      <c r="S147" s="362">
        <f t="shared" si="48"/>
        <v>0</v>
      </c>
      <c r="T147" s="377"/>
      <c r="U147" s="377"/>
      <c r="V147" s="406">
        <f t="shared" si="49"/>
        <v>0</v>
      </c>
      <c r="W147" s="378">
        <v>0</v>
      </c>
      <c r="X147" s="479">
        <v>0</v>
      </c>
      <c r="Y147" s="376">
        <v>0</v>
      </c>
      <c r="Z147" s="379">
        <f t="shared" si="51"/>
        <v>0</v>
      </c>
      <c r="AA147" s="376"/>
      <c r="AB147" s="380"/>
      <c r="AC147" s="377"/>
      <c r="AD147" s="366"/>
      <c r="AE147" s="376"/>
      <c r="AF147" s="377"/>
      <c r="AG147" s="367"/>
      <c r="AH147" s="380"/>
      <c r="AI147" s="377"/>
      <c r="AJ147" s="367"/>
      <c r="AK147" s="432">
        <f t="shared" si="50"/>
        <v>0</v>
      </c>
      <c r="AL147" s="335"/>
    </row>
    <row r="148" spans="1:38" s="336" customFormat="1" ht="18" hidden="1" customHeight="1" x14ac:dyDescent="0.25">
      <c r="A148" s="256">
        <v>61608</v>
      </c>
      <c r="B148" s="1087" t="s">
        <v>206</v>
      </c>
      <c r="C148" s="401">
        <v>0</v>
      </c>
      <c r="D148" s="370">
        <v>0</v>
      </c>
      <c r="E148" s="370">
        <v>0</v>
      </c>
      <c r="F148" s="370">
        <v>0</v>
      </c>
      <c r="G148" s="402">
        <v>0</v>
      </c>
      <c r="H148" s="383">
        <v>0</v>
      </c>
      <c r="I148" s="373">
        <v>0</v>
      </c>
      <c r="J148" s="373">
        <v>0</v>
      </c>
      <c r="K148" s="373">
        <v>0</v>
      </c>
      <c r="L148" s="359">
        <f t="shared" si="45"/>
        <v>0</v>
      </c>
      <c r="M148" s="376">
        <v>0</v>
      </c>
      <c r="N148" s="377">
        <v>0</v>
      </c>
      <c r="O148" s="377">
        <v>0</v>
      </c>
      <c r="P148" s="377">
        <v>0</v>
      </c>
      <c r="Q148" s="377">
        <v>0</v>
      </c>
      <c r="R148" s="377">
        <v>0</v>
      </c>
      <c r="S148" s="362">
        <f t="shared" si="48"/>
        <v>0</v>
      </c>
      <c r="T148" s="377"/>
      <c r="U148" s="377"/>
      <c r="V148" s="406">
        <f t="shared" si="49"/>
        <v>0</v>
      </c>
      <c r="W148" s="378">
        <v>0</v>
      </c>
      <c r="X148" s="479">
        <v>0</v>
      </c>
      <c r="Y148" s="376">
        <v>0</v>
      </c>
      <c r="Z148" s="379">
        <f t="shared" si="51"/>
        <v>0</v>
      </c>
      <c r="AA148" s="376"/>
      <c r="AB148" s="380"/>
      <c r="AC148" s="377"/>
      <c r="AD148" s="366"/>
      <c r="AE148" s="376"/>
      <c r="AF148" s="377"/>
      <c r="AG148" s="367"/>
      <c r="AH148" s="380"/>
      <c r="AI148" s="377"/>
      <c r="AJ148" s="367"/>
      <c r="AK148" s="432">
        <f t="shared" si="50"/>
        <v>0</v>
      </c>
      <c r="AL148" s="335"/>
    </row>
    <row r="149" spans="1:38" s="336" customFormat="1" ht="18" customHeight="1" x14ac:dyDescent="0.25">
      <c r="A149" s="256">
        <v>61699</v>
      </c>
      <c r="B149" s="1087" t="s">
        <v>207</v>
      </c>
      <c r="C149" s="401">
        <v>0</v>
      </c>
      <c r="D149" s="370">
        <v>0</v>
      </c>
      <c r="E149" s="370">
        <v>0</v>
      </c>
      <c r="F149" s="370">
        <v>0</v>
      </c>
      <c r="G149" s="402">
        <v>0</v>
      </c>
      <c r="H149" s="383">
        <v>0</v>
      </c>
      <c r="I149" s="373">
        <v>0</v>
      </c>
      <c r="J149" s="373">
        <v>0</v>
      </c>
      <c r="K149" s="373">
        <v>0</v>
      </c>
      <c r="L149" s="359">
        <f t="shared" si="45"/>
        <v>0</v>
      </c>
      <c r="M149" s="376">
        <v>0</v>
      </c>
      <c r="N149" s="377">
        <f>'AG3'!E158+'AG3'!E163+'AG3'!E166+'AG3'!E169+'AG3'!E172+'AG3'!E178+'AG3'!E175</f>
        <v>147809.81</v>
      </c>
      <c r="O149" s="377"/>
      <c r="P149" s="377">
        <v>0</v>
      </c>
      <c r="Q149" s="377">
        <v>0</v>
      </c>
      <c r="R149" s="377">
        <v>0</v>
      </c>
      <c r="S149" s="362">
        <f t="shared" si="48"/>
        <v>147809.81</v>
      </c>
      <c r="T149" s="377"/>
      <c r="U149" s="377"/>
      <c r="V149" s="406">
        <f t="shared" si="49"/>
        <v>0</v>
      </c>
      <c r="W149" s="378">
        <f>'AG4'!G78</f>
        <v>148.32</v>
      </c>
      <c r="X149" s="479">
        <v>0</v>
      </c>
      <c r="Y149" s="376">
        <f>'AG4'!H77</f>
        <v>0</v>
      </c>
      <c r="Z149" s="379">
        <f t="shared" si="51"/>
        <v>0</v>
      </c>
      <c r="AA149" s="376"/>
      <c r="AB149" s="380"/>
      <c r="AC149" s="377"/>
      <c r="AD149" s="366"/>
      <c r="AE149" s="376"/>
      <c r="AF149" s="377"/>
      <c r="AG149" s="367"/>
      <c r="AH149" s="380"/>
      <c r="AI149" s="377"/>
      <c r="AJ149" s="367"/>
      <c r="AK149" s="432">
        <f t="shared" si="50"/>
        <v>147958.13</v>
      </c>
      <c r="AL149" s="335"/>
    </row>
    <row r="150" spans="1:38" s="336" customFormat="1" ht="18" customHeight="1" x14ac:dyDescent="0.25">
      <c r="A150" s="254">
        <v>71</v>
      </c>
      <c r="B150" s="1089" t="s">
        <v>215</v>
      </c>
      <c r="C150" s="400">
        <v>0</v>
      </c>
      <c r="D150" s="354">
        <v>0</v>
      </c>
      <c r="E150" s="354">
        <v>0</v>
      </c>
      <c r="F150" s="354">
        <v>0</v>
      </c>
      <c r="G150" s="403">
        <v>0</v>
      </c>
      <c r="H150" s="382">
        <v>0</v>
      </c>
      <c r="I150" s="357">
        <v>0</v>
      </c>
      <c r="J150" s="357">
        <v>0</v>
      </c>
      <c r="K150" s="357">
        <v>0</v>
      </c>
      <c r="L150" s="359">
        <f t="shared" si="45"/>
        <v>0</v>
      </c>
      <c r="M150" s="360">
        <f>M151</f>
        <v>0</v>
      </c>
      <c r="N150" s="361">
        <v>0</v>
      </c>
      <c r="O150" s="361">
        <v>0</v>
      </c>
      <c r="P150" s="361">
        <f>P151</f>
        <v>321951.68999999994</v>
      </c>
      <c r="Q150" s="361">
        <f>Q151</f>
        <v>0</v>
      </c>
      <c r="R150" s="361">
        <f>R151</f>
        <v>0</v>
      </c>
      <c r="S150" s="388">
        <f>M150+N150+O150+P150+R150+Q150</f>
        <v>321951.68999999994</v>
      </c>
      <c r="T150" s="361"/>
      <c r="U150" s="361"/>
      <c r="V150" s="1073">
        <f t="shared" si="49"/>
        <v>0</v>
      </c>
      <c r="W150" s="363">
        <v>0</v>
      </c>
      <c r="X150" s="478">
        <v>0</v>
      </c>
      <c r="Y150" s="360">
        <v>0</v>
      </c>
      <c r="Z150" s="364">
        <f>+X150+Y150</f>
        <v>0</v>
      </c>
      <c r="AA150" s="360"/>
      <c r="AB150" s="365"/>
      <c r="AC150" s="361"/>
      <c r="AD150" s="398"/>
      <c r="AE150" s="360"/>
      <c r="AF150" s="361"/>
      <c r="AG150" s="399"/>
      <c r="AH150" s="365"/>
      <c r="AI150" s="361"/>
      <c r="AJ150" s="399"/>
      <c r="AK150" s="407">
        <f t="shared" si="50"/>
        <v>321951.68999999994</v>
      </c>
      <c r="AL150" s="335"/>
    </row>
    <row r="151" spans="1:38" s="336" customFormat="1" ht="18" customHeight="1" x14ac:dyDescent="0.25">
      <c r="A151" s="254">
        <v>713</v>
      </c>
      <c r="B151" s="1089" t="s">
        <v>216</v>
      </c>
      <c r="C151" s="400">
        <v>0</v>
      </c>
      <c r="D151" s="354">
        <v>0</v>
      </c>
      <c r="E151" s="354">
        <v>0</v>
      </c>
      <c r="F151" s="354">
        <v>0</v>
      </c>
      <c r="G151" s="403">
        <v>0</v>
      </c>
      <c r="H151" s="382">
        <v>0</v>
      </c>
      <c r="I151" s="357">
        <v>0</v>
      </c>
      <c r="J151" s="357">
        <v>0</v>
      </c>
      <c r="K151" s="357">
        <v>0</v>
      </c>
      <c r="L151" s="359">
        <f t="shared" si="45"/>
        <v>0</v>
      </c>
      <c r="M151" s="360">
        <v>0</v>
      </c>
      <c r="N151" s="361">
        <v>0</v>
      </c>
      <c r="O151" s="361">
        <v>0</v>
      </c>
      <c r="P151" s="361">
        <f>SUM(P152:P154)</f>
        <v>321951.68999999994</v>
      </c>
      <c r="Q151" s="361">
        <f>SUM(Q152:Q154)</f>
        <v>0</v>
      </c>
      <c r="R151" s="361">
        <f>SUM(R152:R154)</f>
        <v>0</v>
      </c>
      <c r="S151" s="388">
        <f>M151+N151+O151+P151+R151+Q151</f>
        <v>321951.68999999994</v>
      </c>
      <c r="T151" s="361"/>
      <c r="U151" s="361"/>
      <c r="V151" s="1073">
        <f t="shared" si="49"/>
        <v>0</v>
      </c>
      <c r="W151" s="378">
        <v>0</v>
      </c>
      <c r="X151" s="479">
        <v>0</v>
      </c>
      <c r="Y151" s="376">
        <v>0</v>
      </c>
      <c r="Z151" s="364">
        <f t="shared" si="51"/>
        <v>0</v>
      </c>
      <c r="AA151" s="376"/>
      <c r="AB151" s="380"/>
      <c r="AC151" s="377"/>
      <c r="AD151" s="366"/>
      <c r="AE151" s="376"/>
      <c r="AF151" s="377"/>
      <c r="AG151" s="367"/>
      <c r="AH151" s="380"/>
      <c r="AI151" s="377"/>
      <c r="AJ151" s="367"/>
      <c r="AK151" s="407">
        <f t="shared" si="50"/>
        <v>321951.68999999994</v>
      </c>
      <c r="AL151" s="335"/>
    </row>
    <row r="152" spans="1:38" s="336" customFormat="1" ht="18" hidden="1" customHeight="1" x14ac:dyDescent="0.25">
      <c r="A152" s="256">
        <v>71303</v>
      </c>
      <c r="B152" s="1087" t="s">
        <v>85</v>
      </c>
      <c r="C152" s="401"/>
      <c r="D152" s="370"/>
      <c r="E152" s="370"/>
      <c r="F152" s="370"/>
      <c r="G152" s="402"/>
      <c r="H152" s="383">
        <v>0</v>
      </c>
      <c r="I152" s="373">
        <v>0</v>
      </c>
      <c r="J152" s="373">
        <v>0</v>
      </c>
      <c r="K152" s="373">
        <v>0</v>
      </c>
      <c r="L152" s="359">
        <f t="shared" si="45"/>
        <v>0</v>
      </c>
      <c r="M152" s="376">
        <v>0</v>
      </c>
      <c r="N152" s="377">
        <v>0</v>
      </c>
      <c r="O152" s="377">
        <v>0</v>
      </c>
      <c r="P152" s="377">
        <v>0</v>
      </c>
      <c r="Q152" s="377">
        <v>0</v>
      </c>
      <c r="R152" s="377">
        <v>0</v>
      </c>
      <c r="S152" s="388">
        <f>M152+N152+O152+P152+R152</f>
        <v>0</v>
      </c>
      <c r="T152" s="377"/>
      <c r="U152" s="377"/>
      <c r="V152" s="406">
        <f t="shared" si="49"/>
        <v>0</v>
      </c>
      <c r="W152" s="378">
        <v>0</v>
      </c>
      <c r="X152" s="479">
        <v>0</v>
      </c>
      <c r="Y152" s="376">
        <v>0</v>
      </c>
      <c r="Z152" s="364">
        <f t="shared" si="51"/>
        <v>0</v>
      </c>
      <c r="AA152" s="376"/>
      <c r="AB152" s="380"/>
      <c r="AC152" s="377"/>
      <c r="AD152" s="366"/>
      <c r="AE152" s="376"/>
      <c r="AF152" s="377"/>
      <c r="AG152" s="367"/>
      <c r="AH152" s="380"/>
      <c r="AI152" s="377"/>
      <c r="AJ152" s="367"/>
      <c r="AK152" s="407">
        <f t="shared" si="50"/>
        <v>0</v>
      </c>
      <c r="AL152" s="335"/>
    </row>
    <row r="153" spans="1:38" s="336" customFormat="1" ht="18" customHeight="1" x14ac:dyDescent="0.25">
      <c r="A153" s="256">
        <v>71304</v>
      </c>
      <c r="B153" s="1087" t="s">
        <v>86</v>
      </c>
      <c r="C153" s="401">
        <v>0</v>
      </c>
      <c r="D153" s="370">
        <v>0</v>
      </c>
      <c r="E153" s="370">
        <v>0</v>
      </c>
      <c r="F153" s="370">
        <v>0</v>
      </c>
      <c r="G153" s="402">
        <v>0</v>
      </c>
      <c r="H153" s="383">
        <v>0</v>
      </c>
      <c r="I153" s="373">
        <v>0</v>
      </c>
      <c r="J153" s="373">
        <v>0</v>
      </c>
      <c r="K153" s="373">
        <v>0</v>
      </c>
      <c r="L153" s="359">
        <f t="shared" si="45"/>
        <v>0</v>
      </c>
      <c r="M153" s="376">
        <v>0</v>
      </c>
      <c r="N153" s="377">
        <v>0</v>
      </c>
      <c r="O153" s="377">
        <v>0</v>
      </c>
      <c r="P153" s="377">
        <f>'AG5'!H28</f>
        <v>321951.68999999994</v>
      </c>
      <c r="Q153" s="377"/>
      <c r="R153" s="377"/>
      <c r="S153" s="362">
        <f>M153+N153+O153+P153+Q153+R153</f>
        <v>321951.68999999994</v>
      </c>
      <c r="T153" s="377"/>
      <c r="U153" s="377"/>
      <c r="V153" s="406">
        <f t="shared" si="49"/>
        <v>0</v>
      </c>
      <c r="W153" s="378">
        <v>0</v>
      </c>
      <c r="X153" s="479">
        <v>0</v>
      </c>
      <c r="Y153" s="376">
        <v>0</v>
      </c>
      <c r="Z153" s="406">
        <f t="shared" si="51"/>
        <v>0</v>
      </c>
      <c r="AA153" s="376"/>
      <c r="AB153" s="380"/>
      <c r="AC153" s="377"/>
      <c r="AD153" s="366"/>
      <c r="AE153" s="376"/>
      <c r="AF153" s="377"/>
      <c r="AG153" s="367"/>
      <c r="AH153" s="380"/>
      <c r="AI153" s="377"/>
      <c r="AJ153" s="367"/>
      <c r="AK153" s="1118">
        <f t="shared" si="50"/>
        <v>321951.68999999994</v>
      </c>
      <c r="AL153" s="1132"/>
    </row>
    <row r="154" spans="1:38" s="336" customFormat="1" ht="18" hidden="1" customHeight="1" x14ac:dyDescent="0.25">
      <c r="A154" s="1121">
        <v>71308</v>
      </c>
      <c r="B154" s="1122" t="s">
        <v>237</v>
      </c>
      <c r="C154" s="384">
        <v>0</v>
      </c>
      <c r="D154" s="369">
        <v>0</v>
      </c>
      <c r="E154" s="369">
        <v>0</v>
      </c>
      <c r="F154" s="369">
        <v>0</v>
      </c>
      <c r="G154" s="385">
        <v>0</v>
      </c>
      <c r="H154" s="1123">
        <v>0</v>
      </c>
      <c r="I154" s="1124">
        <v>0</v>
      </c>
      <c r="J154" s="1125">
        <v>0</v>
      </c>
      <c r="K154" s="1124">
        <v>0</v>
      </c>
      <c r="L154" s="405">
        <f t="shared" si="45"/>
        <v>0</v>
      </c>
      <c r="M154" s="476">
        <v>0</v>
      </c>
      <c r="N154" s="476">
        <v>0</v>
      </c>
      <c r="O154" s="1126">
        <v>0</v>
      </c>
      <c r="P154" s="1126">
        <v>0</v>
      </c>
      <c r="Q154" s="1127">
        <v>0</v>
      </c>
      <c r="R154" s="1127">
        <v>0</v>
      </c>
      <c r="S154" s="1128">
        <f t="shared" ref="S154:S162" si="52">M154+N154+O154+P154</f>
        <v>0</v>
      </c>
      <c r="T154" s="1126"/>
      <c r="U154" s="1126"/>
      <c r="V154" s="379">
        <f t="shared" si="49"/>
        <v>0</v>
      </c>
      <c r="W154" s="393">
        <v>0</v>
      </c>
      <c r="X154" s="1129">
        <v>0</v>
      </c>
      <c r="Y154" s="476">
        <v>0</v>
      </c>
      <c r="Z154" s="379">
        <v>0</v>
      </c>
      <c r="AA154" s="476"/>
      <c r="AB154" s="1130"/>
      <c r="AC154" s="1126"/>
      <c r="AD154" s="1131"/>
      <c r="AE154" s="476"/>
      <c r="AF154" s="1126"/>
      <c r="AG154" s="1127"/>
      <c r="AH154" s="1130"/>
      <c r="AI154" s="1126"/>
      <c r="AJ154" s="1127"/>
      <c r="AK154" s="432">
        <f t="shared" si="50"/>
        <v>0</v>
      </c>
      <c r="AL154" s="335"/>
    </row>
    <row r="155" spans="1:38" s="336" customFormat="1" ht="18" customHeight="1" x14ac:dyDescent="0.25">
      <c r="A155" s="254">
        <v>72</v>
      </c>
      <c r="B155" s="1089" t="s">
        <v>13</v>
      </c>
      <c r="C155" s="400">
        <f>C156</f>
        <v>30903.88</v>
      </c>
      <c r="D155" s="354">
        <f t="shared" ref="D155:F156" si="53">D156</f>
        <v>0</v>
      </c>
      <c r="E155" s="354">
        <f t="shared" si="53"/>
        <v>0</v>
      </c>
      <c r="F155" s="354">
        <f t="shared" si="53"/>
        <v>35.229999999999997</v>
      </c>
      <c r="G155" s="403">
        <f>C155+D155+E155+F155</f>
        <v>30939.11</v>
      </c>
      <c r="H155" s="356">
        <f>H156</f>
        <v>10730.470000000001</v>
      </c>
      <c r="I155" s="373">
        <f t="shared" ref="I155:I156" si="54">I156</f>
        <v>0</v>
      </c>
      <c r="J155" s="404">
        <f t="shared" ref="J155:J156" si="55">J156</f>
        <v>0</v>
      </c>
      <c r="K155" s="373">
        <f t="shared" ref="K155:K156" si="56">K156</f>
        <v>0</v>
      </c>
      <c r="L155" s="405">
        <f>H155+I155+J155+K155</f>
        <v>10730.470000000001</v>
      </c>
      <c r="M155" s="360">
        <f>M156</f>
        <v>0</v>
      </c>
      <c r="N155" s="360">
        <f>N156</f>
        <v>2655.8999999999996</v>
      </c>
      <c r="O155" s="377">
        <f>O156</f>
        <v>199.46</v>
      </c>
      <c r="P155" s="377">
        <v>0</v>
      </c>
      <c r="Q155" s="367">
        <v>0</v>
      </c>
      <c r="R155" s="367">
        <v>0</v>
      </c>
      <c r="S155" s="388">
        <f t="shared" si="52"/>
        <v>2855.3599999999997</v>
      </c>
      <c r="T155" s="377"/>
      <c r="U155" s="377"/>
      <c r="V155" s="406">
        <f t="shared" si="49"/>
        <v>0</v>
      </c>
      <c r="W155" s="1073">
        <f>W156</f>
        <v>640</v>
      </c>
      <c r="X155" s="360">
        <f>X156</f>
        <v>0</v>
      </c>
      <c r="Y155" s="376">
        <v>0</v>
      </c>
      <c r="Z155" s="364">
        <f>+X155+Y155</f>
        <v>0</v>
      </c>
      <c r="AA155" s="376"/>
      <c r="AB155" s="380"/>
      <c r="AC155" s="377"/>
      <c r="AD155" s="366"/>
      <c r="AE155" s="376"/>
      <c r="AF155" s="377"/>
      <c r="AG155" s="367"/>
      <c r="AH155" s="380"/>
      <c r="AI155" s="377"/>
      <c r="AJ155" s="367"/>
      <c r="AK155" s="407">
        <f t="shared" si="50"/>
        <v>45164.94</v>
      </c>
      <c r="AL155" s="335"/>
    </row>
    <row r="156" spans="1:38" s="336" customFormat="1" ht="12.75" x14ac:dyDescent="0.2">
      <c r="A156" s="254">
        <v>721</v>
      </c>
      <c r="B156" s="1090" t="s">
        <v>622</v>
      </c>
      <c r="C156" s="400">
        <f>C157</f>
        <v>30903.88</v>
      </c>
      <c r="D156" s="354">
        <f t="shared" si="53"/>
        <v>0</v>
      </c>
      <c r="E156" s="354">
        <f t="shared" si="53"/>
        <v>0</v>
      </c>
      <c r="F156" s="354">
        <f t="shared" si="53"/>
        <v>35.229999999999997</v>
      </c>
      <c r="G156" s="403">
        <f t="shared" ref="G156:G157" si="57">C156+D156+E156+F156</f>
        <v>30939.11</v>
      </c>
      <c r="H156" s="372">
        <f>H157</f>
        <v>10730.470000000001</v>
      </c>
      <c r="I156" s="373">
        <f t="shared" si="54"/>
        <v>0</v>
      </c>
      <c r="J156" s="404">
        <f t="shared" si="55"/>
        <v>0</v>
      </c>
      <c r="K156" s="373">
        <f t="shared" si="56"/>
        <v>0</v>
      </c>
      <c r="L156" s="405">
        <f t="shared" ref="L156" si="58">H156+I156+J156+K156</f>
        <v>10730.470000000001</v>
      </c>
      <c r="M156" s="360">
        <f>M157</f>
        <v>0</v>
      </c>
      <c r="N156" s="360">
        <f>SUM(N157:N158)</f>
        <v>2655.8999999999996</v>
      </c>
      <c r="O156" s="377">
        <f>O158</f>
        <v>199.46</v>
      </c>
      <c r="P156" s="377">
        <v>0</v>
      </c>
      <c r="Q156" s="367">
        <v>0</v>
      </c>
      <c r="R156" s="367">
        <v>0</v>
      </c>
      <c r="S156" s="388">
        <f t="shared" si="52"/>
        <v>2855.3599999999997</v>
      </c>
      <c r="T156" s="377"/>
      <c r="U156" s="377"/>
      <c r="V156" s="406">
        <f t="shared" si="49"/>
        <v>0</v>
      </c>
      <c r="W156" s="1073">
        <f>W157</f>
        <v>640</v>
      </c>
      <c r="X156" s="360">
        <f>SUM(X157:X158)</f>
        <v>0</v>
      </c>
      <c r="Y156" s="376">
        <v>0</v>
      </c>
      <c r="Z156" s="364">
        <f t="shared" ref="Z156:Z157" si="59">+X156+Y156</f>
        <v>0</v>
      </c>
      <c r="AA156" s="376"/>
      <c r="AB156" s="380"/>
      <c r="AC156" s="377"/>
      <c r="AD156" s="366"/>
      <c r="AE156" s="376"/>
      <c r="AF156" s="377"/>
      <c r="AG156" s="367"/>
      <c r="AH156" s="380"/>
      <c r="AI156" s="377"/>
      <c r="AJ156" s="367"/>
      <c r="AK156" s="407">
        <f t="shared" si="50"/>
        <v>45164.94</v>
      </c>
      <c r="AL156" s="335"/>
    </row>
    <row r="157" spans="1:38" s="336" customFormat="1" ht="18" customHeight="1" x14ac:dyDescent="0.25">
      <c r="A157" s="256">
        <v>72101</v>
      </c>
      <c r="B157" s="1087" t="s">
        <v>622</v>
      </c>
      <c r="C157" s="401">
        <f>'egresos 25% y F.P'!C203</f>
        <v>30903.88</v>
      </c>
      <c r="D157" s="370">
        <v>0</v>
      </c>
      <c r="E157" s="370">
        <v>0</v>
      </c>
      <c r="F157" s="370">
        <v>35.229999999999997</v>
      </c>
      <c r="G157" s="402">
        <f t="shared" si="57"/>
        <v>30939.11</v>
      </c>
      <c r="H157" s="372">
        <f>'egresos 25% y F.P'!C95</f>
        <v>10730.470000000001</v>
      </c>
      <c r="I157" s="373">
        <v>0</v>
      </c>
      <c r="J157" s="404">
        <v>0</v>
      </c>
      <c r="K157" s="373">
        <v>0</v>
      </c>
      <c r="L157" s="405">
        <f t="shared" si="45"/>
        <v>10730.470000000001</v>
      </c>
      <c r="M157" s="376">
        <v>0</v>
      </c>
      <c r="N157" s="376">
        <v>0</v>
      </c>
      <c r="O157" s="377"/>
      <c r="P157" s="377">
        <v>0</v>
      </c>
      <c r="Q157" s="367">
        <v>0</v>
      </c>
      <c r="R157" s="367">
        <v>0</v>
      </c>
      <c r="S157" s="362">
        <f t="shared" si="52"/>
        <v>0</v>
      </c>
      <c r="T157" s="377"/>
      <c r="U157" s="377"/>
      <c r="V157" s="406">
        <f t="shared" si="49"/>
        <v>0</v>
      </c>
      <c r="W157" s="378">
        <f>'AG4'!G81</f>
        <v>640</v>
      </c>
      <c r="X157" s="479">
        <v>0</v>
      </c>
      <c r="Y157" s="376">
        <v>0</v>
      </c>
      <c r="Z157" s="379">
        <f t="shared" si="59"/>
        <v>0</v>
      </c>
      <c r="AA157" s="376"/>
      <c r="AB157" s="380"/>
      <c r="AC157" s="377"/>
      <c r="AD157" s="366"/>
      <c r="AE157" s="376"/>
      <c r="AF157" s="377"/>
      <c r="AG157" s="367"/>
      <c r="AH157" s="380"/>
      <c r="AI157" s="377"/>
      <c r="AJ157" s="367"/>
      <c r="AK157" s="407">
        <f t="shared" si="50"/>
        <v>42309.58</v>
      </c>
      <c r="AL157" s="335"/>
    </row>
    <row r="158" spans="1:38" s="336" customFormat="1" ht="18" customHeight="1" x14ac:dyDescent="0.25">
      <c r="A158" s="256">
        <v>72201</v>
      </c>
      <c r="B158" s="1087" t="s">
        <v>703</v>
      </c>
      <c r="C158" s="401">
        <f>'egresos 25% y F.P'!C204</f>
        <v>0</v>
      </c>
      <c r="D158" s="370">
        <v>0</v>
      </c>
      <c r="E158" s="370">
        <v>0</v>
      </c>
      <c r="F158" s="370">
        <v>0</v>
      </c>
      <c r="G158" s="402">
        <f t="shared" ref="G158" si="60">C158+D158+E158+F158</f>
        <v>0</v>
      </c>
      <c r="H158" s="372">
        <f>'egresos 25% y F.P'!C96</f>
        <v>0</v>
      </c>
      <c r="I158" s="373">
        <v>0</v>
      </c>
      <c r="J158" s="404">
        <v>0</v>
      </c>
      <c r="K158" s="373">
        <v>0</v>
      </c>
      <c r="L158" s="405">
        <f t="shared" ref="L158" si="61">SUM(H158:J158)</f>
        <v>0</v>
      </c>
      <c r="M158" s="376">
        <f>'AG3'!E182</f>
        <v>0</v>
      </c>
      <c r="N158" s="376">
        <f>'AG3'!E181</f>
        <v>2655.8999999999996</v>
      </c>
      <c r="O158" s="377">
        <f>'AG4'!E81</f>
        <v>199.46</v>
      </c>
      <c r="P158" s="377">
        <v>0</v>
      </c>
      <c r="Q158" s="367">
        <v>0</v>
      </c>
      <c r="R158" s="367">
        <v>0</v>
      </c>
      <c r="S158" s="362">
        <f t="shared" si="52"/>
        <v>2855.3599999999997</v>
      </c>
      <c r="T158" s="377"/>
      <c r="U158" s="377"/>
      <c r="V158" s="406">
        <f t="shared" si="49"/>
        <v>0</v>
      </c>
      <c r="W158" s="378">
        <v>0</v>
      </c>
      <c r="X158" s="479">
        <v>0</v>
      </c>
      <c r="Y158" s="376">
        <v>0</v>
      </c>
      <c r="Z158" s="379">
        <f t="shared" ref="Z158" si="62">+X158+Y158</f>
        <v>0</v>
      </c>
      <c r="AA158" s="376"/>
      <c r="AB158" s="380"/>
      <c r="AC158" s="377"/>
      <c r="AD158" s="366"/>
      <c r="AE158" s="376"/>
      <c r="AF158" s="377"/>
      <c r="AG158" s="367"/>
      <c r="AH158" s="380"/>
      <c r="AI158" s="377"/>
      <c r="AJ158" s="367"/>
      <c r="AK158" s="407">
        <f t="shared" si="50"/>
        <v>2855.3599999999997</v>
      </c>
      <c r="AL158" s="335"/>
    </row>
    <row r="159" spans="1:38" s="336" customFormat="1" ht="18" customHeight="1" thickBot="1" x14ac:dyDescent="0.25">
      <c r="A159" s="254">
        <v>99</v>
      </c>
      <c r="B159" s="257"/>
      <c r="C159" s="401"/>
      <c r="D159" s="370"/>
      <c r="E159" s="370"/>
      <c r="F159" s="370"/>
      <c r="G159" s="402"/>
      <c r="H159" s="372"/>
      <c r="I159" s="373"/>
      <c r="J159" s="404"/>
      <c r="K159" s="373"/>
      <c r="L159" s="405">
        <f t="shared" si="45"/>
        <v>0</v>
      </c>
      <c r="M159" s="376"/>
      <c r="N159" s="376"/>
      <c r="O159" s="377"/>
      <c r="P159" s="377"/>
      <c r="Q159" s="367"/>
      <c r="R159" s="367"/>
      <c r="S159" s="362">
        <f t="shared" si="52"/>
        <v>0</v>
      </c>
      <c r="T159" s="377"/>
      <c r="U159" s="377"/>
      <c r="V159" s="406">
        <f t="shared" si="49"/>
        <v>0</v>
      </c>
      <c r="W159" s="378"/>
      <c r="X159" s="479"/>
      <c r="Y159" s="376"/>
      <c r="Z159" s="406"/>
      <c r="AA159" s="376"/>
      <c r="AB159" s="380"/>
      <c r="AC159" s="377"/>
      <c r="AD159" s="366"/>
      <c r="AE159" s="376"/>
      <c r="AF159" s="377"/>
      <c r="AG159" s="367"/>
      <c r="AH159" s="380"/>
      <c r="AI159" s="377"/>
      <c r="AJ159" s="367"/>
      <c r="AK159" s="407">
        <f t="shared" si="50"/>
        <v>0</v>
      </c>
      <c r="AL159" s="335"/>
    </row>
    <row r="160" spans="1:38" s="336" customFormat="1" ht="18" hidden="1" customHeight="1" x14ac:dyDescent="0.2">
      <c r="A160" s="254">
        <v>991</v>
      </c>
      <c r="B160" s="259" t="s">
        <v>183</v>
      </c>
      <c r="C160" s="368"/>
      <c r="D160" s="370"/>
      <c r="E160" s="408"/>
      <c r="F160" s="408"/>
      <c r="G160" s="395"/>
      <c r="H160" s="372"/>
      <c r="I160" s="373"/>
      <c r="J160" s="404"/>
      <c r="K160" s="373"/>
      <c r="L160" s="405">
        <f t="shared" si="45"/>
        <v>0</v>
      </c>
      <c r="M160" s="376"/>
      <c r="N160" s="376"/>
      <c r="O160" s="377"/>
      <c r="P160" s="377"/>
      <c r="Q160" s="367"/>
      <c r="R160" s="367"/>
      <c r="S160" s="362">
        <f t="shared" si="52"/>
        <v>0</v>
      </c>
      <c r="T160" s="377"/>
      <c r="U160" s="377"/>
      <c r="V160" s="406"/>
      <c r="W160" s="378"/>
      <c r="X160" s="479"/>
      <c r="Y160" s="376"/>
      <c r="Z160" s="406"/>
      <c r="AA160" s="376"/>
      <c r="AB160" s="380"/>
      <c r="AC160" s="377"/>
      <c r="AD160" s="366"/>
      <c r="AE160" s="376"/>
      <c r="AF160" s="377"/>
      <c r="AG160" s="367"/>
      <c r="AH160" s="380"/>
      <c r="AI160" s="377"/>
      <c r="AJ160" s="367"/>
      <c r="AK160" s="407">
        <f t="shared" si="50"/>
        <v>0</v>
      </c>
      <c r="AL160" s="335"/>
    </row>
    <row r="161" spans="1:38" s="336" customFormat="1" ht="18" hidden="1" customHeight="1" x14ac:dyDescent="0.2">
      <c r="A161" s="409">
        <v>99101</v>
      </c>
      <c r="B161" s="259" t="s">
        <v>184</v>
      </c>
      <c r="C161" s="368"/>
      <c r="D161" s="370"/>
      <c r="E161" s="408"/>
      <c r="F161" s="408"/>
      <c r="G161" s="395"/>
      <c r="H161" s="372"/>
      <c r="I161" s="373"/>
      <c r="J161" s="404"/>
      <c r="K161" s="373"/>
      <c r="L161" s="405">
        <f t="shared" si="45"/>
        <v>0</v>
      </c>
      <c r="M161" s="376"/>
      <c r="N161" s="376"/>
      <c r="O161" s="377"/>
      <c r="P161" s="377"/>
      <c r="Q161" s="367"/>
      <c r="R161" s="367"/>
      <c r="S161" s="362">
        <f t="shared" si="52"/>
        <v>0</v>
      </c>
      <c r="T161" s="377"/>
      <c r="U161" s="377"/>
      <c r="V161" s="406"/>
      <c r="W161" s="378"/>
      <c r="X161" s="479"/>
      <c r="Y161" s="376"/>
      <c r="Z161" s="406"/>
      <c r="AA161" s="376"/>
      <c r="AB161" s="380"/>
      <c r="AC161" s="377"/>
      <c r="AD161" s="366"/>
      <c r="AE161" s="376"/>
      <c r="AF161" s="377"/>
      <c r="AG161" s="367"/>
      <c r="AH161" s="380"/>
      <c r="AI161" s="377"/>
      <c r="AJ161" s="367"/>
      <c r="AK161" s="407">
        <f t="shared" si="50"/>
        <v>0</v>
      </c>
      <c r="AL161" s="335"/>
    </row>
    <row r="162" spans="1:38" s="336" customFormat="1" ht="18" hidden="1" customHeight="1" thickBot="1" x14ac:dyDescent="0.25">
      <c r="A162" s="1120"/>
      <c r="B162" s="410" t="s">
        <v>184</v>
      </c>
      <c r="C162" s="411"/>
      <c r="D162" s="412"/>
      <c r="E162" s="413"/>
      <c r="F162" s="413"/>
      <c r="G162" s="414"/>
      <c r="H162" s="415"/>
      <c r="I162" s="416"/>
      <c r="J162" s="417"/>
      <c r="K162" s="417"/>
      <c r="L162" s="418">
        <f t="shared" si="45"/>
        <v>0</v>
      </c>
      <c r="M162" s="419"/>
      <c r="N162" s="419"/>
      <c r="O162" s="420"/>
      <c r="P162" s="420"/>
      <c r="Q162" s="421"/>
      <c r="R162" s="421"/>
      <c r="S162" s="422">
        <f t="shared" si="52"/>
        <v>0</v>
      </c>
      <c r="T162" s="420"/>
      <c r="U162" s="420"/>
      <c r="V162" s="424"/>
      <c r="W162" s="423"/>
      <c r="X162" s="481"/>
      <c r="Y162" s="419"/>
      <c r="Z162" s="424"/>
      <c r="AA162" s="419"/>
      <c r="AB162" s="425"/>
      <c r="AC162" s="420"/>
      <c r="AD162" s="426"/>
      <c r="AE162" s="419"/>
      <c r="AF162" s="420"/>
      <c r="AG162" s="421"/>
      <c r="AH162" s="425"/>
      <c r="AI162" s="420"/>
      <c r="AJ162" s="421"/>
      <c r="AK162" s="407">
        <f t="shared" si="50"/>
        <v>0</v>
      </c>
      <c r="AL162" s="335"/>
    </row>
    <row r="163" spans="1:38" s="336" customFormat="1" ht="18" customHeight="1" thickTop="1" thickBot="1" x14ac:dyDescent="0.25">
      <c r="A163" s="1134"/>
      <c r="B163" s="1119" t="s">
        <v>25</v>
      </c>
      <c r="C163" s="1133">
        <f>C9+C43+C94+C112+C120+C150+C155</f>
        <v>208174.6</v>
      </c>
      <c r="D163" s="559">
        <f>D9+D43+D94+D112+D120+D150</f>
        <v>51407.18</v>
      </c>
      <c r="E163" s="559">
        <f>E9+E43+E94+E112+E120+E150</f>
        <v>39446.58</v>
      </c>
      <c r="F163" s="559">
        <f>F9+F43+F94+F112+F120+F150+F155</f>
        <v>106960.16999999998</v>
      </c>
      <c r="G163" s="560">
        <f>G9+G43+G94+G112+G120+G150+G155</f>
        <v>405988.52999999997</v>
      </c>
      <c r="H163" s="561">
        <f>H9+H150+H120+H112+H94+H43+H155</f>
        <v>152551.5</v>
      </c>
      <c r="I163" s="562">
        <f>I9+I150+I120+I112+I94+I43</f>
        <v>35950</v>
      </c>
      <c r="J163" s="562">
        <f>J9+J150+J120+J112+J94+J43</f>
        <v>20341.7</v>
      </c>
      <c r="K163" s="562">
        <f>K9+K150+K120+K112+K94+K43</f>
        <v>203692.3</v>
      </c>
      <c r="L163" s="563">
        <f>L9+L43+L94+L112+L120+L155</f>
        <v>412535.5</v>
      </c>
      <c r="M163" s="564">
        <f>M9+M43+M94+M112+M120+M150+M155</f>
        <v>150599.71000000002</v>
      </c>
      <c r="N163" s="565">
        <f>N9+N43+N94+N112+N120+N150+N155</f>
        <v>640122.11</v>
      </c>
      <c r="O163" s="565">
        <f t="shared" ref="O163:P163" si="63">O9+O43+O94+O112+O120+O150+O155</f>
        <v>316161.69</v>
      </c>
      <c r="P163" s="565">
        <f t="shared" si="63"/>
        <v>321951.68999999994</v>
      </c>
      <c r="Q163" s="565">
        <f t="shared" ref="Q163:R163" si="64">Q9+Q43+Q94+Q112+Q120+Q150+Q155</f>
        <v>63199.569999999992</v>
      </c>
      <c r="R163" s="565">
        <f t="shared" si="64"/>
        <v>4638.53</v>
      </c>
      <c r="S163" s="565">
        <f>S9+S43+S94+S112+S120+S150+S155</f>
        <v>1496673.3</v>
      </c>
      <c r="T163" s="565">
        <f>T9+T43+T94+T112+T120+T150+T155</f>
        <v>108857.97</v>
      </c>
      <c r="U163" s="565">
        <f>U9+U43+U94+U112+U120+U150+U155</f>
        <v>268760.29000000004</v>
      </c>
      <c r="V163" s="567">
        <f>V9+V43+V94+V112+V120+V150+V155</f>
        <v>377618.26</v>
      </c>
      <c r="W163" s="564">
        <f>W9+W43+W94+W112+W120+W150+W156</f>
        <v>788.31999999999994</v>
      </c>
      <c r="X163" s="566">
        <f>X9+X43+X94+X112+X120+X150+X155</f>
        <v>0</v>
      </c>
      <c r="Y163" s="567">
        <f>Y9+Y43+Y94+Y112+Y120+Y150</f>
        <v>0</v>
      </c>
      <c r="Z163" s="567">
        <f>Z9+Z43+Z94+Z112+Z120+Z150+Z155</f>
        <v>0</v>
      </c>
      <c r="AA163" s="568">
        <f>AA9+AA43+AA94+AA112+AA120+AA150</f>
        <v>0</v>
      </c>
      <c r="AB163" s="569">
        <f t="shared" ref="AB163:AJ163" si="65">SUM(AB9:AB162)</f>
        <v>2521810.52</v>
      </c>
      <c r="AC163" s="570">
        <f t="shared" si="65"/>
        <v>0</v>
      </c>
      <c r="AD163" s="570">
        <f t="shared" si="65"/>
        <v>0</v>
      </c>
      <c r="AE163" s="570">
        <f t="shared" si="65"/>
        <v>0</v>
      </c>
      <c r="AF163" s="570">
        <f t="shared" si="65"/>
        <v>0</v>
      </c>
      <c r="AG163" s="570">
        <f t="shared" si="65"/>
        <v>0</v>
      </c>
      <c r="AH163" s="571">
        <f>AH43+AH94+AH112+AH120+AH150</f>
        <v>0</v>
      </c>
      <c r="AI163" s="570">
        <f t="shared" si="65"/>
        <v>0</v>
      </c>
      <c r="AJ163" s="572">
        <f t="shared" si="65"/>
        <v>0</v>
      </c>
      <c r="AK163" s="565">
        <f>+L163+S163+G163+AD163+AG163+AJ163+V163+W163+Z163+AA163</f>
        <v>2693603.9099999997</v>
      </c>
      <c r="AL163" s="335"/>
    </row>
    <row r="164" spans="1:38" s="434" customFormat="1" ht="12" thickTop="1" x14ac:dyDescent="0.2">
      <c r="A164" s="574"/>
      <c r="C164" s="475"/>
      <c r="D164" s="475"/>
      <c r="E164" s="475"/>
      <c r="F164" s="475"/>
      <c r="G164" s="475"/>
      <c r="H164" s="474"/>
      <c r="I164" s="474"/>
      <c r="J164" s="474"/>
      <c r="K164" s="474"/>
      <c r="L164" s="474"/>
      <c r="S164" s="473"/>
      <c r="AL164" s="575"/>
    </row>
    <row r="165" spans="1:38" s="434" customFormat="1" ht="11.25" x14ac:dyDescent="0.2">
      <c r="A165" s="574"/>
      <c r="C165" s="475"/>
      <c r="D165" s="475"/>
      <c r="E165" s="475"/>
      <c r="F165" s="475"/>
      <c r="G165" s="475"/>
      <c r="H165" s="474"/>
      <c r="I165" s="474"/>
      <c r="J165" s="474"/>
      <c r="R165" s="1326"/>
      <c r="S165" s="1326"/>
      <c r="X165" s="473"/>
      <c r="AK165" s="593"/>
      <c r="AL165" s="575"/>
    </row>
    <row r="166" spans="1:38" s="434" customFormat="1" ht="11.25" x14ac:dyDescent="0.2">
      <c r="A166" s="574"/>
      <c r="C166" s="475"/>
      <c r="D166" s="475"/>
      <c r="E166" s="475"/>
      <c r="F166" s="475"/>
      <c r="G166" s="475"/>
      <c r="H166" s="474"/>
      <c r="I166" s="474"/>
      <c r="J166" s="474"/>
      <c r="M166" s="225"/>
      <c r="O166" s="225"/>
      <c r="P166" s="225"/>
      <c r="Q166" s="225">
        <f>M163+N163+O163+P163+Q163+R163</f>
        <v>1496673.3</v>
      </c>
      <c r="T166" s="225"/>
      <c r="U166" s="1326"/>
      <c r="V166" s="1326"/>
      <c r="W166" s="225"/>
      <c r="X166" s="225"/>
      <c r="Y166" s="225"/>
      <c r="AA166" s="225"/>
      <c r="AL166" s="575"/>
    </row>
    <row r="167" spans="1:38" s="434" customFormat="1" ht="11.25" x14ac:dyDescent="0.2">
      <c r="A167" s="574"/>
      <c r="C167" s="475"/>
      <c r="D167" s="475"/>
      <c r="E167" s="475"/>
      <c r="F167" s="475"/>
      <c r="G167" s="475"/>
      <c r="H167" s="474"/>
      <c r="I167" s="474"/>
      <c r="J167" s="474"/>
      <c r="K167" s="474"/>
      <c r="L167" s="475"/>
      <c r="R167" s="1326"/>
      <c r="S167" s="1326"/>
      <c r="AK167" s="473"/>
      <c r="AL167" s="575"/>
    </row>
    <row r="168" spans="1:38" s="434" customFormat="1" ht="11.25" x14ac:dyDescent="0.2">
      <c r="A168" s="574"/>
      <c r="C168" s="475"/>
      <c r="D168" s="475"/>
      <c r="E168" s="475"/>
      <c r="F168" s="475"/>
      <c r="G168" s="475"/>
      <c r="H168" s="474"/>
      <c r="I168" s="474"/>
      <c r="J168" s="474"/>
      <c r="K168" s="474"/>
      <c r="L168" s="474"/>
      <c r="AL168" s="575"/>
    </row>
    <row r="169" spans="1:38" s="434" customFormat="1" ht="12.75" x14ac:dyDescent="0.2">
      <c r="A169" s="14"/>
      <c r="C169" s="475"/>
      <c r="D169" s="475"/>
      <c r="E169" s="475"/>
      <c r="F169" s="475"/>
      <c r="G169" s="475"/>
      <c r="H169" s="474"/>
      <c r="I169" s="474"/>
      <c r="J169" s="474"/>
      <c r="K169" s="474"/>
      <c r="L169" s="474"/>
      <c r="T169" s="434">
        <f>S163+V163</f>
        <v>1874291.56</v>
      </c>
      <c r="AL169" s="575"/>
    </row>
    <row r="170" spans="1:38" ht="12.75" x14ac:dyDescent="0.2">
      <c r="F170" s="13"/>
      <c r="G170" s="13"/>
    </row>
    <row r="171" spans="1:38" ht="12.75" x14ac:dyDescent="0.2">
      <c r="F171" s="474" t="s">
        <v>617</v>
      </c>
      <c r="G171" s="475">
        <f>'ING. REALES'!H73</f>
        <v>405988.53</v>
      </c>
      <c r="K171" s="474" t="s">
        <v>617</v>
      </c>
      <c r="L171" s="475">
        <f>'ING. REALES'!C73</f>
        <v>412535.5</v>
      </c>
      <c r="R171" s="474" t="s">
        <v>617</v>
      </c>
      <c r="S171" s="475">
        <f>'ING. REALES'!D73</f>
        <v>1496673.2999999998</v>
      </c>
      <c r="U171" s="474" t="s">
        <v>617</v>
      </c>
      <c r="V171" s="475">
        <f>'ING. REALES'!E73</f>
        <v>377618.26</v>
      </c>
      <c r="W171" s="475">
        <f>'ING. REALES'!F73:F73</f>
        <v>788.32</v>
      </c>
      <c r="Y171" s="474" t="s">
        <v>617</v>
      </c>
      <c r="Z171" s="475">
        <f>'ING. REALES'!J73</f>
        <v>0</v>
      </c>
      <c r="AK171" s="475">
        <f>'ING. REALES'!K73</f>
        <v>2693603.91</v>
      </c>
    </row>
    <row r="172" spans="1:38" ht="12.75" x14ac:dyDescent="0.2">
      <c r="F172" s="500" t="s">
        <v>653</v>
      </c>
      <c r="G172" s="475">
        <f>G171-G163</f>
        <v>0</v>
      </c>
      <c r="K172" s="500" t="s">
        <v>653</v>
      </c>
      <c r="L172" s="475">
        <f>L171-L163</f>
        <v>0</v>
      </c>
      <c r="R172" s="500" t="s">
        <v>653</v>
      </c>
      <c r="S172" s="475">
        <f>S171-S163</f>
        <v>0</v>
      </c>
      <c r="U172" s="500" t="s">
        <v>653</v>
      </c>
      <c r="V172" s="475">
        <f>V171-V163</f>
        <v>0</v>
      </c>
      <c r="W172" s="475">
        <f>W171-W163</f>
        <v>0</v>
      </c>
      <c r="Y172" s="500" t="s">
        <v>653</v>
      </c>
      <c r="Z172" s="475">
        <f>Z171-Z163</f>
        <v>0</v>
      </c>
      <c r="AK172" s="475">
        <f>AK171-AK163</f>
        <v>0</v>
      </c>
    </row>
    <row r="173" spans="1:38" ht="12.75" x14ac:dyDescent="0.2">
      <c r="U173" s="474"/>
      <c r="V173" s="475"/>
    </row>
    <row r="174" spans="1:38" ht="12.75" x14ac:dyDescent="0.2"/>
    <row r="175" spans="1:38" ht="12.75" x14ac:dyDescent="0.2"/>
    <row r="176" spans="1:38" ht="12.75" x14ac:dyDescent="0.2"/>
    <row r="177" ht="12.75" x14ac:dyDescent="0.2"/>
    <row r="178" ht="12.75" x14ac:dyDescent="0.2"/>
    <row r="179" ht="12.75" x14ac:dyDescent="0.2"/>
    <row r="180" ht="12.75" x14ac:dyDescent="0.2"/>
  </sheetData>
  <autoFilter ref="A3:G163">
    <filterColumn colId="2" showButton="0"/>
    <filterColumn colId="3" showButton="0"/>
    <filterColumn colId="4" showButton="0"/>
    <filterColumn colId="5" showButton="0"/>
  </autoFilter>
  <mergeCells count="47">
    <mergeCell ref="U166:V166"/>
    <mergeCell ref="R165:S165"/>
    <mergeCell ref="A3:A8"/>
    <mergeCell ref="B3:B8"/>
    <mergeCell ref="H5:L5"/>
    <mergeCell ref="P6:R6"/>
    <mergeCell ref="E7:E8"/>
    <mergeCell ref="M5:N5"/>
    <mergeCell ref="H4:L4"/>
    <mergeCell ref="C5:G5"/>
    <mergeCell ref="F7:F8"/>
    <mergeCell ref="C7:C8"/>
    <mergeCell ref="P5:R5"/>
    <mergeCell ref="C3:G4"/>
    <mergeCell ref="M4:S4"/>
    <mergeCell ref="H3:V3"/>
    <mergeCell ref="W3:W4"/>
    <mergeCell ref="C6:G6"/>
    <mergeCell ref="L7:L8"/>
    <mergeCell ref="M6:N6"/>
    <mergeCell ref="I7:I8"/>
    <mergeCell ref="J7:J8"/>
    <mergeCell ref="W5:W6"/>
    <mergeCell ref="K7:K8"/>
    <mergeCell ref="D7:D8"/>
    <mergeCell ref="H6:L6"/>
    <mergeCell ref="H7:H8"/>
    <mergeCell ref="G7:G8"/>
    <mergeCell ref="S5:S8"/>
    <mergeCell ref="T4:V4"/>
    <mergeCell ref="V5:V8"/>
    <mergeCell ref="R167:S167"/>
    <mergeCell ref="X4:X5"/>
    <mergeCell ref="Y4:Y5"/>
    <mergeCell ref="Z4:Z8"/>
    <mergeCell ref="AK3:AK8"/>
    <mergeCell ref="AJ5:AJ8"/>
    <mergeCell ref="AH4:AI4"/>
    <mergeCell ref="AB4:AC4"/>
    <mergeCell ref="AH3:AJ3"/>
    <mergeCell ref="AG5:AG8"/>
    <mergeCell ref="AB3:AD3"/>
    <mergeCell ref="AD5:AD8"/>
    <mergeCell ref="AE4:AF4"/>
    <mergeCell ref="AE3:AG3"/>
    <mergeCell ref="X3:Z3"/>
    <mergeCell ref="AA3:AA4"/>
  </mergeCells>
  <phoneticPr fontId="0" type="noConversion"/>
  <pageMargins left="0" right="0" top="0.62992125984251968" bottom="0.31496062992125984" header="0" footer="0"/>
  <pageSetup scale="4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8"/>
  </sheetPr>
  <dimension ref="A1:G169"/>
  <sheetViews>
    <sheetView showGridLines="0" topLeftCell="A97" zoomScale="80" workbookViewId="0">
      <selection activeCell="E105" sqref="E105"/>
    </sheetView>
  </sheetViews>
  <sheetFormatPr baseColWidth="10" defaultRowHeight="18" customHeight="1" x14ac:dyDescent="0.2"/>
  <cols>
    <col min="1" max="1" width="7.5703125" style="14" customWidth="1"/>
    <col min="2" max="2" width="58.140625" style="13" customWidth="1"/>
    <col min="3" max="5" width="15.42578125" style="251" customWidth="1"/>
    <col min="6" max="6" width="11.5703125" style="13" bestFit="1" customWidth="1"/>
    <col min="7" max="7" width="15" style="13" customWidth="1"/>
    <col min="8" max="16384" width="11.42578125" style="13"/>
  </cols>
  <sheetData>
    <row r="1" spans="1:7" ht="18" customHeight="1" x14ac:dyDescent="0.25">
      <c r="A1" s="1394" t="s">
        <v>325</v>
      </c>
      <c r="B1" s="1394"/>
      <c r="C1" s="1394"/>
      <c r="D1" s="1394"/>
      <c r="E1" s="1394"/>
    </row>
    <row r="2" spans="1:7" ht="18" customHeight="1" x14ac:dyDescent="0.25">
      <c r="A2" s="1394" t="s">
        <v>247</v>
      </c>
      <c r="B2" s="1394"/>
      <c r="C2" s="1394"/>
      <c r="D2" s="1394"/>
      <c r="E2" s="1394"/>
    </row>
    <row r="3" spans="1:7" ht="18" customHeight="1" x14ac:dyDescent="0.25">
      <c r="A3" s="1394" t="s">
        <v>469</v>
      </c>
      <c r="B3" s="1394"/>
      <c r="C3" s="1394"/>
      <c r="D3" s="1394"/>
      <c r="E3" s="1394"/>
    </row>
    <row r="4" spans="1:7" ht="18" customHeight="1" x14ac:dyDescent="0.25">
      <c r="A4" s="1395" t="s">
        <v>510</v>
      </c>
      <c r="B4" s="1395"/>
      <c r="C4" s="1395"/>
      <c r="D4" s="1395"/>
      <c r="E4" s="1395"/>
    </row>
    <row r="5" spans="1:7" ht="18" customHeight="1" x14ac:dyDescent="0.25">
      <c r="A5" s="1394" t="s">
        <v>775</v>
      </c>
      <c r="B5" s="1394"/>
      <c r="C5" s="1394"/>
      <c r="D5" s="1394"/>
      <c r="E5" s="1394"/>
    </row>
    <row r="6" spans="1:7" ht="18" customHeight="1" thickBot="1" x14ac:dyDescent="0.3">
      <c r="A6" s="207"/>
      <c r="B6" s="207"/>
      <c r="C6" s="262"/>
      <c r="D6" s="262"/>
      <c r="E6" s="262"/>
    </row>
    <row r="7" spans="1:7" ht="18" customHeight="1" thickBot="1" x14ac:dyDescent="0.25">
      <c r="A7" s="31" t="s">
        <v>334</v>
      </c>
      <c r="B7" s="30" t="s">
        <v>248</v>
      </c>
      <c r="C7" s="263" t="s">
        <v>249</v>
      </c>
      <c r="D7" s="263" t="s">
        <v>250</v>
      </c>
      <c r="E7" s="263" t="s">
        <v>25</v>
      </c>
    </row>
    <row r="8" spans="1:7" s="5" customFormat="1" ht="18" customHeight="1" x14ac:dyDescent="0.25">
      <c r="A8" s="228">
        <v>51</v>
      </c>
      <c r="B8" s="233" t="s">
        <v>122</v>
      </c>
      <c r="C8" s="264"/>
      <c r="D8" s="265"/>
      <c r="E8" s="125">
        <f>SUM(D9:D40)</f>
        <v>564221.33000000007</v>
      </c>
    </row>
    <row r="9" spans="1:7" s="5" customFormat="1" ht="18" customHeight="1" x14ac:dyDescent="0.2">
      <c r="A9" s="228">
        <v>511</v>
      </c>
      <c r="B9" s="234" t="s">
        <v>123</v>
      </c>
      <c r="C9" s="121"/>
      <c r="D9" s="121">
        <f>SUM(C10:C15)</f>
        <v>389097.42000000004</v>
      </c>
      <c r="E9" s="125"/>
    </row>
    <row r="10" spans="1:7" ht="18" customHeight="1" x14ac:dyDescent="0.2">
      <c r="A10" s="229" t="s">
        <v>124</v>
      </c>
      <c r="B10" s="235" t="s">
        <v>125</v>
      </c>
      <c r="C10" s="120">
        <f>CONSOLIDADO!AK11</f>
        <v>274762.08</v>
      </c>
      <c r="D10" s="128"/>
      <c r="E10" s="266"/>
    </row>
    <row r="11" spans="1:7" ht="12.75" hidden="1" customHeight="1" x14ac:dyDescent="0.2">
      <c r="A11" s="438" t="s">
        <v>625</v>
      </c>
      <c r="B11" s="439" t="s">
        <v>126</v>
      </c>
      <c r="C11" s="120"/>
      <c r="D11" s="128"/>
      <c r="E11" s="266"/>
    </row>
    <row r="12" spans="1:7" ht="18" customHeight="1" x14ac:dyDescent="0.2">
      <c r="A12" s="230">
        <v>51103</v>
      </c>
      <c r="B12" s="235" t="s">
        <v>127</v>
      </c>
      <c r="C12" s="120">
        <f>CONSOLIDADO!AK13</f>
        <v>22896.84</v>
      </c>
      <c r="D12" s="121"/>
      <c r="E12" s="266"/>
    </row>
    <row r="13" spans="1:7" s="5" customFormat="1" ht="12.75" hidden="1" customHeight="1" x14ac:dyDescent="0.2">
      <c r="A13" s="230">
        <v>51104</v>
      </c>
      <c r="B13" s="235" t="s">
        <v>128</v>
      </c>
      <c r="C13" s="120"/>
      <c r="D13" s="121"/>
      <c r="E13" s="125"/>
      <c r="G13" s="13"/>
    </row>
    <row r="14" spans="1:7" ht="18" customHeight="1" x14ac:dyDescent="0.2">
      <c r="A14" s="229" t="s">
        <v>129</v>
      </c>
      <c r="B14" s="235" t="s">
        <v>130</v>
      </c>
      <c r="C14" s="120">
        <f>CONSOLIDADO!AK15</f>
        <v>75600</v>
      </c>
      <c r="D14" s="128"/>
      <c r="E14" s="266"/>
    </row>
    <row r="15" spans="1:7" s="5" customFormat="1" ht="18" customHeight="1" x14ac:dyDescent="0.2">
      <c r="A15" s="229" t="s">
        <v>131</v>
      </c>
      <c r="B15" s="235" t="s">
        <v>132</v>
      </c>
      <c r="C15" s="120">
        <f>CONSOLIDADO!AK16</f>
        <v>15838.5</v>
      </c>
      <c r="D15" s="121"/>
      <c r="E15" s="125"/>
      <c r="G15" s="13"/>
    </row>
    <row r="16" spans="1:7" ht="12.75" x14ac:dyDescent="0.2">
      <c r="A16" s="231" t="s">
        <v>133</v>
      </c>
      <c r="B16" s="236" t="s">
        <v>134</v>
      </c>
      <c r="C16" s="120"/>
      <c r="D16" s="121">
        <f>SUM(C17:C20)</f>
        <v>106361.76000000001</v>
      </c>
      <c r="E16" s="266"/>
    </row>
    <row r="17" spans="1:5" ht="12.75" customHeight="1" x14ac:dyDescent="0.2">
      <c r="A17" s="229" t="s">
        <v>135</v>
      </c>
      <c r="B17" s="235" t="s">
        <v>125</v>
      </c>
      <c r="C17" s="120">
        <f>CONSOLIDADO!AK18</f>
        <v>106361.76000000001</v>
      </c>
      <c r="D17" s="128"/>
      <c r="E17" s="266"/>
    </row>
    <row r="18" spans="1:5" ht="18" hidden="1" customHeight="1" x14ac:dyDescent="0.2">
      <c r="A18" s="230">
        <v>51202</v>
      </c>
      <c r="B18" s="237" t="s">
        <v>136</v>
      </c>
      <c r="C18" s="120">
        <f>CONSOLIDADO!AK19</f>
        <v>0</v>
      </c>
      <c r="D18" s="121"/>
      <c r="E18" s="266"/>
    </row>
    <row r="19" spans="1:5" s="5" customFormat="1" ht="12.75" hidden="1" customHeight="1" x14ac:dyDescent="0.2">
      <c r="A19" s="229" t="s">
        <v>137</v>
      </c>
      <c r="B19" s="235" t="s">
        <v>127</v>
      </c>
      <c r="C19" s="120"/>
      <c r="D19" s="121"/>
      <c r="E19" s="125"/>
    </row>
    <row r="20" spans="1:5" s="5" customFormat="1" ht="12.75" hidden="1" customHeight="1" x14ac:dyDescent="0.2">
      <c r="A20" s="229" t="s">
        <v>138</v>
      </c>
      <c r="B20" s="235" t="s">
        <v>132</v>
      </c>
      <c r="C20" s="120"/>
      <c r="D20" s="121"/>
      <c r="E20" s="125"/>
    </row>
    <row r="21" spans="1:5" ht="18" customHeight="1" x14ac:dyDescent="0.2">
      <c r="A21" s="231" t="s">
        <v>139</v>
      </c>
      <c r="B21" s="236" t="s">
        <v>140</v>
      </c>
      <c r="C21" s="120"/>
      <c r="D21" s="121">
        <f>SUM(C22:C23)</f>
        <v>350</v>
      </c>
      <c r="E21" s="266"/>
    </row>
    <row r="22" spans="1:5" ht="18" customHeight="1" x14ac:dyDescent="0.2">
      <c r="A22" s="230">
        <v>51301</v>
      </c>
      <c r="B22" s="237" t="s">
        <v>141</v>
      </c>
      <c r="C22" s="120">
        <f>+CONSOLIDADO!AK23</f>
        <v>350</v>
      </c>
      <c r="D22" s="121"/>
      <c r="E22" s="266"/>
    </row>
    <row r="23" spans="1:5" s="5" customFormat="1" ht="12.75" hidden="1" customHeight="1" x14ac:dyDescent="0.2">
      <c r="A23" s="230">
        <v>51302</v>
      </c>
      <c r="B23" s="237" t="s">
        <v>142</v>
      </c>
      <c r="C23" s="120"/>
      <c r="D23" s="121"/>
      <c r="E23" s="125"/>
    </row>
    <row r="24" spans="1:5" ht="12.75" x14ac:dyDescent="0.2">
      <c r="A24" s="228">
        <v>514</v>
      </c>
      <c r="B24" s="238" t="s">
        <v>143</v>
      </c>
      <c r="C24" s="120"/>
      <c r="D24" s="121">
        <f>SUM(C25:C26)</f>
        <v>25090.78</v>
      </c>
      <c r="E24" s="266"/>
    </row>
    <row r="25" spans="1:5" ht="18" customHeight="1" x14ac:dyDescent="0.2">
      <c r="A25" s="229" t="s">
        <v>144</v>
      </c>
      <c r="B25" s="235" t="s">
        <v>145</v>
      </c>
      <c r="C25" s="120">
        <f>CONSOLIDADO!AK26</f>
        <v>25090.78</v>
      </c>
      <c r="D25" s="121"/>
      <c r="E25" s="266"/>
    </row>
    <row r="26" spans="1:5" ht="12.75" hidden="1" customHeight="1" x14ac:dyDescent="0.2">
      <c r="A26" s="229" t="s">
        <v>146</v>
      </c>
      <c r="B26" s="235" t="s">
        <v>147</v>
      </c>
      <c r="C26" s="120"/>
      <c r="D26" s="128"/>
      <c r="E26" s="266"/>
    </row>
    <row r="27" spans="1:5" s="5" customFormat="1" ht="12.75" x14ac:dyDescent="0.2">
      <c r="A27" s="228">
        <v>515</v>
      </c>
      <c r="B27" s="238" t="s">
        <v>148</v>
      </c>
      <c r="C27" s="120"/>
      <c r="D27" s="121">
        <f>SUM(C28:C29)</f>
        <v>21758.190000000002</v>
      </c>
      <c r="E27" s="125"/>
    </row>
    <row r="28" spans="1:5" s="5" customFormat="1" ht="18" customHeight="1" x14ac:dyDescent="0.2">
      <c r="A28" s="229" t="s">
        <v>149</v>
      </c>
      <c r="B28" s="235" t="s">
        <v>145</v>
      </c>
      <c r="C28" s="120">
        <f>CONSOLIDADO!AK29</f>
        <v>21758.190000000002</v>
      </c>
      <c r="D28" s="121"/>
      <c r="E28" s="125"/>
    </row>
    <row r="29" spans="1:5" ht="12.75" hidden="1" customHeight="1" x14ac:dyDescent="0.2">
      <c r="A29" s="229" t="s">
        <v>150</v>
      </c>
      <c r="B29" s="235" t="s">
        <v>147</v>
      </c>
      <c r="C29" s="120"/>
      <c r="D29" s="121"/>
      <c r="E29" s="266"/>
    </row>
    <row r="30" spans="1:5" s="5" customFormat="1" ht="18" customHeight="1" x14ac:dyDescent="0.2">
      <c r="A30" s="231" t="s">
        <v>151</v>
      </c>
      <c r="B30" s="236" t="s">
        <v>152</v>
      </c>
      <c r="C30" s="120"/>
      <c r="D30" s="121">
        <f>SUM(C31:C32)</f>
        <v>7200</v>
      </c>
      <c r="E30" s="125"/>
    </row>
    <row r="31" spans="1:5" s="5" customFormat="1" ht="18" customHeight="1" x14ac:dyDescent="0.2">
      <c r="A31" s="230">
        <v>51601</v>
      </c>
      <c r="B31" s="237" t="s">
        <v>153</v>
      </c>
      <c r="C31" s="120">
        <f>+CONSOLIDADO!AK32</f>
        <v>7200</v>
      </c>
      <c r="D31" s="121"/>
      <c r="E31" s="125"/>
    </row>
    <row r="32" spans="1:5" ht="18" customHeight="1" x14ac:dyDescent="0.2">
      <c r="A32" s="230">
        <v>51602</v>
      </c>
      <c r="B32" s="237" t="s">
        <v>154</v>
      </c>
      <c r="C32" s="120"/>
      <c r="D32" s="128"/>
      <c r="E32" s="266"/>
    </row>
    <row r="33" spans="1:6" ht="18" customHeight="1" x14ac:dyDescent="0.2">
      <c r="A33" s="228">
        <v>517</v>
      </c>
      <c r="B33" s="239" t="s">
        <v>155</v>
      </c>
      <c r="C33" s="120"/>
      <c r="D33" s="121">
        <f>SUM(C34:C35)</f>
        <v>7029.86</v>
      </c>
      <c r="E33" s="266"/>
    </row>
    <row r="34" spans="1:6" s="5" customFormat="1" ht="18" customHeight="1" x14ac:dyDescent="0.2">
      <c r="A34" s="230">
        <v>51701</v>
      </c>
      <c r="B34" s="237" t="s">
        <v>156</v>
      </c>
      <c r="C34" s="120">
        <f>CONSOLIDADO!AK35</f>
        <v>7029.86</v>
      </c>
      <c r="D34" s="121"/>
      <c r="E34" s="125"/>
    </row>
    <row r="35" spans="1:6" s="5" customFormat="1" ht="12.75" hidden="1" customHeight="1" x14ac:dyDescent="0.2">
      <c r="A35" s="230">
        <v>51702</v>
      </c>
      <c r="B35" s="237" t="s">
        <v>157</v>
      </c>
      <c r="C35" s="120"/>
      <c r="D35" s="121"/>
      <c r="E35" s="125"/>
    </row>
    <row r="36" spans="1:6" ht="12.75" hidden="1" customHeight="1" x14ac:dyDescent="0.2">
      <c r="A36" s="228">
        <v>518</v>
      </c>
      <c r="B36" s="239" t="s">
        <v>158</v>
      </c>
      <c r="C36" s="120"/>
      <c r="D36" s="121">
        <f>SUM(C37)</f>
        <v>0</v>
      </c>
      <c r="E36" s="266"/>
    </row>
    <row r="37" spans="1:6" ht="12.75" hidden="1" customHeight="1" x14ac:dyDescent="0.2">
      <c r="A37" s="230">
        <v>51803</v>
      </c>
      <c r="B37" s="237" t="s">
        <v>159</v>
      </c>
      <c r="C37" s="120"/>
      <c r="D37" s="128"/>
      <c r="E37" s="266"/>
    </row>
    <row r="38" spans="1:6" s="5" customFormat="1" ht="18" customHeight="1" x14ac:dyDescent="0.2">
      <c r="A38" s="228">
        <v>519</v>
      </c>
      <c r="B38" s="239" t="s">
        <v>160</v>
      </c>
      <c r="C38" s="120"/>
      <c r="D38" s="121">
        <f>SUM(C39:C40)</f>
        <v>7333.32</v>
      </c>
      <c r="E38" s="125"/>
    </row>
    <row r="39" spans="1:6" s="5" customFormat="1" ht="18" customHeight="1" x14ac:dyDescent="0.2">
      <c r="A39" s="230">
        <v>51901</v>
      </c>
      <c r="B39" s="237" t="s">
        <v>161</v>
      </c>
      <c r="C39" s="120">
        <f>CONSOLIDADO!AK40</f>
        <v>7333.32</v>
      </c>
      <c r="D39" s="121"/>
      <c r="E39" s="125"/>
    </row>
    <row r="40" spans="1:6" ht="18" hidden="1" customHeight="1" x14ac:dyDescent="0.2">
      <c r="A40" s="230">
        <v>51999</v>
      </c>
      <c r="B40" s="237" t="s">
        <v>160</v>
      </c>
      <c r="C40" s="120">
        <f>CONSOLIDADO!AK41</f>
        <v>0</v>
      </c>
      <c r="D40" s="128"/>
      <c r="E40" s="266"/>
    </row>
    <row r="41" spans="1:6" s="5" customFormat="1" ht="7.5" customHeight="1" x14ac:dyDescent="0.2">
      <c r="A41" s="230"/>
      <c r="B41" s="237"/>
      <c r="C41" s="120"/>
      <c r="D41" s="121"/>
      <c r="E41" s="125"/>
    </row>
    <row r="42" spans="1:6" ht="12.75" x14ac:dyDescent="0.2">
      <c r="A42" s="228">
        <v>54</v>
      </c>
      <c r="B42" s="239" t="s">
        <v>27</v>
      </c>
      <c r="C42" s="120"/>
      <c r="D42" s="128"/>
      <c r="E42" s="125">
        <f>SUM(D43:D90)</f>
        <v>464466.41000000003</v>
      </c>
      <c r="F42" s="5"/>
    </row>
    <row r="43" spans="1:6" s="5" customFormat="1" ht="12.75" x14ac:dyDescent="0.2">
      <c r="A43" s="228">
        <v>541</v>
      </c>
      <c r="B43" s="239" t="s">
        <v>28</v>
      </c>
      <c r="C43" s="120"/>
      <c r="D43" s="121">
        <f>SUM(C44:C62)</f>
        <v>146974.23000000001</v>
      </c>
      <c r="E43" s="125"/>
    </row>
    <row r="44" spans="1:6" ht="18" customHeight="1" x14ac:dyDescent="0.2">
      <c r="A44" s="230">
        <v>54101</v>
      </c>
      <c r="B44" s="237" t="s">
        <v>29</v>
      </c>
      <c r="C44" s="120">
        <f>CONSOLIDADO!AK45</f>
        <v>1150</v>
      </c>
      <c r="D44" s="128"/>
      <c r="E44" s="266"/>
    </row>
    <row r="45" spans="1:6" ht="12.75" customHeight="1" x14ac:dyDescent="0.2">
      <c r="A45" s="230">
        <v>54103</v>
      </c>
      <c r="B45" s="237" t="s">
        <v>30</v>
      </c>
      <c r="C45" s="120">
        <f>CONSOLIDADO!AK46</f>
        <v>4800</v>
      </c>
      <c r="D45" s="128"/>
      <c r="E45" s="266"/>
    </row>
    <row r="46" spans="1:6" ht="18" customHeight="1" x14ac:dyDescent="0.2">
      <c r="A46" s="230">
        <v>54104</v>
      </c>
      <c r="B46" s="237" t="s">
        <v>31</v>
      </c>
      <c r="C46" s="120">
        <f>CONSOLIDADO!AK47</f>
        <v>11783</v>
      </c>
      <c r="D46" s="128"/>
      <c r="E46" s="266"/>
    </row>
    <row r="47" spans="1:6" ht="18" customHeight="1" x14ac:dyDescent="0.2">
      <c r="A47" s="230">
        <v>54105</v>
      </c>
      <c r="B47" s="237" t="s">
        <v>32</v>
      </c>
      <c r="C47" s="120">
        <f>CONSOLIDADO!AK48</f>
        <v>5811</v>
      </c>
      <c r="D47" s="128"/>
      <c r="E47" s="266"/>
    </row>
    <row r="48" spans="1:6" s="5" customFormat="1" ht="12.75" hidden="1" customHeight="1" x14ac:dyDescent="0.2">
      <c r="A48" s="230">
        <v>54106</v>
      </c>
      <c r="B48" s="237" t="s">
        <v>33</v>
      </c>
      <c r="C48" s="120">
        <f>CONSOLIDADO!AK49</f>
        <v>50</v>
      </c>
      <c r="D48" s="121"/>
      <c r="E48" s="125"/>
    </row>
    <row r="49" spans="1:5" s="5" customFormat="1" ht="18" customHeight="1" x14ac:dyDescent="0.2">
      <c r="A49" s="230">
        <v>54107</v>
      </c>
      <c r="B49" s="237" t="s">
        <v>34</v>
      </c>
      <c r="C49" s="120">
        <f>CONSOLIDADO!AK50</f>
        <v>30158.03</v>
      </c>
      <c r="D49" s="121"/>
      <c r="E49" s="125"/>
    </row>
    <row r="50" spans="1:5" ht="18" hidden="1" customHeight="1" x14ac:dyDescent="0.2">
      <c r="A50" s="230">
        <v>54108</v>
      </c>
      <c r="B50" s="237" t="s">
        <v>35</v>
      </c>
      <c r="C50" s="120">
        <f>CONSOLIDADO!AK51</f>
        <v>0</v>
      </c>
      <c r="D50" s="128"/>
      <c r="E50" s="266"/>
    </row>
    <row r="51" spans="1:5" ht="18" customHeight="1" x14ac:dyDescent="0.2">
      <c r="A51" s="230">
        <v>54109</v>
      </c>
      <c r="B51" s="237" t="s">
        <v>36</v>
      </c>
      <c r="C51" s="120">
        <f>CONSOLIDADO!AK52</f>
        <v>3100</v>
      </c>
      <c r="D51" s="128"/>
      <c r="E51" s="266"/>
    </row>
    <row r="52" spans="1:5" s="5" customFormat="1" ht="18" customHeight="1" x14ac:dyDescent="0.2">
      <c r="A52" s="230">
        <v>54110</v>
      </c>
      <c r="B52" s="237" t="s">
        <v>37</v>
      </c>
      <c r="C52" s="120">
        <f>CONSOLIDADO!AK53</f>
        <v>9767.58</v>
      </c>
      <c r="D52" s="121"/>
      <c r="E52" s="125"/>
    </row>
    <row r="53" spans="1:5" s="5" customFormat="1" ht="18" customHeight="1" x14ac:dyDescent="0.2">
      <c r="A53" s="230">
        <v>54111</v>
      </c>
      <c r="B53" s="237" t="s">
        <v>38</v>
      </c>
      <c r="C53" s="120">
        <f>CONSOLIDADO!AK54</f>
        <v>8575.5499999999993</v>
      </c>
      <c r="D53" s="121"/>
      <c r="E53" s="125"/>
    </row>
    <row r="54" spans="1:5" ht="18" customHeight="1" x14ac:dyDescent="0.2">
      <c r="A54" s="230">
        <v>54112</v>
      </c>
      <c r="B54" s="237" t="s">
        <v>39</v>
      </c>
      <c r="C54" s="120">
        <f>+CONSOLIDADO!AK55</f>
        <v>19477.25</v>
      </c>
      <c r="D54" s="121"/>
      <c r="E54" s="266"/>
    </row>
    <row r="55" spans="1:5" s="5" customFormat="1" ht="18" customHeight="1" x14ac:dyDescent="0.2">
      <c r="A55" s="230">
        <v>54114</v>
      </c>
      <c r="B55" s="237" t="s">
        <v>40</v>
      </c>
      <c r="C55" s="120">
        <f>CONSOLIDADO!AK56</f>
        <v>1650</v>
      </c>
      <c r="D55" s="121"/>
      <c r="E55" s="125"/>
    </row>
    <row r="56" spans="1:5" s="5" customFormat="1" ht="18" customHeight="1" x14ac:dyDescent="0.2">
      <c r="A56" s="230">
        <v>54115</v>
      </c>
      <c r="B56" s="237" t="s">
        <v>41</v>
      </c>
      <c r="C56" s="120">
        <f>CONSOLIDADO!AK57</f>
        <v>2775</v>
      </c>
      <c r="D56" s="121"/>
      <c r="E56" s="125"/>
    </row>
    <row r="57" spans="1:5" ht="18" customHeight="1" x14ac:dyDescent="0.2">
      <c r="A57" s="230">
        <v>54116</v>
      </c>
      <c r="B57" s="237" t="s">
        <v>42</v>
      </c>
      <c r="C57" s="120">
        <f>CONSOLIDADO!AK58</f>
        <v>7023.25</v>
      </c>
      <c r="D57" s="128"/>
      <c r="E57" s="266"/>
    </row>
    <row r="58" spans="1:5" ht="12.75" hidden="1" customHeight="1" x14ac:dyDescent="0.2">
      <c r="A58" s="230">
        <v>54117</v>
      </c>
      <c r="B58" s="237" t="s">
        <v>43</v>
      </c>
      <c r="C58" s="120">
        <f>CONSOLIDADO!AK59</f>
        <v>0</v>
      </c>
      <c r="D58" s="128"/>
      <c r="E58" s="266"/>
    </row>
    <row r="59" spans="1:5" ht="18" customHeight="1" x14ac:dyDescent="0.2">
      <c r="A59" s="1135">
        <v>54118</v>
      </c>
      <c r="B59" s="237" t="s">
        <v>44</v>
      </c>
      <c r="C59" s="120">
        <f>CONSOLIDADO!AK60</f>
        <v>4933</v>
      </c>
      <c r="D59" s="128"/>
      <c r="E59" s="128"/>
    </row>
    <row r="60" spans="1:5" ht="18" customHeight="1" x14ac:dyDescent="0.2">
      <c r="A60" s="1135">
        <v>54119</v>
      </c>
      <c r="B60" s="237" t="s">
        <v>45</v>
      </c>
      <c r="C60" s="120">
        <f>CONSOLIDADO!AK61</f>
        <v>3733.76</v>
      </c>
      <c r="D60" s="128"/>
      <c r="E60" s="128"/>
    </row>
    <row r="61" spans="1:5" ht="18" customHeight="1" thickBot="1" x14ac:dyDescent="0.25">
      <c r="A61" s="1136">
        <v>54121</v>
      </c>
      <c r="B61" s="1137" t="s">
        <v>46</v>
      </c>
      <c r="C61" s="436">
        <f>CONSOLIDADO!AK62</f>
        <v>3650</v>
      </c>
      <c r="D61" s="1138"/>
      <c r="E61" s="1138"/>
    </row>
    <row r="62" spans="1:5" ht="18" customHeight="1" x14ac:dyDescent="0.2">
      <c r="A62" s="230">
        <v>54199</v>
      </c>
      <c r="B62" s="237" t="s">
        <v>47</v>
      </c>
      <c r="C62" s="120">
        <f>CONSOLIDADO!AK63</f>
        <v>28536.81</v>
      </c>
      <c r="D62" s="128"/>
      <c r="E62" s="266"/>
    </row>
    <row r="63" spans="1:5" ht="12.75" x14ac:dyDescent="0.2">
      <c r="A63" s="228">
        <v>542</v>
      </c>
      <c r="B63" s="239" t="s">
        <v>48</v>
      </c>
      <c r="C63" s="120"/>
      <c r="D63" s="121">
        <f>SUM(C64:C68)</f>
        <v>212876.27</v>
      </c>
      <c r="E63" s="266"/>
    </row>
    <row r="64" spans="1:5" ht="12.75" x14ac:dyDescent="0.2">
      <c r="A64" s="230">
        <v>54201</v>
      </c>
      <c r="B64" s="237" t="s">
        <v>49</v>
      </c>
      <c r="C64" s="120">
        <f>CONSOLIDADO!AK65</f>
        <v>167297</v>
      </c>
      <c r="D64" s="128"/>
      <c r="E64" s="266"/>
    </row>
    <row r="65" spans="1:5" ht="18" customHeight="1" x14ac:dyDescent="0.2">
      <c r="A65" s="230">
        <v>54202</v>
      </c>
      <c r="B65" s="237" t="s">
        <v>50</v>
      </c>
      <c r="C65" s="120">
        <f>CONSOLIDADO!AK66</f>
        <v>3096.5</v>
      </c>
      <c r="D65" s="128"/>
      <c r="E65" s="266"/>
    </row>
    <row r="66" spans="1:5" ht="18" customHeight="1" x14ac:dyDescent="0.2">
      <c r="A66" s="230">
        <v>54203</v>
      </c>
      <c r="B66" s="237" t="s">
        <v>51</v>
      </c>
      <c r="C66" s="120">
        <f>CONSOLIDADO!AK67</f>
        <v>11100</v>
      </c>
      <c r="D66" s="128"/>
      <c r="E66" s="266"/>
    </row>
    <row r="67" spans="1:5" ht="12.75" hidden="1" customHeight="1" x14ac:dyDescent="0.2">
      <c r="A67" s="230">
        <v>54204</v>
      </c>
      <c r="B67" s="237" t="s">
        <v>52</v>
      </c>
      <c r="C67" s="120">
        <f>CONSOLIDADO!AK68</f>
        <v>0</v>
      </c>
      <c r="D67" s="128"/>
      <c r="E67" s="266"/>
    </row>
    <row r="68" spans="1:5" ht="18" customHeight="1" x14ac:dyDescent="0.2">
      <c r="A68" s="230">
        <v>54205</v>
      </c>
      <c r="B68" s="237" t="s">
        <v>53</v>
      </c>
      <c r="C68" s="120">
        <f>CONSOLIDADO!AK69</f>
        <v>31382.77</v>
      </c>
      <c r="D68" s="121"/>
      <c r="E68" s="266"/>
    </row>
    <row r="69" spans="1:5" ht="18" customHeight="1" x14ac:dyDescent="0.2">
      <c r="A69" s="228">
        <v>543</v>
      </c>
      <c r="B69" s="239" t="s">
        <v>54</v>
      </c>
      <c r="C69" s="120"/>
      <c r="D69" s="121">
        <f>SUM(C70:C84)</f>
        <v>99915.91</v>
      </c>
      <c r="E69" s="266"/>
    </row>
    <row r="70" spans="1:5" ht="18" customHeight="1" x14ac:dyDescent="0.2">
      <c r="A70" s="230">
        <v>54301</v>
      </c>
      <c r="B70" s="237" t="s">
        <v>55</v>
      </c>
      <c r="C70" s="120">
        <f>CONSOLIDADO!AK71</f>
        <v>3505</v>
      </c>
      <c r="D70" s="128"/>
      <c r="E70" s="266"/>
    </row>
    <row r="71" spans="1:5" ht="18" customHeight="1" x14ac:dyDescent="0.2">
      <c r="A71" s="230">
        <v>54302</v>
      </c>
      <c r="B71" s="237" t="s">
        <v>56</v>
      </c>
      <c r="C71" s="120">
        <f>CONSOLIDADO!AK72</f>
        <v>4000</v>
      </c>
      <c r="D71" s="128"/>
      <c r="E71" s="266"/>
    </row>
    <row r="72" spans="1:5" ht="18" hidden="1" customHeight="1" x14ac:dyDescent="0.2">
      <c r="A72" s="230">
        <v>54303</v>
      </c>
      <c r="B72" s="237" t="s">
        <v>57</v>
      </c>
      <c r="C72" s="120">
        <f>CONSOLIDADO!AK73</f>
        <v>0</v>
      </c>
      <c r="D72" s="128"/>
      <c r="E72" s="266"/>
    </row>
    <row r="73" spans="1:5" ht="18" customHeight="1" x14ac:dyDescent="0.2">
      <c r="A73" s="230">
        <v>54304</v>
      </c>
      <c r="B73" s="237" t="s">
        <v>58</v>
      </c>
      <c r="C73" s="120">
        <f>CONSOLIDADO!AK74</f>
        <v>5550</v>
      </c>
      <c r="D73" s="128"/>
      <c r="E73" s="266"/>
    </row>
    <row r="74" spans="1:5" ht="18" customHeight="1" x14ac:dyDescent="0.2">
      <c r="A74" s="230">
        <v>54305</v>
      </c>
      <c r="B74" s="237" t="s">
        <v>59</v>
      </c>
      <c r="C74" s="120">
        <f>CONSOLIDADO!AK75</f>
        <v>720</v>
      </c>
      <c r="D74" s="128"/>
      <c r="E74" s="266"/>
    </row>
    <row r="75" spans="1:5" ht="18" hidden="1" customHeight="1" x14ac:dyDescent="0.2">
      <c r="A75" s="230">
        <v>54306</v>
      </c>
      <c r="B75" s="237" t="s">
        <v>60</v>
      </c>
      <c r="C75" s="120"/>
      <c r="D75" s="128"/>
      <c r="E75" s="266"/>
    </row>
    <row r="76" spans="1:5" ht="18" customHeight="1" x14ac:dyDescent="0.2">
      <c r="A76" s="230">
        <v>54307</v>
      </c>
      <c r="B76" s="237" t="s">
        <v>61</v>
      </c>
      <c r="C76" s="120">
        <f>CONSOLIDADO!AK77</f>
        <v>1200</v>
      </c>
      <c r="D76" s="128"/>
      <c r="E76" s="125"/>
    </row>
    <row r="77" spans="1:5" ht="12.75" hidden="1" customHeight="1" x14ac:dyDescent="0.2">
      <c r="A77" s="230">
        <v>54309</v>
      </c>
      <c r="B77" s="237" t="s">
        <v>62</v>
      </c>
      <c r="C77" s="120"/>
      <c r="D77" s="121"/>
      <c r="E77" s="266"/>
    </row>
    <row r="78" spans="1:5" ht="12.75" hidden="1" customHeight="1" x14ac:dyDescent="0.2">
      <c r="A78" s="230">
        <v>54310</v>
      </c>
      <c r="B78" s="237" t="s">
        <v>63</v>
      </c>
      <c r="C78" s="120"/>
      <c r="D78" s="128"/>
      <c r="E78" s="266"/>
    </row>
    <row r="79" spans="1:5" ht="12.75" hidden="1" customHeight="1" x14ac:dyDescent="0.2">
      <c r="A79" s="230">
        <v>54311</v>
      </c>
      <c r="B79" s="237" t="s">
        <v>64</v>
      </c>
      <c r="C79" s="120"/>
      <c r="D79" s="128"/>
      <c r="E79" s="266"/>
    </row>
    <row r="80" spans="1:5" ht="12.75" customHeight="1" x14ac:dyDescent="0.2">
      <c r="A80" s="230">
        <v>54313</v>
      </c>
      <c r="B80" s="237" t="s">
        <v>65</v>
      </c>
      <c r="C80" s="120">
        <f>CONSOLIDADO!AK81</f>
        <v>200</v>
      </c>
      <c r="D80" s="121"/>
      <c r="E80" s="266"/>
    </row>
    <row r="81" spans="1:7" ht="18" customHeight="1" x14ac:dyDescent="0.2">
      <c r="A81" s="230">
        <v>54314</v>
      </c>
      <c r="B81" s="237" t="s">
        <v>66</v>
      </c>
      <c r="C81" s="120">
        <f>CONSOLIDADO!AK82</f>
        <v>46514.11</v>
      </c>
      <c r="D81" s="128"/>
      <c r="E81" s="266"/>
    </row>
    <row r="82" spans="1:7" ht="12.75" hidden="1" customHeight="1" x14ac:dyDescent="0.2">
      <c r="A82" s="230">
        <v>54316</v>
      </c>
      <c r="B82" s="237" t="s">
        <v>67</v>
      </c>
      <c r="C82" s="120"/>
      <c r="D82" s="128"/>
      <c r="E82" s="266"/>
    </row>
    <row r="83" spans="1:7" ht="18" customHeight="1" x14ac:dyDescent="0.2">
      <c r="A83" s="230">
        <v>54317</v>
      </c>
      <c r="B83" s="237" t="s">
        <v>68</v>
      </c>
      <c r="C83" s="120">
        <f>CONSOLIDADO!AK84</f>
        <v>5700</v>
      </c>
      <c r="D83" s="128"/>
      <c r="E83" s="125"/>
    </row>
    <row r="84" spans="1:7" ht="18" customHeight="1" x14ac:dyDescent="0.2">
      <c r="A84" s="230">
        <v>54399</v>
      </c>
      <c r="B84" s="237" t="s">
        <v>69</v>
      </c>
      <c r="C84" s="120">
        <f>CONSOLIDADO!AK85</f>
        <v>32526.799999999999</v>
      </c>
      <c r="D84" s="121"/>
      <c r="E84" s="266"/>
    </row>
    <row r="85" spans="1:7" ht="12.75" x14ac:dyDescent="0.2">
      <c r="A85" s="228">
        <v>544</v>
      </c>
      <c r="B85" s="239" t="s">
        <v>70</v>
      </c>
      <c r="C85" s="120"/>
      <c r="D85" s="121">
        <f>SUM(C86:C89)</f>
        <v>4700</v>
      </c>
      <c r="E85" s="266"/>
    </row>
    <row r="86" spans="1:7" ht="18" customHeight="1" x14ac:dyDescent="0.2">
      <c r="A86" s="230">
        <v>54401</v>
      </c>
      <c r="B86" s="237" t="s">
        <v>71</v>
      </c>
      <c r="C86" s="120">
        <f>CONSOLIDADO!AK87</f>
        <v>250</v>
      </c>
      <c r="D86" s="128"/>
      <c r="E86" s="266"/>
    </row>
    <row r="87" spans="1:7" ht="12.75" hidden="1" customHeight="1" x14ac:dyDescent="0.2">
      <c r="A87" s="230">
        <v>54402</v>
      </c>
      <c r="B87" s="237" t="s">
        <v>72</v>
      </c>
      <c r="C87" s="120">
        <f>CONSOLIDADO!AK88</f>
        <v>0</v>
      </c>
      <c r="D87" s="128"/>
      <c r="E87" s="266"/>
    </row>
    <row r="88" spans="1:7" ht="18" customHeight="1" x14ac:dyDescent="0.2">
      <c r="A88" s="230">
        <v>54403</v>
      </c>
      <c r="B88" s="237" t="s">
        <v>73</v>
      </c>
      <c r="C88" s="120">
        <f>CONSOLIDADO!AK89</f>
        <v>450</v>
      </c>
      <c r="D88" s="128"/>
      <c r="E88" s="266"/>
    </row>
    <row r="89" spans="1:7" ht="12.75" hidden="1" customHeight="1" x14ac:dyDescent="0.2">
      <c r="A89" s="230">
        <v>54404</v>
      </c>
      <c r="B89" s="237" t="s">
        <v>74</v>
      </c>
      <c r="C89" s="120">
        <f>CONSOLIDADO!AK90</f>
        <v>4000</v>
      </c>
      <c r="D89" s="128"/>
      <c r="E89" s="266"/>
    </row>
    <row r="90" spans="1:7" ht="12.75" hidden="1" x14ac:dyDescent="0.2">
      <c r="A90" s="228">
        <v>545</v>
      </c>
      <c r="B90" s="239" t="s">
        <v>75</v>
      </c>
      <c r="C90" s="120"/>
      <c r="D90" s="121">
        <f>C91+C92</f>
        <v>0</v>
      </c>
      <c r="E90" s="266"/>
    </row>
    <row r="91" spans="1:7" ht="18" hidden="1" customHeight="1" x14ac:dyDescent="0.2">
      <c r="A91" s="230">
        <v>54503</v>
      </c>
      <c r="B91" s="237" t="s">
        <v>77</v>
      </c>
      <c r="C91" s="120">
        <f>+CONSOLIDADO!AK92</f>
        <v>0</v>
      </c>
      <c r="D91" s="128"/>
      <c r="E91" s="266"/>
    </row>
    <row r="92" spans="1:7" ht="18" hidden="1" customHeight="1" x14ac:dyDescent="0.2">
      <c r="A92" s="230">
        <v>54599</v>
      </c>
      <c r="B92" s="237" t="s">
        <v>493</v>
      </c>
      <c r="C92" s="120">
        <f>+CONSOLIDADO!AK93</f>
        <v>0</v>
      </c>
      <c r="D92" s="128"/>
      <c r="E92" s="266"/>
    </row>
    <row r="93" spans="1:7" ht="18" customHeight="1" x14ac:dyDescent="0.2">
      <c r="A93" s="228">
        <v>55</v>
      </c>
      <c r="B93" s="239" t="s">
        <v>83</v>
      </c>
      <c r="C93" s="120"/>
      <c r="D93" s="121"/>
      <c r="E93" s="125">
        <f>SUM(D94:D109)</f>
        <v>73214.16</v>
      </c>
      <c r="G93" s="440"/>
    </row>
    <row r="94" spans="1:7" ht="15.75" customHeight="1" x14ac:dyDescent="0.2">
      <c r="A94" s="228">
        <v>553</v>
      </c>
      <c r="B94" s="238" t="s">
        <v>84</v>
      </c>
      <c r="C94" s="120"/>
      <c r="D94" s="121">
        <f>SUM(C95:C99)</f>
        <v>67838.099999999991</v>
      </c>
      <c r="E94" s="125"/>
    </row>
    <row r="95" spans="1:7" ht="18" customHeight="1" x14ac:dyDescent="0.2">
      <c r="A95" s="230">
        <v>55302</v>
      </c>
      <c r="B95" s="240" t="s">
        <v>507</v>
      </c>
      <c r="C95" s="120">
        <f>CONSOLIDADO!AK96</f>
        <v>4638.53</v>
      </c>
      <c r="D95" s="121"/>
      <c r="E95" s="125"/>
    </row>
    <row r="96" spans="1:7" ht="12.75" hidden="1" customHeight="1" x14ac:dyDescent="0.2">
      <c r="A96" s="230">
        <v>55303</v>
      </c>
      <c r="B96" s="240" t="s">
        <v>85</v>
      </c>
      <c r="C96" s="120"/>
      <c r="D96" s="121"/>
      <c r="E96" s="125"/>
    </row>
    <row r="97" spans="1:6" ht="18" customHeight="1" x14ac:dyDescent="0.2">
      <c r="A97" s="230">
        <v>55304</v>
      </c>
      <c r="B97" s="237" t="s">
        <v>86</v>
      </c>
      <c r="C97" s="120">
        <f>+CONSOLIDADO!AK98</f>
        <v>63199.569999999992</v>
      </c>
      <c r="D97" s="121"/>
      <c r="E97" s="125"/>
    </row>
    <row r="98" spans="1:6" ht="12.75" hidden="1" customHeight="1" x14ac:dyDescent="0.2">
      <c r="A98" s="230">
        <v>55306</v>
      </c>
      <c r="B98" s="237" t="s">
        <v>251</v>
      </c>
      <c r="C98" s="120">
        <f>CONSOLIDADO!AK99</f>
        <v>0</v>
      </c>
      <c r="D98" s="120"/>
      <c r="E98" s="267"/>
      <c r="F98" s="15"/>
    </row>
    <row r="99" spans="1:6" ht="12.75" hidden="1" customHeight="1" x14ac:dyDescent="0.2">
      <c r="A99" s="230">
        <v>55308</v>
      </c>
      <c r="B99" s="237" t="s">
        <v>87</v>
      </c>
      <c r="C99" s="120"/>
      <c r="D99" s="121"/>
      <c r="E99" s="125"/>
    </row>
    <row r="100" spans="1:6" ht="18" customHeight="1" x14ac:dyDescent="0.2">
      <c r="A100" s="228">
        <v>555</v>
      </c>
      <c r="B100" s="239" t="s">
        <v>486</v>
      </c>
      <c r="C100" s="120"/>
      <c r="D100" s="121">
        <f>+C101</f>
        <v>318.88</v>
      </c>
      <c r="E100" s="125"/>
    </row>
    <row r="101" spans="1:6" ht="18" customHeight="1" x14ac:dyDescent="0.2">
      <c r="A101" s="230">
        <v>55508</v>
      </c>
      <c r="B101" s="240" t="s">
        <v>338</v>
      </c>
      <c r="C101" s="120">
        <f>CONSOLIDADO!AK102</f>
        <v>318.88</v>
      </c>
      <c r="D101" s="121"/>
      <c r="E101" s="125"/>
    </row>
    <row r="102" spans="1:6" ht="18" customHeight="1" x14ac:dyDescent="0.2">
      <c r="A102" s="228">
        <v>556</v>
      </c>
      <c r="B102" s="239" t="s">
        <v>88</v>
      </c>
      <c r="C102" s="120"/>
      <c r="D102" s="121">
        <f>SUM(C103:C105)</f>
        <v>5057.18</v>
      </c>
      <c r="E102" s="125"/>
    </row>
    <row r="103" spans="1:6" ht="12.75" customHeight="1" x14ac:dyDescent="0.2">
      <c r="A103" s="230">
        <v>55601</v>
      </c>
      <c r="B103" s="237" t="s">
        <v>89</v>
      </c>
      <c r="C103" s="120">
        <f>CONSOLIDADO!AK104</f>
        <v>50</v>
      </c>
      <c r="D103" s="121"/>
      <c r="E103" s="125"/>
    </row>
    <row r="104" spans="1:6" ht="18" customHeight="1" x14ac:dyDescent="0.2">
      <c r="A104" s="230">
        <v>55602</v>
      </c>
      <c r="B104" s="237" t="s">
        <v>90</v>
      </c>
      <c r="C104" s="120">
        <f>CONSOLIDADO!AK105</f>
        <v>4700</v>
      </c>
      <c r="D104" s="121"/>
      <c r="E104" s="125"/>
    </row>
    <row r="105" spans="1:6" ht="18" customHeight="1" x14ac:dyDescent="0.2">
      <c r="A105" s="230">
        <v>55603</v>
      </c>
      <c r="B105" s="237" t="s">
        <v>91</v>
      </c>
      <c r="C105" s="120">
        <f>CONSOLIDADO!AK106</f>
        <v>307.18</v>
      </c>
      <c r="D105" s="121"/>
      <c r="E105" s="125"/>
    </row>
    <row r="106" spans="1:6" ht="12.75" hidden="1" customHeight="1" x14ac:dyDescent="0.2">
      <c r="A106" s="228">
        <v>557</v>
      </c>
      <c r="B106" s="239" t="s">
        <v>92</v>
      </c>
      <c r="C106" s="120"/>
      <c r="D106" s="121">
        <f>SUM(C107:C109)</f>
        <v>0</v>
      </c>
      <c r="E106" s="125"/>
    </row>
    <row r="107" spans="1:6" ht="12.75" hidden="1" customHeight="1" x14ac:dyDescent="0.2">
      <c r="A107" s="230">
        <v>55701</v>
      </c>
      <c r="B107" s="237" t="s">
        <v>93</v>
      </c>
      <c r="C107" s="120"/>
      <c r="D107" s="121"/>
      <c r="E107" s="125"/>
    </row>
    <row r="108" spans="1:6" ht="12.75" hidden="1" customHeight="1" x14ac:dyDescent="0.2">
      <c r="A108" s="230">
        <v>55702</v>
      </c>
      <c r="B108" s="237" t="s">
        <v>94</v>
      </c>
      <c r="C108" s="120"/>
      <c r="D108" s="128"/>
      <c r="E108" s="266"/>
    </row>
    <row r="109" spans="1:6" ht="12.75" hidden="1" customHeight="1" x14ac:dyDescent="0.2">
      <c r="A109" s="230">
        <v>55799</v>
      </c>
      <c r="B109" s="237" t="s">
        <v>95</v>
      </c>
      <c r="C109" s="120"/>
      <c r="D109" s="128"/>
      <c r="E109" s="266"/>
    </row>
    <row r="110" spans="1:6" ht="12.75" hidden="1" customHeight="1" x14ac:dyDescent="0.2">
      <c r="A110" s="230"/>
      <c r="B110" s="237"/>
      <c r="C110" s="120"/>
      <c r="D110" s="128"/>
      <c r="E110" s="266"/>
    </row>
    <row r="111" spans="1:6" ht="18" customHeight="1" x14ac:dyDescent="0.2">
      <c r="A111" s="228">
        <v>56</v>
      </c>
      <c r="B111" s="239" t="s">
        <v>96</v>
      </c>
      <c r="C111" s="120"/>
      <c r="D111" s="128"/>
      <c r="E111" s="125">
        <f>SUM(D112:D117)</f>
        <v>141671.1</v>
      </c>
    </row>
    <row r="112" spans="1:6" ht="18" customHeight="1" x14ac:dyDescent="0.2">
      <c r="A112" s="228">
        <v>562</v>
      </c>
      <c r="B112" s="239" t="s">
        <v>97</v>
      </c>
      <c r="C112" s="120"/>
      <c r="D112" s="121">
        <f>SUM(C113:C114)</f>
        <v>20109.099999999999</v>
      </c>
      <c r="E112" s="266"/>
    </row>
    <row r="113" spans="1:5" ht="18" customHeight="1" x14ac:dyDescent="0.2">
      <c r="A113" s="230">
        <v>56201</v>
      </c>
      <c r="B113" s="237" t="s">
        <v>98</v>
      </c>
      <c r="C113" s="120">
        <f>CONSOLIDADO!AK114</f>
        <v>20109.099999999999</v>
      </c>
      <c r="D113" s="128"/>
      <c r="E113" s="266"/>
    </row>
    <row r="114" spans="1:5" ht="12.75" hidden="1" customHeight="1" x14ac:dyDescent="0.2">
      <c r="A114" s="230">
        <v>56202</v>
      </c>
      <c r="B114" s="237" t="s">
        <v>238</v>
      </c>
      <c r="C114" s="120"/>
      <c r="D114" s="128"/>
      <c r="E114" s="266"/>
    </row>
    <row r="115" spans="1:5" ht="18" customHeight="1" x14ac:dyDescent="0.2">
      <c r="A115" s="228">
        <v>563</v>
      </c>
      <c r="B115" s="239" t="s">
        <v>99</v>
      </c>
      <c r="C115" s="120"/>
      <c r="D115" s="121">
        <f>SUM(C116:C117)</f>
        <v>121562</v>
      </c>
      <c r="E115" s="266"/>
    </row>
    <row r="116" spans="1:5" ht="18" customHeight="1" x14ac:dyDescent="0.2">
      <c r="A116" s="230">
        <v>56304</v>
      </c>
      <c r="B116" s="237" t="s">
        <v>109</v>
      </c>
      <c r="C116" s="120">
        <f>CONSOLIDADO!AK118</f>
        <v>36250</v>
      </c>
      <c r="D116" s="128"/>
      <c r="E116" s="266"/>
    </row>
    <row r="117" spans="1:5" ht="12.75" x14ac:dyDescent="0.2">
      <c r="A117" s="1135">
        <v>56305</v>
      </c>
      <c r="B117" s="237" t="s">
        <v>252</v>
      </c>
      <c r="C117" s="120">
        <f>+CONSOLIDADO!AK119</f>
        <v>85312</v>
      </c>
      <c r="D117" s="128"/>
      <c r="E117" s="128"/>
    </row>
    <row r="118" spans="1:5" ht="11.25" customHeight="1" x14ac:dyDescent="0.2">
      <c r="A118" s="1135"/>
      <c r="B118" s="237"/>
      <c r="C118" s="120"/>
      <c r="D118" s="128"/>
      <c r="E118" s="128"/>
    </row>
    <row r="119" spans="1:5" ht="12.75" x14ac:dyDescent="0.2">
      <c r="A119" s="1139" t="s">
        <v>162</v>
      </c>
      <c r="B119" s="236" t="s">
        <v>163</v>
      </c>
      <c r="C119" s="120"/>
      <c r="D119" s="128"/>
      <c r="E119" s="121">
        <f>SUM(D120:D146)</f>
        <v>1082914.28</v>
      </c>
    </row>
    <row r="120" spans="1:5" ht="18" customHeight="1" thickBot="1" x14ac:dyDescent="0.25">
      <c r="A120" s="1140" t="s">
        <v>164</v>
      </c>
      <c r="B120" s="1141" t="s">
        <v>165</v>
      </c>
      <c r="C120" s="436"/>
      <c r="D120" s="1142">
        <f>SUM(C121:C128)</f>
        <v>75385</v>
      </c>
      <c r="E120" s="1138"/>
    </row>
    <row r="121" spans="1:5" ht="18" customHeight="1" x14ac:dyDescent="0.2">
      <c r="A121" s="229" t="s">
        <v>166</v>
      </c>
      <c r="B121" s="235" t="s">
        <v>167</v>
      </c>
      <c r="C121" s="120">
        <f>CONSOLIDADO!AK125</f>
        <v>8950</v>
      </c>
      <c r="D121" s="128"/>
      <c r="E121" s="266"/>
    </row>
    <row r="122" spans="1:5" ht="12.75" x14ac:dyDescent="0.2">
      <c r="A122" s="229" t="s">
        <v>168</v>
      </c>
      <c r="B122" s="235" t="s">
        <v>169</v>
      </c>
      <c r="C122" s="120">
        <f>CONSOLIDADO!AK126</f>
        <v>13530</v>
      </c>
      <c r="D122" s="128"/>
      <c r="E122" s="266"/>
    </row>
    <row r="123" spans="1:5" ht="12.75" x14ac:dyDescent="0.2">
      <c r="A123" s="229" t="s">
        <v>170</v>
      </c>
      <c r="B123" s="235" t="s">
        <v>171</v>
      </c>
      <c r="C123" s="120"/>
      <c r="D123" s="128"/>
      <c r="E123" s="266"/>
    </row>
    <row r="124" spans="1:5" ht="18" customHeight="1" x14ac:dyDescent="0.2">
      <c r="A124" s="229" t="s">
        <v>172</v>
      </c>
      <c r="B124" s="235" t="s">
        <v>173</v>
      </c>
      <c r="C124" s="120">
        <f>+CONSOLIDADO!AK127</f>
        <v>15180</v>
      </c>
      <c r="D124" s="128"/>
      <c r="E124" s="266"/>
    </row>
    <row r="125" spans="1:5" ht="18" customHeight="1" x14ac:dyDescent="0.2">
      <c r="A125" s="229" t="s">
        <v>174</v>
      </c>
      <c r="B125" s="235" t="s">
        <v>175</v>
      </c>
      <c r="C125" s="120">
        <f>+CONSOLIDADO!AK128</f>
        <v>30000</v>
      </c>
      <c r="D125" s="128"/>
      <c r="E125" s="266"/>
    </row>
    <row r="126" spans="1:5" ht="12.75" hidden="1" customHeight="1" x14ac:dyDescent="0.2">
      <c r="A126" s="229" t="s">
        <v>176</v>
      </c>
      <c r="B126" s="235" t="s">
        <v>177</v>
      </c>
      <c r="C126" s="120"/>
      <c r="D126" s="128"/>
      <c r="E126" s="266"/>
    </row>
    <row r="127" spans="1:5" ht="12.75" hidden="1" customHeight="1" x14ac:dyDescent="0.2">
      <c r="A127" s="229" t="s">
        <v>178</v>
      </c>
      <c r="B127" s="235" t="s">
        <v>179</v>
      </c>
      <c r="C127" s="120"/>
      <c r="D127" s="128"/>
      <c r="E127" s="266"/>
    </row>
    <row r="128" spans="1:5" ht="18" hidden="1" customHeight="1" x14ac:dyDescent="0.2">
      <c r="A128" s="229" t="s">
        <v>180</v>
      </c>
      <c r="B128" s="235" t="s">
        <v>181</v>
      </c>
      <c r="C128" s="120">
        <f>+CONSOLIDADO!AK131</f>
        <v>7725</v>
      </c>
      <c r="D128" s="128"/>
      <c r="E128" s="266"/>
    </row>
    <row r="129" spans="1:5" ht="18" customHeight="1" x14ac:dyDescent="0.2">
      <c r="A129" s="231" t="s">
        <v>239</v>
      </c>
      <c r="B129" s="236" t="s">
        <v>193</v>
      </c>
      <c r="C129" s="120"/>
      <c r="D129" s="121">
        <f>SUM(C130:C132)</f>
        <v>0</v>
      </c>
      <c r="E129" s="266"/>
    </row>
    <row r="130" spans="1:5" ht="12.75" customHeight="1" x14ac:dyDescent="0.2">
      <c r="A130" s="229" t="s">
        <v>240</v>
      </c>
      <c r="B130" s="235" t="s">
        <v>241</v>
      </c>
      <c r="C130" s="120"/>
      <c r="D130" s="128"/>
      <c r="E130" s="266"/>
    </row>
    <row r="131" spans="1:5" ht="18" customHeight="1" x14ac:dyDescent="0.2">
      <c r="A131" s="229" t="s">
        <v>242</v>
      </c>
      <c r="B131" s="235" t="s">
        <v>243</v>
      </c>
      <c r="C131" s="120">
        <f>CONSOLIDADO!AK134</f>
        <v>0</v>
      </c>
      <c r="D131" s="128"/>
      <c r="E131" s="266"/>
    </row>
    <row r="132" spans="1:5" ht="18" customHeight="1" x14ac:dyDescent="0.2">
      <c r="A132" s="229" t="s">
        <v>244</v>
      </c>
      <c r="B132" s="235" t="s">
        <v>245</v>
      </c>
      <c r="C132" s="120"/>
      <c r="D132" s="128"/>
      <c r="E132" s="266"/>
    </row>
    <row r="133" spans="1:5" ht="18" customHeight="1" x14ac:dyDescent="0.2">
      <c r="A133" s="228">
        <v>615</v>
      </c>
      <c r="B133" s="236" t="s">
        <v>194</v>
      </c>
      <c r="C133" s="120"/>
      <c r="D133" s="121">
        <f>SUM(C134:C137)</f>
        <v>74005.14</v>
      </c>
      <c r="E133" s="266"/>
    </row>
    <row r="134" spans="1:5" ht="18" hidden="1" customHeight="1" x14ac:dyDescent="0.2">
      <c r="A134" s="230">
        <v>61501</v>
      </c>
      <c r="B134" s="235" t="s">
        <v>195</v>
      </c>
      <c r="C134" s="120"/>
      <c r="D134" s="128"/>
      <c r="E134" s="266"/>
    </row>
    <row r="135" spans="1:5" ht="18" hidden="1" customHeight="1" x14ac:dyDescent="0.2">
      <c r="A135" s="230">
        <v>61502</v>
      </c>
      <c r="B135" s="235" t="s">
        <v>196</v>
      </c>
      <c r="C135" s="120"/>
      <c r="D135" s="128"/>
      <c r="E135" s="266"/>
    </row>
    <row r="136" spans="1:5" ht="18" hidden="1" customHeight="1" x14ac:dyDescent="0.2">
      <c r="A136" s="230">
        <v>61503</v>
      </c>
      <c r="B136" s="235" t="s">
        <v>197</v>
      </c>
      <c r="C136" s="120"/>
      <c r="D136" s="128"/>
      <c r="E136" s="266"/>
    </row>
    <row r="137" spans="1:5" ht="18" customHeight="1" x14ac:dyDescent="0.2">
      <c r="A137" s="230">
        <v>61599</v>
      </c>
      <c r="B137" s="235" t="s">
        <v>198</v>
      </c>
      <c r="C137" s="120">
        <f>CONSOLIDADO!AK140</f>
        <v>74005.14</v>
      </c>
      <c r="D137" s="128"/>
      <c r="E137" s="266"/>
    </row>
    <row r="138" spans="1:5" ht="18" customHeight="1" x14ac:dyDescent="0.2">
      <c r="A138" s="228">
        <v>616</v>
      </c>
      <c r="B138" s="236" t="s">
        <v>199</v>
      </c>
      <c r="C138" s="120"/>
      <c r="D138" s="121">
        <f>SUM(C139:C146)</f>
        <v>933524.14</v>
      </c>
      <c r="E138" s="266"/>
    </row>
    <row r="139" spans="1:5" ht="18" customHeight="1" x14ac:dyDescent="0.2">
      <c r="A139" s="230">
        <v>61601</v>
      </c>
      <c r="B139" s="235" t="s">
        <v>200</v>
      </c>
      <c r="C139" s="120">
        <f>CONSOLIDADO!AK142</f>
        <v>538682.52</v>
      </c>
      <c r="D139" s="128"/>
      <c r="E139" s="266"/>
    </row>
    <row r="140" spans="1:5" ht="18" customHeight="1" x14ac:dyDescent="0.2">
      <c r="A140" s="230">
        <v>61602</v>
      </c>
      <c r="B140" s="235" t="s">
        <v>201</v>
      </c>
      <c r="C140" s="120">
        <f>CONSOLIDADO!AK143</f>
        <v>174290</v>
      </c>
      <c r="D140" s="128"/>
      <c r="E140" s="266"/>
    </row>
    <row r="141" spans="1:5" ht="18" customHeight="1" x14ac:dyDescent="0.2">
      <c r="A141" s="230">
        <v>61603</v>
      </c>
      <c r="B141" s="235" t="s">
        <v>202</v>
      </c>
      <c r="C141" s="120">
        <f>CONSOLIDADO!AK144</f>
        <v>51448.85</v>
      </c>
      <c r="D141" s="128"/>
      <c r="E141" s="266"/>
    </row>
    <row r="142" spans="1:5" ht="18" customHeight="1" x14ac:dyDescent="0.2">
      <c r="A142" s="230">
        <v>61604</v>
      </c>
      <c r="B142" s="235" t="s">
        <v>203</v>
      </c>
      <c r="C142" s="120">
        <f>CONSOLIDADO!AK145</f>
        <v>0</v>
      </c>
      <c r="D142" s="128"/>
      <c r="E142" s="266"/>
    </row>
    <row r="143" spans="1:5" ht="18" customHeight="1" x14ac:dyDescent="0.2">
      <c r="A143" s="230">
        <v>61606</v>
      </c>
      <c r="B143" s="235" t="s">
        <v>204</v>
      </c>
      <c r="C143" s="120">
        <f>CONSOLIDADO!AK146</f>
        <v>21144.639999999999</v>
      </c>
      <c r="D143" s="128"/>
      <c r="E143" s="266"/>
    </row>
    <row r="144" spans="1:5" ht="18" hidden="1" customHeight="1" x14ac:dyDescent="0.2">
      <c r="A144" s="230">
        <v>61607</v>
      </c>
      <c r="B144" s="237" t="s">
        <v>205</v>
      </c>
      <c r="C144" s="120">
        <f>CONSOLIDADO!AK147</f>
        <v>0</v>
      </c>
      <c r="D144" s="128"/>
      <c r="E144" s="266"/>
    </row>
    <row r="145" spans="1:5" ht="18" hidden="1" customHeight="1" x14ac:dyDescent="0.2">
      <c r="A145" s="230">
        <v>61608</v>
      </c>
      <c r="B145" s="237" t="s">
        <v>206</v>
      </c>
      <c r="C145" s="120">
        <f>CONSOLIDADO!AK148</f>
        <v>0</v>
      </c>
      <c r="D145" s="128"/>
      <c r="E145" s="266"/>
    </row>
    <row r="146" spans="1:5" ht="18" customHeight="1" x14ac:dyDescent="0.2">
      <c r="A146" s="230">
        <v>61699</v>
      </c>
      <c r="B146" s="237" t="s">
        <v>207</v>
      </c>
      <c r="C146" s="120">
        <f>CONSOLIDADO!AK149</f>
        <v>147958.13</v>
      </c>
      <c r="D146" s="128"/>
      <c r="E146" s="266"/>
    </row>
    <row r="147" spans="1:5" ht="8.25" customHeight="1" x14ac:dyDescent="0.2">
      <c r="A147" s="230"/>
      <c r="B147" s="237"/>
      <c r="C147" s="120"/>
      <c r="D147" s="128"/>
      <c r="E147" s="266"/>
    </row>
    <row r="148" spans="1:5" ht="12.75" x14ac:dyDescent="0.2">
      <c r="A148" s="228">
        <v>71</v>
      </c>
      <c r="B148" s="239" t="s">
        <v>215</v>
      </c>
      <c r="C148" s="120"/>
      <c r="D148" s="128"/>
      <c r="E148" s="125">
        <f>SUM(D149:D152)</f>
        <v>321951.68999999994</v>
      </c>
    </row>
    <row r="149" spans="1:5" ht="12.75" x14ac:dyDescent="0.2">
      <c r="A149" s="228">
        <v>713</v>
      </c>
      <c r="B149" s="239" t="s">
        <v>216</v>
      </c>
      <c r="C149" s="120"/>
      <c r="D149" s="121">
        <f>SUM(C150:C152)</f>
        <v>321951.68999999994</v>
      </c>
      <c r="E149" s="266"/>
    </row>
    <row r="150" spans="1:5" ht="12.75" hidden="1" customHeight="1" x14ac:dyDescent="0.2">
      <c r="A150" s="230">
        <v>71303</v>
      </c>
      <c r="B150" s="237" t="s">
        <v>85</v>
      </c>
      <c r="C150" s="120" t="s">
        <v>487</v>
      </c>
      <c r="D150" s="128"/>
      <c r="E150" s="266"/>
    </row>
    <row r="151" spans="1:5" ht="18" customHeight="1" x14ac:dyDescent="0.2">
      <c r="A151" s="230">
        <v>71304</v>
      </c>
      <c r="B151" s="237" t="s">
        <v>86</v>
      </c>
      <c r="C151" s="120">
        <f>+CONSOLIDADO!AK153</f>
        <v>321951.68999999994</v>
      </c>
      <c r="D151" s="128"/>
      <c r="E151" s="266"/>
    </row>
    <row r="152" spans="1:5" ht="12.75" hidden="1" customHeight="1" x14ac:dyDescent="0.2">
      <c r="A152" s="230">
        <v>71308</v>
      </c>
      <c r="B152" s="237" t="s">
        <v>237</v>
      </c>
      <c r="C152" s="120">
        <f>CONSOLIDADO!P154</f>
        <v>0</v>
      </c>
      <c r="D152" s="128"/>
      <c r="E152" s="266"/>
    </row>
    <row r="153" spans="1:5" ht="12.75" hidden="1" customHeight="1" x14ac:dyDescent="0.2">
      <c r="A153" s="230"/>
      <c r="B153" s="237"/>
      <c r="C153" s="120"/>
      <c r="D153" s="128"/>
      <c r="E153" s="266"/>
    </row>
    <row r="154" spans="1:5" ht="18" customHeight="1" x14ac:dyDescent="0.2">
      <c r="A154" s="228">
        <v>72</v>
      </c>
      <c r="B154" s="239" t="s">
        <v>13</v>
      </c>
      <c r="C154" s="120"/>
      <c r="D154" s="121"/>
      <c r="E154" s="125">
        <f>+D155</f>
        <v>45164.94</v>
      </c>
    </row>
    <row r="155" spans="1:5" ht="27.75" customHeight="1" x14ac:dyDescent="0.2">
      <c r="A155" s="228">
        <v>721</v>
      </c>
      <c r="B155" s="250" t="s">
        <v>182</v>
      </c>
      <c r="C155" s="120"/>
      <c r="D155" s="121">
        <f>SUM(C156:C157)</f>
        <v>45164.94</v>
      </c>
      <c r="E155" s="125"/>
    </row>
    <row r="156" spans="1:5" ht="18" customHeight="1" x14ac:dyDescent="0.2">
      <c r="A156" s="230">
        <v>72101</v>
      </c>
      <c r="B156" s="237" t="s">
        <v>182</v>
      </c>
      <c r="C156" s="120">
        <f>CONSOLIDADO!AK157</f>
        <v>42309.58</v>
      </c>
      <c r="D156" s="128"/>
      <c r="E156" s="266"/>
    </row>
    <row r="157" spans="1:5" ht="18" customHeight="1" x14ac:dyDescent="0.2">
      <c r="A157" s="230">
        <v>72101</v>
      </c>
      <c r="B157" s="240" t="s">
        <v>718</v>
      </c>
      <c r="C157" s="120">
        <f>CONSOLIDADO!AK158</f>
        <v>2855.3599999999997</v>
      </c>
      <c r="D157" s="128"/>
      <c r="E157" s="266"/>
    </row>
    <row r="158" spans="1:5" ht="18" customHeight="1" thickBot="1" x14ac:dyDescent="0.25">
      <c r="A158" s="230"/>
      <c r="B158" s="237"/>
      <c r="C158" s="120"/>
      <c r="D158" s="128"/>
      <c r="E158" s="266"/>
    </row>
    <row r="159" spans="1:5" ht="18" hidden="1" customHeight="1" x14ac:dyDescent="0.2">
      <c r="A159" s="228">
        <v>99</v>
      </c>
      <c r="B159" s="239" t="s">
        <v>183</v>
      </c>
      <c r="C159" s="120"/>
      <c r="D159" s="121"/>
      <c r="E159" s="125">
        <f>+D160</f>
        <v>0</v>
      </c>
    </row>
    <row r="160" spans="1:5" ht="18" hidden="1" customHeight="1" x14ac:dyDescent="0.2">
      <c r="A160" s="228">
        <v>991</v>
      </c>
      <c r="B160" s="239" t="s">
        <v>184</v>
      </c>
      <c r="C160" s="120"/>
      <c r="D160" s="121">
        <f>+C161</f>
        <v>0</v>
      </c>
      <c r="E160" s="125"/>
    </row>
    <row r="161" spans="1:5" ht="18" hidden="1" customHeight="1" thickBot="1" x14ac:dyDescent="0.25">
      <c r="A161" s="230">
        <v>99101</v>
      </c>
      <c r="B161" s="237" t="s">
        <v>184</v>
      </c>
      <c r="C161" s="120"/>
      <c r="D161" s="128"/>
      <c r="E161" s="266"/>
    </row>
    <row r="162" spans="1:5" ht="18" customHeight="1" thickBot="1" x14ac:dyDescent="0.25">
      <c r="A162" s="232"/>
      <c r="B162" s="241" t="s">
        <v>185</v>
      </c>
      <c r="C162" s="129">
        <f>SUM(C8:C161)</f>
        <v>2693603.91</v>
      </c>
      <c r="D162" s="129">
        <f>SUM(D8:D161)</f>
        <v>2693603.9099999997</v>
      </c>
      <c r="E162" s="123">
        <f>SUM(E8:E161)</f>
        <v>2693603.91</v>
      </c>
    </row>
    <row r="163" spans="1:5" ht="18" customHeight="1" x14ac:dyDescent="0.2">
      <c r="E163" s="437"/>
    </row>
    <row r="164" spans="1:5" s="269" customFormat="1" ht="18" customHeight="1" x14ac:dyDescent="0.2">
      <c r="A164" s="268"/>
      <c r="C164" s="261"/>
      <c r="D164" s="261"/>
      <c r="E164" s="437">
        <f>'ING. REALES'!K73</f>
        <v>2693603.91</v>
      </c>
    </row>
    <row r="165" spans="1:5" ht="18" customHeight="1" x14ac:dyDescent="0.2">
      <c r="E165" s="437">
        <f>+E162-E164</f>
        <v>0</v>
      </c>
    </row>
    <row r="166" spans="1:5" ht="18" customHeight="1" x14ac:dyDescent="0.2">
      <c r="E166" s="437"/>
    </row>
    <row r="167" spans="1:5" ht="18" customHeight="1" x14ac:dyDescent="0.2">
      <c r="E167" s="437"/>
    </row>
    <row r="168" spans="1:5" ht="18" customHeight="1" x14ac:dyDescent="0.2">
      <c r="E168" s="437"/>
    </row>
    <row r="169" spans="1:5" ht="18" customHeight="1" x14ac:dyDescent="0.2">
      <c r="E169" s="437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74803149606299213" bottom="0.59055118110236227" header="0" footer="0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48"/>
  </sheetPr>
  <dimension ref="B1:F55"/>
  <sheetViews>
    <sheetView showGridLines="0" topLeftCell="B37" workbookViewId="0">
      <selection activeCell="C14" sqref="C14"/>
    </sheetView>
  </sheetViews>
  <sheetFormatPr baseColWidth="10" defaultRowHeight="12.75" x14ac:dyDescent="0.2"/>
  <cols>
    <col min="1" max="1" width="2" customWidth="1"/>
    <col min="3" max="3" width="53.42578125" customWidth="1"/>
    <col min="4" max="4" width="18.7109375" style="19" customWidth="1"/>
    <col min="5" max="5" width="12.28515625" bestFit="1" customWidth="1"/>
    <col min="6" max="6" width="12.5703125" bestFit="1" customWidth="1"/>
  </cols>
  <sheetData>
    <row r="1" spans="2:5" ht="15" x14ac:dyDescent="0.2">
      <c r="B1" s="1316" t="s">
        <v>258</v>
      </c>
      <c r="C1" s="1316"/>
      <c r="D1" s="1316"/>
    </row>
    <row r="2" spans="2:5" ht="14.25" x14ac:dyDescent="0.2">
      <c r="B2" s="1400" t="s">
        <v>480</v>
      </c>
      <c r="C2" s="1400"/>
      <c r="D2" s="1400"/>
    </row>
    <row r="3" spans="2:5" ht="15" x14ac:dyDescent="0.2">
      <c r="B3" s="1316"/>
      <c r="C3" s="1316"/>
      <c r="D3" s="1316"/>
    </row>
    <row r="4" spans="2:5" ht="15" x14ac:dyDescent="0.2">
      <c r="B4" s="1316" t="s">
        <v>796</v>
      </c>
      <c r="C4" s="1316"/>
      <c r="D4" s="1316"/>
    </row>
    <row r="5" spans="2:5" ht="14.25" thickBot="1" x14ac:dyDescent="0.3">
      <c r="B5" s="79"/>
      <c r="C5" s="79"/>
      <c r="D5" s="117"/>
    </row>
    <row r="6" spans="2:5" ht="14.25" x14ac:dyDescent="0.2">
      <c r="B6" s="1405" t="s">
        <v>259</v>
      </c>
      <c r="C6" s="1406"/>
      <c r="D6" s="1407"/>
    </row>
    <row r="7" spans="2:5" ht="14.25" x14ac:dyDescent="0.2">
      <c r="B7" s="1396" t="s">
        <v>260</v>
      </c>
      <c r="C7" s="1397"/>
      <c r="D7" s="1398"/>
    </row>
    <row r="8" spans="2:5" ht="14.25" x14ac:dyDescent="0.2">
      <c r="B8" s="1399" t="s">
        <v>261</v>
      </c>
      <c r="C8" s="1400"/>
      <c r="D8" s="1401"/>
    </row>
    <row r="9" spans="2:5" ht="14.25" thickBot="1" x14ac:dyDescent="0.3">
      <c r="B9" s="1402" t="s">
        <v>469</v>
      </c>
      <c r="C9" s="1403"/>
      <c r="D9" s="1404"/>
    </row>
    <row r="10" spans="2:5" x14ac:dyDescent="0.2">
      <c r="B10" s="80"/>
      <c r="C10" s="80"/>
      <c r="D10" s="118"/>
    </row>
    <row r="11" spans="2:5" x14ac:dyDescent="0.2">
      <c r="B11" s="81">
        <v>11</v>
      </c>
      <c r="C11" s="82" t="s">
        <v>5</v>
      </c>
      <c r="D11" s="119">
        <f>'ING. REALES'!K8</f>
        <v>24008.46</v>
      </c>
      <c r="E11" s="16"/>
    </row>
    <row r="12" spans="2:5" x14ac:dyDescent="0.2">
      <c r="B12" s="83"/>
      <c r="C12" s="84"/>
      <c r="D12" s="120"/>
      <c r="E12" s="17"/>
    </row>
    <row r="13" spans="2:5" x14ac:dyDescent="0.2">
      <c r="B13" s="81">
        <v>12</v>
      </c>
      <c r="C13" s="85" t="s">
        <v>6</v>
      </c>
      <c r="D13" s="121">
        <f>'ING. REALES'!K18</f>
        <v>110585.94</v>
      </c>
      <c r="E13" s="18"/>
    </row>
    <row r="14" spans="2:5" x14ac:dyDescent="0.2">
      <c r="B14" s="83"/>
      <c r="C14" s="84"/>
      <c r="D14" s="121"/>
      <c r="E14" s="17"/>
    </row>
    <row r="15" spans="2:5" x14ac:dyDescent="0.2">
      <c r="B15" s="81">
        <v>14</v>
      </c>
      <c r="C15" s="85" t="s">
        <v>8</v>
      </c>
      <c r="D15" s="121">
        <f>'ING. REALES'!K35</f>
        <v>180069.56</v>
      </c>
      <c r="E15" s="17"/>
    </row>
    <row r="16" spans="2:5" x14ac:dyDescent="0.2">
      <c r="B16" s="83"/>
      <c r="C16" s="84"/>
      <c r="D16" s="121"/>
      <c r="E16" s="17"/>
    </row>
    <row r="17" spans="2:6" x14ac:dyDescent="0.2">
      <c r="B17" s="81">
        <v>15</v>
      </c>
      <c r="C17" s="85" t="s">
        <v>9</v>
      </c>
      <c r="D17" s="121">
        <f>'ING. REALES'!K39</f>
        <v>8505.7199999999993</v>
      </c>
      <c r="E17" s="18"/>
    </row>
    <row r="18" spans="2:6" x14ac:dyDescent="0.2">
      <c r="B18" s="83"/>
      <c r="C18" s="84"/>
      <c r="D18" s="121"/>
      <c r="E18" s="17"/>
    </row>
    <row r="19" spans="2:6" x14ac:dyDescent="0.2">
      <c r="B19" s="81">
        <v>16</v>
      </c>
      <c r="C19" s="85" t="s">
        <v>11</v>
      </c>
      <c r="D19" s="121">
        <f>'ING. REALES'!K52</f>
        <v>375990.82</v>
      </c>
      <c r="E19" s="18"/>
    </row>
    <row r="20" spans="2:6" x14ac:dyDescent="0.2">
      <c r="B20" s="83"/>
      <c r="C20" s="84"/>
      <c r="D20" s="121"/>
      <c r="E20" s="17"/>
    </row>
    <row r="21" spans="2:6" x14ac:dyDescent="0.2">
      <c r="B21" s="81">
        <v>22</v>
      </c>
      <c r="C21" s="85" t="s">
        <v>12</v>
      </c>
      <c r="D21" s="121">
        <f>'ING. REALES'!K60</f>
        <v>1505590.6199999999</v>
      </c>
      <c r="E21" s="18"/>
    </row>
    <row r="22" spans="2:6" x14ac:dyDescent="0.2">
      <c r="B22" s="83"/>
      <c r="C22" s="84"/>
      <c r="D22" s="121"/>
      <c r="E22" s="17"/>
    </row>
    <row r="23" spans="2:6" x14ac:dyDescent="0.2">
      <c r="B23" s="81">
        <v>31</v>
      </c>
      <c r="C23" s="85" t="s">
        <v>262</v>
      </c>
      <c r="D23" s="121">
        <f>'ING. REALES'!K63</f>
        <v>0</v>
      </c>
      <c r="E23" s="17"/>
    </row>
    <row r="24" spans="2:6" x14ac:dyDescent="0.2">
      <c r="B24" s="83"/>
      <c r="C24" s="84"/>
      <c r="D24" s="121"/>
      <c r="E24" s="17"/>
    </row>
    <row r="25" spans="2:6" x14ac:dyDescent="0.2">
      <c r="B25" s="81">
        <v>32</v>
      </c>
      <c r="C25" s="85" t="s">
        <v>13</v>
      </c>
      <c r="D25" s="121">
        <f>'ING. REALES'!K66</f>
        <v>488852.7900000001</v>
      </c>
      <c r="E25" s="18"/>
    </row>
    <row r="26" spans="2:6" ht="13.5" thickBot="1" x14ac:dyDescent="0.25">
      <c r="B26" s="86"/>
      <c r="C26" s="87"/>
      <c r="D26" s="122"/>
    </row>
    <row r="27" spans="2:6" ht="13.5" thickBot="1" x14ac:dyDescent="0.25">
      <c r="B27" s="88"/>
      <c r="C27" s="11" t="s">
        <v>25</v>
      </c>
      <c r="D27" s="123">
        <f>SUM(D11:D25)</f>
        <v>2693603.91</v>
      </c>
      <c r="E27" s="19"/>
      <c r="F27" s="430">
        <f>D27-'ING. REALES'!K73</f>
        <v>0</v>
      </c>
    </row>
    <row r="28" spans="2:6" x14ac:dyDescent="0.2">
      <c r="E28" s="3"/>
    </row>
    <row r="29" spans="2:6" ht="13.5" thickBot="1" x14ac:dyDescent="0.25"/>
    <row r="30" spans="2:6" ht="14.25" x14ac:dyDescent="0.2">
      <c r="B30" s="1405" t="s">
        <v>259</v>
      </c>
      <c r="C30" s="1406"/>
      <c r="D30" s="1407"/>
    </row>
    <row r="31" spans="2:6" ht="14.25" x14ac:dyDescent="0.2">
      <c r="B31" s="1396" t="s">
        <v>263</v>
      </c>
      <c r="C31" s="1397"/>
      <c r="D31" s="1398"/>
    </row>
    <row r="32" spans="2:6" ht="14.25" x14ac:dyDescent="0.2">
      <c r="B32" s="1399" t="s">
        <v>264</v>
      </c>
      <c r="C32" s="1400"/>
      <c r="D32" s="1401"/>
    </row>
    <row r="33" spans="2:6" ht="14.25" thickBot="1" x14ac:dyDescent="0.3">
      <c r="B33" s="1402" t="s">
        <v>246</v>
      </c>
      <c r="C33" s="1403"/>
      <c r="D33" s="1404"/>
    </row>
    <row r="34" spans="2:6" x14ac:dyDescent="0.2">
      <c r="B34" s="89"/>
      <c r="C34" s="80"/>
      <c r="D34" s="124"/>
    </row>
    <row r="35" spans="2:6" x14ac:dyDescent="0.2">
      <c r="B35" s="90">
        <v>51</v>
      </c>
      <c r="C35" s="85" t="s">
        <v>122</v>
      </c>
      <c r="D35" s="125">
        <f>CONSOLIDADO!AK9</f>
        <v>564221.33000000007</v>
      </c>
      <c r="F35" s="435"/>
    </row>
    <row r="36" spans="2:6" x14ac:dyDescent="0.2">
      <c r="B36" s="90"/>
      <c r="C36" s="85"/>
      <c r="D36" s="125"/>
      <c r="F36" s="435"/>
    </row>
    <row r="37" spans="2:6" x14ac:dyDescent="0.2">
      <c r="B37" s="90">
        <v>54</v>
      </c>
      <c r="C37" s="85" t="s">
        <v>27</v>
      </c>
      <c r="D37" s="125">
        <f>CONSOLIDADO!AK43</f>
        <v>464466.41</v>
      </c>
      <c r="F37" s="435"/>
    </row>
    <row r="38" spans="2:6" x14ac:dyDescent="0.2">
      <c r="B38" s="90"/>
      <c r="C38" s="85"/>
      <c r="D38" s="125"/>
      <c r="F38" s="435"/>
    </row>
    <row r="39" spans="2:6" x14ac:dyDescent="0.2">
      <c r="B39" s="90">
        <v>55</v>
      </c>
      <c r="C39" s="85" t="s">
        <v>83</v>
      </c>
      <c r="D39" s="125">
        <f>CONSOLIDADO!AK94</f>
        <v>73214.159999999989</v>
      </c>
      <c r="F39" s="435"/>
    </row>
    <row r="40" spans="2:6" x14ac:dyDescent="0.2">
      <c r="B40" s="90"/>
      <c r="C40" s="85"/>
      <c r="D40" s="125"/>
      <c r="F40" s="435"/>
    </row>
    <row r="41" spans="2:6" x14ac:dyDescent="0.2">
      <c r="B41" s="90">
        <v>56</v>
      </c>
      <c r="C41" s="85" t="s">
        <v>96</v>
      </c>
      <c r="D41" s="125">
        <f>CONSOLIDADO!AK112</f>
        <v>141671.1</v>
      </c>
      <c r="F41" s="435"/>
    </row>
    <row r="42" spans="2:6" x14ac:dyDescent="0.2">
      <c r="B42" s="90"/>
      <c r="C42" s="85"/>
      <c r="D42" s="125"/>
      <c r="F42" s="435"/>
    </row>
    <row r="43" spans="2:6" x14ac:dyDescent="0.2">
      <c r="B43" s="90">
        <v>61</v>
      </c>
      <c r="C43" s="85" t="s">
        <v>163</v>
      </c>
      <c r="D43" s="125">
        <f>+CONSOLIDADO!AK120</f>
        <v>1082914.28</v>
      </c>
      <c r="F43" s="435"/>
    </row>
    <row r="44" spans="2:6" x14ac:dyDescent="0.2">
      <c r="B44" s="90"/>
      <c r="C44" s="85"/>
      <c r="D44" s="125"/>
      <c r="F44" s="435"/>
    </row>
    <row r="45" spans="2:6" x14ac:dyDescent="0.2">
      <c r="B45" s="90">
        <v>71</v>
      </c>
      <c r="C45" s="85" t="s">
        <v>215</v>
      </c>
      <c r="D45" s="125">
        <f>CONSOLIDADO!AK150</f>
        <v>321951.68999999994</v>
      </c>
      <c r="F45" s="435"/>
    </row>
    <row r="46" spans="2:6" x14ac:dyDescent="0.2">
      <c r="B46" s="90"/>
      <c r="C46" s="85"/>
      <c r="D46" s="125"/>
      <c r="F46" s="435"/>
    </row>
    <row r="47" spans="2:6" x14ac:dyDescent="0.2">
      <c r="B47" s="90">
        <v>72</v>
      </c>
      <c r="C47" s="85" t="s">
        <v>13</v>
      </c>
      <c r="D47" s="125">
        <f>CONSOLIDADO!AK155</f>
        <v>45164.94</v>
      </c>
      <c r="F47" s="435"/>
    </row>
    <row r="48" spans="2:6" ht="13.5" thickBot="1" x14ac:dyDescent="0.25">
      <c r="B48" s="91"/>
      <c r="C48" s="85"/>
      <c r="D48" s="125"/>
    </row>
    <row r="49" spans="2:6" hidden="1" x14ac:dyDescent="0.2">
      <c r="B49" s="90">
        <v>99</v>
      </c>
      <c r="C49" s="85" t="s">
        <v>183</v>
      </c>
      <c r="D49" s="125"/>
    </row>
    <row r="50" spans="2:6" ht="13.5" hidden="1" thickBot="1" x14ac:dyDescent="0.25">
      <c r="B50" s="92"/>
      <c r="C50" s="93"/>
      <c r="D50" s="126"/>
    </row>
    <row r="51" spans="2:6" ht="13.5" thickBot="1" x14ac:dyDescent="0.25">
      <c r="B51" s="88"/>
      <c r="C51" s="11" t="s">
        <v>25</v>
      </c>
      <c r="D51" s="123">
        <f>SUM(D35:D47)</f>
        <v>2693603.91</v>
      </c>
      <c r="E51" s="21"/>
      <c r="F51" s="435">
        <f>D51-CONSOLIDADO!AK163</f>
        <v>0</v>
      </c>
    </row>
    <row r="55" spans="2:6" x14ac:dyDescent="0.2">
      <c r="F55" s="19"/>
    </row>
  </sheetData>
  <mergeCells count="12">
    <mergeCell ref="B1:D1"/>
    <mergeCell ref="B2:D2"/>
    <mergeCell ref="B3:D3"/>
    <mergeCell ref="B4:D4"/>
    <mergeCell ref="B30:D30"/>
    <mergeCell ref="B31:D31"/>
    <mergeCell ref="B32:D32"/>
    <mergeCell ref="B33:D33"/>
    <mergeCell ref="B6:D6"/>
    <mergeCell ref="B7:D7"/>
    <mergeCell ref="B8:D8"/>
    <mergeCell ref="B9:D9"/>
  </mergeCells>
  <phoneticPr fontId="6" type="noConversion"/>
  <printOptions horizontalCentered="1"/>
  <pageMargins left="0.74803149606299213" right="0.35433070866141736" top="0.78740157480314965" bottom="0.78740157480314965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8"/>
  </sheetPr>
  <dimension ref="B1:H36"/>
  <sheetViews>
    <sheetView showGridLines="0" topLeftCell="D1" zoomScaleNormal="100" workbookViewId="0">
      <selection activeCell="I34" sqref="I34"/>
    </sheetView>
  </sheetViews>
  <sheetFormatPr baseColWidth="10" defaultRowHeight="12.75" x14ac:dyDescent="0.2"/>
  <cols>
    <col min="1" max="1" width="6.28515625" customWidth="1"/>
    <col min="2" max="2" width="8.5703125" customWidth="1"/>
    <col min="3" max="3" width="6.42578125" style="24" customWidth="1"/>
    <col min="4" max="4" width="6.85546875" style="24" customWidth="1"/>
    <col min="5" max="5" width="50.28515625" customWidth="1"/>
    <col min="6" max="8" width="17.42578125" customWidth="1"/>
  </cols>
  <sheetData>
    <row r="1" spans="2:8" ht="15" x14ac:dyDescent="0.2">
      <c r="B1" s="1316" t="s">
        <v>258</v>
      </c>
      <c r="C1" s="1316"/>
      <c r="D1" s="1316"/>
      <c r="E1" s="1316"/>
      <c r="F1" s="1316"/>
      <c r="G1" s="1316"/>
      <c r="H1" s="1316"/>
    </row>
    <row r="2" spans="2:8" ht="15" x14ac:dyDescent="0.2">
      <c r="B2" s="1408" t="s">
        <v>481</v>
      </c>
      <c r="C2" s="1408"/>
      <c r="D2" s="1408"/>
      <c r="E2" s="1408"/>
      <c r="F2" s="1408"/>
      <c r="G2" s="1408"/>
      <c r="H2" s="1408"/>
    </row>
    <row r="3" spans="2:8" ht="15" x14ac:dyDescent="0.2">
      <c r="B3" s="1408" t="s">
        <v>796</v>
      </c>
      <c r="C3" s="1408"/>
      <c r="D3" s="1408"/>
      <c r="E3" s="1408"/>
      <c r="F3" s="1408"/>
      <c r="G3" s="1408"/>
      <c r="H3" s="1408"/>
    </row>
    <row r="4" spans="2:8" ht="17.25" customHeight="1" x14ac:dyDescent="0.2">
      <c r="B4" s="1411" t="s">
        <v>259</v>
      </c>
      <c r="C4" s="1411"/>
      <c r="D4" s="1411"/>
      <c r="E4" s="1411"/>
      <c r="F4" s="1411"/>
      <c r="G4" s="1411"/>
      <c r="H4" s="1411"/>
    </row>
    <row r="5" spans="2:8" ht="19.5" customHeight="1" thickBot="1" x14ac:dyDescent="0.25">
      <c r="B5" s="1412" t="s">
        <v>265</v>
      </c>
      <c r="C5" s="1412"/>
      <c r="D5" s="1412"/>
      <c r="E5" s="1412"/>
      <c r="F5" s="1412"/>
      <c r="G5" s="1412"/>
      <c r="H5" s="1412"/>
    </row>
    <row r="6" spans="2:8" ht="12.75" customHeight="1" x14ac:dyDescent="0.25">
      <c r="B6" s="94" t="s">
        <v>266</v>
      </c>
      <c r="C6" s="95" t="s">
        <v>267</v>
      </c>
      <c r="D6" s="96" t="s">
        <v>268</v>
      </c>
      <c r="E6" s="1413" t="s">
        <v>103</v>
      </c>
      <c r="F6" s="1415" t="s">
        <v>250</v>
      </c>
      <c r="G6" s="1415" t="s">
        <v>250</v>
      </c>
      <c r="H6" s="1415" t="s">
        <v>25</v>
      </c>
    </row>
    <row r="7" spans="2:8" ht="16.5" customHeight="1" thickBot="1" x14ac:dyDescent="0.3">
      <c r="B7" s="97" t="s">
        <v>269</v>
      </c>
      <c r="C7" s="98" t="s">
        <v>270</v>
      </c>
      <c r="D7" s="99" t="s">
        <v>271</v>
      </c>
      <c r="E7" s="1414"/>
      <c r="F7" s="1416"/>
      <c r="G7" s="1416"/>
      <c r="H7" s="1416"/>
    </row>
    <row r="8" spans="2:8" ht="21.75" customHeight="1" x14ac:dyDescent="0.2">
      <c r="B8" s="22" t="s">
        <v>272</v>
      </c>
      <c r="C8" s="100"/>
      <c r="D8" s="965"/>
      <c r="E8" s="958" t="s">
        <v>273</v>
      </c>
      <c r="F8" s="132"/>
      <c r="G8" s="132"/>
      <c r="H8" s="132">
        <f>+G9+G12</f>
        <v>818524.03</v>
      </c>
    </row>
    <row r="9" spans="2:8" ht="21.75" customHeight="1" x14ac:dyDescent="0.2">
      <c r="B9" s="212"/>
      <c r="C9" s="213" t="s">
        <v>274</v>
      </c>
      <c r="D9" s="213"/>
      <c r="E9" s="959" t="s">
        <v>275</v>
      </c>
      <c r="F9" s="134"/>
      <c r="G9" s="134">
        <f>+F10+F11</f>
        <v>448083.27999999997</v>
      </c>
      <c r="H9" s="133"/>
    </row>
    <row r="10" spans="2:8" ht="21.75" customHeight="1" x14ac:dyDescent="0.2">
      <c r="B10" s="212"/>
      <c r="C10" s="213"/>
      <c r="D10" s="213" t="s">
        <v>20</v>
      </c>
      <c r="E10" s="959" t="s">
        <v>276</v>
      </c>
      <c r="F10" s="134">
        <f>+CONSOLIDADO!C163+CONSOLIDADO!H163</f>
        <v>360726.1</v>
      </c>
      <c r="G10" s="134"/>
      <c r="H10" s="133"/>
    </row>
    <row r="11" spans="2:8" ht="21.75" customHeight="1" x14ac:dyDescent="0.2">
      <c r="B11" s="212"/>
      <c r="C11" s="213"/>
      <c r="D11" s="213" t="s">
        <v>21</v>
      </c>
      <c r="E11" s="959" t="s">
        <v>472</v>
      </c>
      <c r="F11" s="134">
        <f>+CONSOLIDADO!D163+CONSOLIDADO!I163</f>
        <v>87357.18</v>
      </c>
      <c r="G11" s="134"/>
      <c r="H11" s="133"/>
    </row>
    <row r="12" spans="2:8" ht="21.75" customHeight="1" x14ac:dyDescent="0.2">
      <c r="B12" s="212"/>
      <c r="C12" s="213" t="s">
        <v>278</v>
      </c>
      <c r="D12" s="213"/>
      <c r="E12" s="959" t="s">
        <v>279</v>
      </c>
      <c r="F12" s="134"/>
      <c r="G12" s="134">
        <f>F13+F14</f>
        <v>370440.75</v>
      </c>
      <c r="H12" s="133"/>
    </row>
    <row r="13" spans="2:8" ht="21.75" customHeight="1" x14ac:dyDescent="0.2">
      <c r="B13" s="212"/>
      <c r="C13" s="213"/>
      <c r="D13" s="213" t="s">
        <v>24</v>
      </c>
      <c r="E13" s="960" t="s">
        <v>473</v>
      </c>
      <c r="F13" s="134">
        <f>+CONSOLIDADO!E163+CONSOLIDADO!J163</f>
        <v>59788.28</v>
      </c>
      <c r="G13" s="134"/>
      <c r="H13" s="133"/>
    </row>
    <row r="14" spans="2:8" ht="21.75" customHeight="1" thickBot="1" x14ac:dyDescent="0.25">
      <c r="B14" s="214"/>
      <c r="C14" s="215"/>
      <c r="D14" s="215" t="s">
        <v>253</v>
      </c>
      <c r="E14" s="961" t="s">
        <v>474</v>
      </c>
      <c r="F14" s="135">
        <f>+CONSOLIDADO!F163+CONSOLIDADO!K163</f>
        <v>310652.46999999997</v>
      </c>
      <c r="G14" s="135"/>
      <c r="H14" s="136"/>
    </row>
    <row r="15" spans="2:8" ht="21.75" customHeight="1" x14ac:dyDescent="0.2">
      <c r="B15" s="90">
        <v>3</v>
      </c>
      <c r="C15" s="101"/>
      <c r="D15" s="101"/>
      <c r="E15" s="962" t="s">
        <v>280</v>
      </c>
      <c r="F15" s="132"/>
      <c r="G15" s="133"/>
      <c r="H15" s="133">
        <f>+G16</f>
        <v>899579.79</v>
      </c>
    </row>
    <row r="16" spans="2:8" ht="21.75" customHeight="1" x14ac:dyDescent="0.2">
      <c r="B16" s="90"/>
      <c r="C16" s="213" t="s">
        <v>281</v>
      </c>
      <c r="D16" s="213"/>
      <c r="E16" s="959" t="s">
        <v>282</v>
      </c>
      <c r="F16" s="134"/>
      <c r="G16" s="134">
        <f>F17+F18</f>
        <v>899579.79</v>
      </c>
      <c r="H16" s="133"/>
    </row>
    <row r="17" spans="2:8" ht="21.75" customHeight="1" x14ac:dyDescent="0.2">
      <c r="B17" s="90"/>
      <c r="C17" s="213"/>
      <c r="D17" s="213" t="s">
        <v>231</v>
      </c>
      <c r="E17" s="959" t="s">
        <v>283</v>
      </c>
      <c r="F17" s="120">
        <f>+CONSOLIDADO!M163</f>
        <v>150599.71000000002</v>
      </c>
      <c r="G17" s="134"/>
      <c r="H17" s="133"/>
    </row>
    <row r="18" spans="2:8" ht="21.75" customHeight="1" thickBot="1" x14ac:dyDescent="0.25">
      <c r="B18" s="103"/>
      <c r="C18" s="215"/>
      <c r="D18" s="215" t="s">
        <v>232</v>
      </c>
      <c r="E18" s="961" t="s">
        <v>284</v>
      </c>
      <c r="F18" s="436">
        <f>CONSOLIDADO!N163+CONSOLIDADO!T163</f>
        <v>748980.08</v>
      </c>
      <c r="G18" s="135"/>
      <c r="H18" s="136"/>
    </row>
    <row r="19" spans="2:8" ht="21.75" customHeight="1" x14ac:dyDescent="0.2">
      <c r="B19" s="90">
        <v>4</v>
      </c>
      <c r="C19" s="101"/>
      <c r="D19" s="101"/>
      <c r="E19" s="962" t="s">
        <v>285</v>
      </c>
      <c r="F19" s="133"/>
      <c r="G19" s="133"/>
      <c r="H19" s="133">
        <f>+G20</f>
        <v>585710.29999999993</v>
      </c>
    </row>
    <row r="20" spans="2:8" ht="21.75" customHeight="1" x14ac:dyDescent="0.2">
      <c r="B20" s="90"/>
      <c r="C20" s="213" t="s">
        <v>286</v>
      </c>
      <c r="D20" s="213"/>
      <c r="E20" s="959" t="s">
        <v>287</v>
      </c>
      <c r="F20" s="134"/>
      <c r="G20" s="134">
        <f>+F21+F22</f>
        <v>585710.29999999993</v>
      </c>
      <c r="H20" s="133"/>
    </row>
    <row r="21" spans="2:8" ht="21.75" customHeight="1" x14ac:dyDescent="0.2">
      <c r="B21" s="90"/>
      <c r="C21" s="213"/>
      <c r="D21" s="213" t="s">
        <v>233</v>
      </c>
      <c r="E21" s="959" t="s">
        <v>288</v>
      </c>
      <c r="F21" s="134">
        <f>CONSOLIDADO!O163+CONSOLIDADO!U163</f>
        <v>584921.98</v>
      </c>
      <c r="G21" s="134"/>
      <c r="H21" s="133"/>
    </row>
    <row r="22" spans="2:8" ht="21.75" customHeight="1" thickBot="1" x14ac:dyDescent="0.25">
      <c r="B22" s="103"/>
      <c r="C22" s="215"/>
      <c r="D22" s="215" t="s">
        <v>449</v>
      </c>
      <c r="E22" s="1039" t="s">
        <v>802</v>
      </c>
      <c r="F22" s="135">
        <f>+CONSOLIDADO!W163</f>
        <v>788.31999999999994</v>
      </c>
      <c r="G22" s="135"/>
      <c r="H22" s="136"/>
    </row>
    <row r="23" spans="2:8" ht="21.75" customHeight="1" x14ac:dyDescent="0.2">
      <c r="B23" s="90">
        <v>5</v>
      </c>
      <c r="C23" s="101"/>
      <c r="D23" s="101"/>
      <c r="E23" s="963" t="s">
        <v>289</v>
      </c>
      <c r="F23" s="133"/>
      <c r="G23" s="133"/>
      <c r="H23" s="133">
        <f>+G24</f>
        <v>389789.79</v>
      </c>
    </row>
    <row r="24" spans="2:8" ht="21.75" customHeight="1" x14ac:dyDescent="0.2">
      <c r="B24" s="23"/>
      <c r="C24" s="213" t="s">
        <v>290</v>
      </c>
      <c r="D24" s="213"/>
      <c r="E24" s="959" t="s">
        <v>291</v>
      </c>
      <c r="F24" s="134"/>
      <c r="G24" s="134">
        <f>F25+F26+F27</f>
        <v>389789.79</v>
      </c>
      <c r="H24" s="133"/>
    </row>
    <row r="25" spans="2:8" ht="21.75" customHeight="1" x14ac:dyDescent="0.2">
      <c r="B25" s="23"/>
      <c r="C25" s="213"/>
      <c r="D25" s="213" t="s">
        <v>234</v>
      </c>
      <c r="E25" s="959" t="s">
        <v>292</v>
      </c>
      <c r="F25" s="134">
        <f>+CONSOLIDADO!P163</f>
        <v>321951.68999999994</v>
      </c>
      <c r="G25" s="134"/>
      <c r="H25" s="133"/>
    </row>
    <row r="26" spans="2:8" ht="21.75" customHeight="1" x14ac:dyDescent="0.2">
      <c r="B26" s="23"/>
      <c r="C26" s="213"/>
      <c r="D26" s="966" t="s">
        <v>619</v>
      </c>
      <c r="E26" s="964" t="s">
        <v>624</v>
      </c>
      <c r="F26" s="134">
        <f>CONSOLIDADO!Q163</f>
        <v>63199.569999999992</v>
      </c>
      <c r="G26" s="134"/>
      <c r="H26" s="133"/>
    </row>
    <row r="27" spans="2:8" ht="21.75" customHeight="1" thickBot="1" x14ac:dyDescent="0.25">
      <c r="B27" s="23"/>
      <c r="C27" s="213"/>
      <c r="D27" s="215" t="s">
        <v>458</v>
      </c>
      <c r="E27" s="959" t="s">
        <v>471</v>
      </c>
      <c r="F27" s="134">
        <f>+CONSOLIDADO!R163</f>
        <v>4638.53</v>
      </c>
      <c r="G27" s="134"/>
      <c r="H27" s="133"/>
    </row>
    <row r="28" spans="2:8" ht="21.75" customHeight="1" thickBot="1" x14ac:dyDescent="0.25">
      <c r="B28" s="1198" t="s">
        <v>25</v>
      </c>
      <c r="C28" s="1409"/>
      <c r="D28" s="1409"/>
      <c r="E28" s="1410"/>
      <c r="F28" s="137">
        <f>SUM(F8:F27)</f>
        <v>2693603.9099999992</v>
      </c>
      <c r="G28" s="137">
        <f>SUM(G8:G25)</f>
        <v>2693603.91</v>
      </c>
      <c r="H28" s="137">
        <f>SUM(H8:H25)</f>
        <v>2693603.91</v>
      </c>
    </row>
    <row r="36" spans="8:8" x14ac:dyDescent="0.2">
      <c r="H36" s="430"/>
    </row>
  </sheetData>
  <mergeCells count="10">
    <mergeCell ref="B1:H1"/>
    <mergeCell ref="B2:H2"/>
    <mergeCell ref="B3:H3"/>
    <mergeCell ref="B28:E28"/>
    <mergeCell ref="B4:H4"/>
    <mergeCell ref="B5:H5"/>
    <mergeCell ref="E6:E7"/>
    <mergeCell ref="F6:F7"/>
    <mergeCell ref="G6:G7"/>
    <mergeCell ref="H6:H7"/>
  </mergeCells>
  <phoneticPr fontId="0" type="noConversion"/>
  <pageMargins left="0.59055118110236227" right="0.59055118110236227" top="0.62992125984251968" bottom="0.62992125984251968" header="0" footer="0"/>
  <pageSetup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48"/>
  </sheetPr>
  <dimension ref="A5:F27"/>
  <sheetViews>
    <sheetView showGridLines="0" workbookViewId="0">
      <selection activeCell="D37" sqref="D37"/>
    </sheetView>
  </sheetViews>
  <sheetFormatPr baseColWidth="10" defaultRowHeight="12.75" x14ac:dyDescent="0.2"/>
  <cols>
    <col min="2" max="2" width="34" customWidth="1"/>
    <col min="3" max="4" width="18" style="19" customWidth="1"/>
    <col min="6" max="6" width="13.85546875" bestFit="1" customWidth="1"/>
  </cols>
  <sheetData>
    <row r="5" spans="1:5" ht="15" x14ac:dyDescent="0.2">
      <c r="A5" s="1316" t="s">
        <v>556</v>
      </c>
      <c r="B5" s="1316"/>
      <c r="C5" s="1316"/>
      <c r="D5" s="1316"/>
    </row>
    <row r="6" spans="1:5" ht="15" x14ac:dyDescent="0.2">
      <c r="A6" s="1316" t="s">
        <v>482</v>
      </c>
      <c r="B6" s="1316"/>
      <c r="C6" s="1316"/>
      <c r="D6" s="1316"/>
    </row>
    <row r="7" spans="1:5" ht="15" x14ac:dyDescent="0.2">
      <c r="A7" s="1417" t="s">
        <v>775</v>
      </c>
      <c r="B7" s="1417"/>
      <c r="C7" s="1417"/>
      <c r="D7" s="1417"/>
    </row>
    <row r="8" spans="1:5" ht="13.5" x14ac:dyDescent="0.25">
      <c r="A8" s="79"/>
      <c r="B8" s="105"/>
      <c r="C8" s="117"/>
      <c r="D8" s="117"/>
    </row>
    <row r="9" spans="1:5" ht="14.25" thickBot="1" x14ac:dyDescent="0.3">
      <c r="A9" s="79"/>
      <c r="B9" s="105"/>
      <c r="C9" s="117"/>
      <c r="D9" s="117"/>
    </row>
    <row r="10" spans="1:5" ht="14.25" x14ac:dyDescent="0.2">
      <c r="A10" s="1405" t="s">
        <v>293</v>
      </c>
      <c r="B10" s="1406"/>
      <c r="C10" s="1406"/>
      <c r="D10" s="1407"/>
    </row>
    <row r="11" spans="1:5" ht="14.25" thickBot="1" x14ac:dyDescent="0.3">
      <c r="A11" s="1402" t="s">
        <v>469</v>
      </c>
      <c r="B11" s="1403"/>
      <c r="C11" s="1403"/>
      <c r="D11" s="1404"/>
    </row>
    <row r="12" spans="1:5" ht="15.75" thickBot="1" x14ac:dyDescent="0.3">
      <c r="A12" s="106" t="s">
        <v>294</v>
      </c>
      <c r="B12" s="107" t="s">
        <v>295</v>
      </c>
      <c r="C12" s="127" t="s">
        <v>296</v>
      </c>
      <c r="D12" s="127" t="s">
        <v>297</v>
      </c>
    </row>
    <row r="13" spans="1:5" x14ac:dyDescent="0.2">
      <c r="A13" s="108"/>
      <c r="C13" s="128"/>
      <c r="D13" s="128"/>
    </row>
    <row r="14" spans="1:5" x14ac:dyDescent="0.2">
      <c r="A14" s="81">
        <v>1</v>
      </c>
      <c r="B14" s="59" t="s">
        <v>475</v>
      </c>
      <c r="C14" s="121">
        <f>+'ING. REALES'!C73+'ING. REALES'!E73+'ING. REALES'!D73+'ING. REALES'!F73</f>
        <v>2287615.3799999994</v>
      </c>
      <c r="D14" s="121">
        <f>+CONSOLIDADO!L163+CONSOLIDADO!S163+CONSOLIDADO!V163+CONSOLIDADO!W163</f>
        <v>2287615.38</v>
      </c>
      <c r="E14" s="12"/>
    </row>
    <row r="15" spans="1:5" x14ac:dyDescent="0.2">
      <c r="A15" s="81"/>
      <c r="B15" s="59"/>
      <c r="C15" s="121"/>
      <c r="D15" s="128"/>
    </row>
    <row r="16" spans="1:5" x14ac:dyDescent="0.2">
      <c r="A16" s="81">
        <v>2</v>
      </c>
      <c r="B16" s="59" t="s">
        <v>298</v>
      </c>
      <c r="C16" s="121">
        <f>+'ING. REALES'!H73</f>
        <v>405988.53</v>
      </c>
      <c r="D16" s="121">
        <f>+CONSOLIDADO!G163</f>
        <v>405988.52999999997</v>
      </c>
      <c r="E16" s="12"/>
    </row>
    <row r="17" spans="1:6" x14ac:dyDescent="0.2">
      <c r="A17" s="81"/>
      <c r="B17" s="59"/>
      <c r="C17" s="121"/>
      <c r="D17" s="128"/>
    </row>
    <row r="18" spans="1:6" x14ac:dyDescent="0.2">
      <c r="A18" s="81">
        <v>3</v>
      </c>
      <c r="B18" s="59" t="s">
        <v>299</v>
      </c>
      <c r="C18" s="121">
        <v>0</v>
      </c>
      <c r="D18" s="121">
        <v>0</v>
      </c>
    </row>
    <row r="19" spans="1:6" x14ac:dyDescent="0.2">
      <c r="A19" s="81"/>
      <c r="B19" s="59"/>
      <c r="C19" s="121"/>
      <c r="D19" s="128"/>
    </row>
    <row r="20" spans="1:6" x14ac:dyDescent="0.2">
      <c r="A20" s="81">
        <v>4</v>
      </c>
      <c r="B20" s="59" t="s">
        <v>300</v>
      </c>
      <c r="C20" s="121">
        <f>+'ING. REALES'!J73</f>
        <v>0</v>
      </c>
      <c r="D20" s="121">
        <f>+CONSOLIDADO!Z163</f>
        <v>0</v>
      </c>
    </row>
    <row r="21" spans="1:6" x14ac:dyDescent="0.2">
      <c r="A21" s="81"/>
      <c r="B21" s="59"/>
      <c r="C21" s="121"/>
      <c r="D21" s="121"/>
    </row>
    <row r="22" spans="1:6" x14ac:dyDescent="0.2">
      <c r="A22" s="81">
        <v>5</v>
      </c>
      <c r="B22" s="59" t="s">
        <v>465</v>
      </c>
      <c r="C22" s="121">
        <f>+'ING. REALES'!I73</f>
        <v>0</v>
      </c>
      <c r="D22" s="121">
        <f>C22</f>
        <v>0</v>
      </c>
    </row>
    <row r="23" spans="1:6" x14ac:dyDescent="0.2">
      <c r="A23" s="81"/>
      <c r="B23" s="59"/>
      <c r="C23" s="121"/>
      <c r="D23" s="128"/>
    </row>
    <row r="24" spans="1:6" ht="13.5" thickBot="1" x14ac:dyDescent="0.25">
      <c r="A24" s="102"/>
      <c r="C24" s="121"/>
      <c r="D24" s="128"/>
    </row>
    <row r="25" spans="1:6" ht="13.5" thickBot="1" x14ac:dyDescent="0.25">
      <c r="A25" s="109"/>
      <c r="B25" s="104" t="s">
        <v>185</v>
      </c>
      <c r="C25" s="129">
        <f>SUM(C13:C24)</f>
        <v>2693603.9099999992</v>
      </c>
      <c r="D25" s="129">
        <f>SUM(D13:D24)</f>
        <v>2693603.9099999997</v>
      </c>
    </row>
    <row r="26" spans="1:6" x14ac:dyDescent="0.2">
      <c r="B26" s="24"/>
      <c r="C26" s="130"/>
    </row>
    <row r="27" spans="1:6" ht="15.75" x14ac:dyDescent="0.25">
      <c r="B27" s="110"/>
      <c r="D27" s="261">
        <f>+C25-D25</f>
        <v>0</v>
      </c>
      <c r="F27" s="20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indexed="48"/>
  </sheetPr>
  <dimension ref="B1:M35"/>
  <sheetViews>
    <sheetView showGridLines="0" zoomScale="80" zoomScaleNormal="80" workbookViewId="0">
      <selection activeCell="E38" sqref="E38"/>
    </sheetView>
  </sheetViews>
  <sheetFormatPr baseColWidth="10" defaultRowHeight="12.75" x14ac:dyDescent="0.2"/>
  <cols>
    <col min="1" max="1" width="7.140625" style="1420" customWidth="1"/>
    <col min="2" max="2" width="9.7109375" style="1450" customWidth="1"/>
    <col min="3" max="3" width="50.85546875" style="1420" customWidth="1"/>
    <col min="4" max="5" width="18.140625" style="1420" customWidth="1"/>
    <col min="6" max="6" width="18.140625" style="1420" hidden="1" customWidth="1"/>
    <col min="7" max="9" width="18.140625" style="1420" customWidth="1"/>
    <col min="10" max="10" width="12.28515625" style="1420" bestFit="1" customWidth="1"/>
    <col min="11" max="12" width="11.5703125" style="1420" bestFit="1" customWidth="1"/>
    <col min="13" max="13" width="12.28515625" style="1420" bestFit="1" customWidth="1"/>
    <col min="14" max="16384" width="11.42578125" style="1420"/>
  </cols>
  <sheetData>
    <row r="1" spans="2:13" ht="15.75" x14ac:dyDescent="0.25">
      <c r="B1" s="1418" t="s">
        <v>258</v>
      </c>
      <c r="C1" s="1418"/>
      <c r="D1" s="1418"/>
      <c r="E1" s="1418"/>
      <c r="F1" s="1418"/>
      <c r="G1" s="1418"/>
      <c r="H1" s="1418"/>
      <c r="I1" s="1418"/>
      <c r="J1" s="1419"/>
    </row>
    <row r="2" spans="2:13" ht="15.75" x14ac:dyDescent="0.25">
      <c r="B2" s="1421" t="s">
        <v>476</v>
      </c>
      <c r="C2" s="1421"/>
      <c r="D2" s="1421"/>
      <c r="E2" s="1421"/>
      <c r="F2" s="1421"/>
      <c r="G2" s="1421"/>
      <c r="H2" s="1421"/>
      <c r="I2" s="1421"/>
      <c r="J2" s="1422"/>
    </row>
    <row r="3" spans="2:13" ht="15.75" x14ac:dyDescent="0.25">
      <c r="B3" s="1421" t="s">
        <v>796</v>
      </c>
      <c r="C3" s="1421"/>
      <c r="D3" s="1421"/>
      <c r="E3" s="1421"/>
      <c r="F3" s="1421"/>
      <c r="G3" s="1421"/>
      <c r="H3" s="1421"/>
      <c r="I3" s="1421"/>
      <c r="J3" s="1422"/>
    </row>
    <row r="4" spans="2:13" ht="19.5" customHeight="1" x14ac:dyDescent="0.25">
      <c r="B4" s="1418" t="s">
        <v>259</v>
      </c>
      <c r="C4" s="1418"/>
      <c r="D4" s="1418"/>
      <c r="E4" s="1418"/>
      <c r="F4" s="1418"/>
      <c r="G4" s="1418"/>
      <c r="H4" s="1418"/>
      <c r="I4" s="1418"/>
      <c r="J4" s="1419"/>
    </row>
    <row r="5" spans="2:13" ht="18.75" customHeight="1" x14ac:dyDescent="0.25">
      <c r="B5" s="1421" t="s">
        <v>301</v>
      </c>
      <c r="C5" s="1421"/>
      <c r="D5" s="1421"/>
      <c r="E5" s="1421"/>
      <c r="F5" s="1421"/>
      <c r="G5" s="1421"/>
      <c r="H5" s="1421"/>
      <c r="I5" s="1421"/>
      <c r="J5" s="1422"/>
    </row>
    <row r="6" spans="2:13" ht="18.75" customHeight="1" thickBot="1" x14ac:dyDescent="0.3">
      <c r="B6" s="1423"/>
      <c r="C6" s="1423"/>
      <c r="D6" s="1423"/>
      <c r="E6" s="1423"/>
      <c r="F6" s="1423"/>
      <c r="G6" s="1423"/>
      <c r="H6" s="1423"/>
      <c r="I6" s="1423"/>
      <c r="J6" s="1422"/>
    </row>
    <row r="7" spans="2:13" ht="15" customHeight="1" x14ac:dyDescent="0.2">
      <c r="B7" s="1424" t="s">
        <v>302</v>
      </c>
      <c r="C7" s="1425" t="s">
        <v>303</v>
      </c>
      <c r="D7" s="1426" t="s">
        <v>304</v>
      </c>
      <c r="E7" s="1426" t="s">
        <v>305</v>
      </c>
      <c r="F7" s="1426" t="s">
        <v>306</v>
      </c>
      <c r="G7" s="1426" t="s">
        <v>307</v>
      </c>
      <c r="H7" s="1426" t="s">
        <v>308</v>
      </c>
      <c r="I7" s="1426" t="s">
        <v>25</v>
      </c>
    </row>
    <row r="8" spans="2:13" ht="15" customHeight="1" thickBot="1" x14ac:dyDescent="0.25">
      <c r="B8" s="1427"/>
      <c r="C8" s="1428"/>
      <c r="D8" s="1429"/>
      <c r="E8" s="1429"/>
      <c r="F8" s="1429"/>
      <c r="G8" s="1429"/>
      <c r="H8" s="1429"/>
      <c r="I8" s="1429"/>
    </row>
    <row r="9" spans="2:13" ht="24.95" customHeight="1" x14ac:dyDescent="0.2">
      <c r="B9" s="1430" t="s">
        <v>272</v>
      </c>
      <c r="C9" s="1431" t="s">
        <v>273</v>
      </c>
      <c r="D9" s="1432">
        <f>D10+D13</f>
        <v>412535.5</v>
      </c>
      <c r="E9" s="1432">
        <f>E10+E13</f>
        <v>405988.53</v>
      </c>
      <c r="F9" s="1432"/>
      <c r="G9" s="1432">
        <v>0</v>
      </c>
      <c r="H9" s="1432">
        <v>0</v>
      </c>
      <c r="I9" s="1432">
        <f>I10+I13</f>
        <v>818524.03</v>
      </c>
    </row>
    <row r="10" spans="2:13" ht="24.95" customHeight="1" x14ac:dyDescent="0.2">
      <c r="B10" s="1433" t="s">
        <v>274</v>
      </c>
      <c r="C10" s="1434" t="s">
        <v>275</v>
      </c>
      <c r="D10" s="1435">
        <f>D11+D12</f>
        <v>188501.5</v>
      </c>
      <c r="E10" s="1435">
        <f>E11+E12</f>
        <v>259581.78</v>
      </c>
      <c r="F10" s="1435"/>
      <c r="G10" s="1435">
        <v>0</v>
      </c>
      <c r="H10" s="1435">
        <v>0</v>
      </c>
      <c r="I10" s="1435">
        <f>I11+I12</f>
        <v>448083.27999999997</v>
      </c>
      <c r="J10" s="1436"/>
      <c r="K10" s="1436"/>
      <c r="L10" s="1436"/>
      <c r="M10" s="1436"/>
    </row>
    <row r="11" spans="2:13" ht="24.95" customHeight="1" x14ac:dyDescent="0.2">
      <c r="B11" s="1437" t="s">
        <v>20</v>
      </c>
      <c r="C11" s="1438" t="s">
        <v>309</v>
      </c>
      <c r="D11" s="1439">
        <f>+CONSOLIDADO!H163</f>
        <v>152551.5</v>
      </c>
      <c r="E11" s="1439">
        <f>+CONSOLIDADO!C163</f>
        <v>208174.6</v>
      </c>
      <c r="F11" s="1439"/>
      <c r="G11" s="1439">
        <v>0</v>
      </c>
      <c r="H11" s="1439">
        <v>0</v>
      </c>
      <c r="I11" s="1439">
        <f>D11+E11+F11+G11+H11</f>
        <v>360726.1</v>
      </c>
      <c r="J11" s="1436"/>
      <c r="K11" s="1436"/>
      <c r="L11" s="1436"/>
      <c r="M11" s="1436"/>
    </row>
    <row r="12" spans="2:13" ht="24.95" customHeight="1" x14ac:dyDescent="0.2">
      <c r="B12" s="1437" t="s">
        <v>21</v>
      </c>
      <c r="C12" s="1438" t="s">
        <v>277</v>
      </c>
      <c r="D12" s="1439">
        <f>+CONSOLIDADO!I163</f>
        <v>35950</v>
      </c>
      <c r="E12" s="1439">
        <f>+CONSOLIDADO!D163</f>
        <v>51407.18</v>
      </c>
      <c r="F12" s="1439"/>
      <c r="G12" s="1439">
        <v>0</v>
      </c>
      <c r="H12" s="1439">
        <v>0</v>
      </c>
      <c r="I12" s="1439">
        <f>D12+E12+F12+G12+H12</f>
        <v>87357.18</v>
      </c>
      <c r="K12" s="1440"/>
    </row>
    <row r="13" spans="2:13" ht="24.95" customHeight="1" x14ac:dyDescent="0.2">
      <c r="B13" s="1433" t="s">
        <v>278</v>
      </c>
      <c r="C13" s="1434" t="s">
        <v>279</v>
      </c>
      <c r="D13" s="1435">
        <f>SUM(D14:D15)</f>
        <v>224034</v>
      </c>
      <c r="E13" s="1435">
        <f>SUM(E14:E15)</f>
        <v>146406.75</v>
      </c>
      <c r="F13" s="1435"/>
      <c r="G13" s="1435">
        <v>0</v>
      </c>
      <c r="H13" s="1435">
        <v>0</v>
      </c>
      <c r="I13" s="1435">
        <f>+I14+I15</f>
        <v>370440.75</v>
      </c>
      <c r="K13" s="1440"/>
    </row>
    <row r="14" spans="2:13" ht="24.95" customHeight="1" x14ac:dyDescent="0.2">
      <c r="B14" s="1437" t="s">
        <v>24</v>
      </c>
      <c r="C14" s="1438" t="s">
        <v>473</v>
      </c>
      <c r="D14" s="1439">
        <f>+CONSOLIDADO!J163</f>
        <v>20341.7</v>
      </c>
      <c r="E14" s="1439">
        <f>+CONSOLIDADO!E163</f>
        <v>39446.58</v>
      </c>
      <c r="F14" s="1435"/>
      <c r="G14" s="1439">
        <v>0</v>
      </c>
      <c r="H14" s="1439">
        <v>0</v>
      </c>
      <c r="I14" s="1439">
        <f>D14+E14+F14+G14+H14</f>
        <v>59788.28</v>
      </c>
      <c r="K14" s="1440"/>
    </row>
    <row r="15" spans="2:13" ht="24.95" customHeight="1" thickBot="1" x14ac:dyDescent="0.25">
      <c r="B15" s="1441" t="s">
        <v>253</v>
      </c>
      <c r="C15" s="1442" t="s">
        <v>474</v>
      </c>
      <c r="D15" s="1443">
        <f>+CONSOLIDADO!K163</f>
        <v>203692.3</v>
      </c>
      <c r="E15" s="1443">
        <f>+CONSOLIDADO!F163</f>
        <v>106960.16999999998</v>
      </c>
      <c r="F15" s="1444"/>
      <c r="G15" s="1443">
        <v>0</v>
      </c>
      <c r="H15" s="1443">
        <v>0</v>
      </c>
      <c r="I15" s="1443">
        <f>D15+E15+F15+G15+H15</f>
        <v>310652.46999999997</v>
      </c>
      <c r="K15" s="1445"/>
    </row>
    <row r="16" spans="2:13" ht="24.95" customHeight="1" x14ac:dyDescent="0.2">
      <c r="B16" s="1433" t="s">
        <v>310</v>
      </c>
      <c r="C16" s="1446" t="s">
        <v>280</v>
      </c>
      <c r="D16" s="1435">
        <f t="shared" ref="D16:I16" si="0">D17</f>
        <v>899579.79</v>
      </c>
      <c r="E16" s="1435">
        <f t="shared" si="0"/>
        <v>0</v>
      </c>
      <c r="F16" s="1435">
        <f t="shared" si="0"/>
        <v>0</v>
      </c>
      <c r="G16" s="1435">
        <f t="shared" si="0"/>
        <v>0</v>
      </c>
      <c r="H16" s="1435">
        <f t="shared" si="0"/>
        <v>0</v>
      </c>
      <c r="I16" s="1435">
        <f t="shared" si="0"/>
        <v>899579.79</v>
      </c>
    </row>
    <row r="17" spans="2:9" ht="24.95" customHeight="1" x14ac:dyDescent="0.2">
      <c r="B17" s="1433" t="s">
        <v>281</v>
      </c>
      <c r="C17" s="1434" t="s">
        <v>282</v>
      </c>
      <c r="D17" s="1435">
        <f>D18+D19</f>
        <v>899579.79</v>
      </c>
      <c r="E17" s="1435">
        <f>E18+E19</f>
        <v>0</v>
      </c>
      <c r="F17" s="1435">
        <f>F18+F19</f>
        <v>0</v>
      </c>
      <c r="G17" s="1435">
        <f>G18+G19</f>
        <v>0</v>
      </c>
      <c r="H17" s="1435">
        <f>H18+H19</f>
        <v>0</v>
      </c>
      <c r="I17" s="1435">
        <f>+I18+I19</f>
        <v>899579.79</v>
      </c>
    </row>
    <row r="18" spans="2:9" ht="24.95" customHeight="1" x14ac:dyDescent="0.2">
      <c r="B18" s="1437" t="s">
        <v>231</v>
      </c>
      <c r="C18" s="1438" t="s">
        <v>311</v>
      </c>
      <c r="D18" s="1439">
        <f>CONSOLIDADO!M163</f>
        <v>150599.71000000002</v>
      </c>
      <c r="E18" s="1439">
        <v>0</v>
      </c>
      <c r="F18" s="1439">
        <v>0</v>
      </c>
      <c r="G18" s="1439">
        <v>0</v>
      </c>
      <c r="H18" s="1439">
        <v>0</v>
      </c>
      <c r="I18" s="1439">
        <f>D18+E18+F18+G18+H18</f>
        <v>150599.71000000002</v>
      </c>
    </row>
    <row r="19" spans="2:9" ht="24.95" customHeight="1" thickBot="1" x14ac:dyDescent="0.25">
      <c r="B19" s="1441" t="s">
        <v>232</v>
      </c>
      <c r="C19" s="1442" t="s">
        <v>284</v>
      </c>
      <c r="D19" s="1443">
        <f>+CONSOLIDADO!N163+CONSOLIDADO!T163</f>
        <v>748980.08</v>
      </c>
      <c r="E19" s="1443">
        <v>0</v>
      </c>
      <c r="F19" s="1444"/>
      <c r="G19" s="1443">
        <f>+CONSOLIDADO!X163</f>
        <v>0</v>
      </c>
      <c r="H19" s="1443">
        <f>+CONSOLIDADO!AA163</f>
        <v>0</v>
      </c>
      <c r="I19" s="1443">
        <f>D19+E19+F19+G19+H19</f>
        <v>748980.08</v>
      </c>
    </row>
    <row r="20" spans="2:9" ht="24.95" customHeight="1" x14ac:dyDescent="0.2">
      <c r="B20" s="1433" t="s">
        <v>312</v>
      </c>
      <c r="C20" s="1446" t="s">
        <v>285</v>
      </c>
      <c r="D20" s="1435">
        <f>D21</f>
        <v>585710.29999999993</v>
      </c>
      <c r="E20" s="1435">
        <f t="shared" ref="E20:H21" si="1">E21</f>
        <v>0</v>
      </c>
      <c r="F20" s="1435">
        <f t="shared" si="1"/>
        <v>0</v>
      </c>
      <c r="G20" s="1435">
        <f t="shared" si="1"/>
        <v>0</v>
      </c>
      <c r="H20" s="1435">
        <f t="shared" si="1"/>
        <v>0</v>
      </c>
      <c r="I20" s="1435">
        <f>I21</f>
        <v>585710.29999999993</v>
      </c>
    </row>
    <row r="21" spans="2:9" ht="24.95" customHeight="1" x14ac:dyDescent="0.2">
      <c r="B21" s="1433" t="s">
        <v>286</v>
      </c>
      <c r="C21" s="1434" t="s">
        <v>287</v>
      </c>
      <c r="D21" s="1435">
        <f>D22+D23</f>
        <v>585710.29999999993</v>
      </c>
      <c r="E21" s="1435">
        <f t="shared" si="1"/>
        <v>0</v>
      </c>
      <c r="F21" s="1435">
        <f t="shared" si="1"/>
        <v>0</v>
      </c>
      <c r="G21" s="1435">
        <f t="shared" si="1"/>
        <v>0</v>
      </c>
      <c r="H21" s="1435">
        <f t="shared" si="1"/>
        <v>0</v>
      </c>
      <c r="I21" s="1435">
        <f>I22+I23</f>
        <v>585710.29999999993</v>
      </c>
    </row>
    <row r="22" spans="2:9" ht="21" customHeight="1" x14ac:dyDescent="0.2">
      <c r="B22" s="1437" t="s">
        <v>233</v>
      </c>
      <c r="C22" s="1438" t="s">
        <v>288</v>
      </c>
      <c r="D22" s="1439">
        <f>+CONSOLIDADO!O163+CONSOLIDADO!U163</f>
        <v>584921.98</v>
      </c>
      <c r="E22" s="1439">
        <v>0</v>
      </c>
      <c r="F22" s="1439">
        <v>0</v>
      </c>
      <c r="G22" s="1439">
        <f>CONSOLIDADO!Y163</f>
        <v>0</v>
      </c>
      <c r="H22" s="1439">
        <v>0</v>
      </c>
      <c r="I22" s="1439">
        <f>D22+E22+F22+G22+H22</f>
        <v>584921.98</v>
      </c>
    </row>
    <row r="23" spans="2:9" ht="21" customHeight="1" thickBot="1" x14ac:dyDescent="0.25">
      <c r="B23" s="1441" t="s">
        <v>449</v>
      </c>
      <c r="C23" s="1442" t="s">
        <v>470</v>
      </c>
      <c r="D23" s="1443">
        <f>CONSOLIDADO!W163</f>
        <v>788.31999999999994</v>
      </c>
      <c r="E23" s="1443">
        <v>0</v>
      </c>
      <c r="F23" s="1443">
        <v>0</v>
      </c>
      <c r="G23" s="1443">
        <v>0</v>
      </c>
      <c r="H23" s="1443">
        <v>0</v>
      </c>
      <c r="I23" s="1443">
        <f>D23+E23+F23+G23+H23</f>
        <v>788.31999999999994</v>
      </c>
    </row>
    <row r="24" spans="2:9" ht="23.25" customHeight="1" x14ac:dyDescent="0.2">
      <c r="B24" s="1433" t="s">
        <v>313</v>
      </c>
      <c r="C24" s="1434" t="s">
        <v>289</v>
      </c>
      <c r="D24" s="1435">
        <f>D25</f>
        <v>389789.79</v>
      </c>
      <c r="E24" s="1435">
        <f t="shared" ref="E24:I25" si="2">E25</f>
        <v>0</v>
      </c>
      <c r="F24" s="1435">
        <f t="shared" si="2"/>
        <v>0</v>
      </c>
      <c r="G24" s="1435">
        <f t="shared" si="2"/>
        <v>0</v>
      </c>
      <c r="H24" s="1435">
        <f t="shared" si="2"/>
        <v>0</v>
      </c>
      <c r="I24" s="1435">
        <f t="shared" si="2"/>
        <v>389789.79</v>
      </c>
    </row>
    <row r="25" spans="2:9" ht="24.95" customHeight="1" x14ac:dyDescent="0.2">
      <c r="B25" s="1433" t="s">
        <v>290</v>
      </c>
      <c r="C25" s="1434" t="s">
        <v>291</v>
      </c>
      <c r="D25" s="1435">
        <f>D26+D27+D28</f>
        <v>389789.79</v>
      </c>
      <c r="E25" s="1435">
        <f t="shared" si="2"/>
        <v>0</v>
      </c>
      <c r="F25" s="1435">
        <f t="shared" si="2"/>
        <v>0</v>
      </c>
      <c r="G25" s="1435">
        <f t="shared" si="2"/>
        <v>0</v>
      </c>
      <c r="H25" s="1435">
        <f t="shared" si="2"/>
        <v>0</v>
      </c>
      <c r="I25" s="1435">
        <f>I26+I27+I28</f>
        <v>389789.79</v>
      </c>
    </row>
    <row r="26" spans="2:9" ht="24.95" customHeight="1" x14ac:dyDescent="0.2">
      <c r="B26" s="1437" t="s">
        <v>234</v>
      </c>
      <c r="C26" s="1438" t="s">
        <v>292</v>
      </c>
      <c r="D26" s="1439">
        <f>RESUMEN2!F25</f>
        <v>321951.68999999994</v>
      </c>
      <c r="E26" s="1439">
        <v>0</v>
      </c>
      <c r="F26" s="1439">
        <v>0</v>
      </c>
      <c r="G26" s="1439">
        <v>0</v>
      </c>
      <c r="H26" s="1439">
        <v>0</v>
      </c>
      <c r="I26" s="1439">
        <f>D26+E26+F26+G26+H26</f>
        <v>321951.68999999994</v>
      </c>
    </row>
    <row r="27" spans="2:9" ht="24.95" customHeight="1" x14ac:dyDescent="0.2">
      <c r="B27" s="1437" t="s">
        <v>619</v>
      </c>
      <c r="C27" s="1438" t="s">
        <v>624</v>
      </c>
      <c r="D27" s="1439">
        <f>RESUMEN2!F26</f>
        <v>63199.569999999992</v>
      </c>
      <c r="E27" s="1439">
        <v>0</v>
      </c>
      <c r="F27" s="1439">
        <v>0</v>
      </c>
      <c r="G27" s="1439">
        <v>0</v>
      </c>
      <c r="H27" s="1439">
        <v>0</v>
      </c>
      <c r="I27" s="1439">
        <f>D27+E27+F27+G27+H27</f>
        <v>63199.569999999992</v>
      </c>
    </row>
    <row r="28" spans="2:9" ht="24.95" customHeight="1" thickBot="1" x14ac:dyDescent="0.25">
      <c r="B28" s="1441" t="s">
        <v>458</v>
      </c>
      <c r="C28" s="1438" t="s">
        <v>471</v>
      </c>
      <c r="D28" s="1439">
        <f>+CONSOLIDADO!R163</f>
        <v>4638.53</v>
      </c>
      <c r="E28" s="1439">
        <v>0</v>
      </c>
      <c r="F28" s="1439">
        <v>0</v>
      </c>
      <c r="G28" s="1439">
        <v>0</v>
      </c>
      <c r="H28" s="1439">
        <v>0</v>
      </c>
      <c r="I28" s="1439">
        <f>D28+E28+F28+G28+H28</f>
        <v>4638.53</v>
      </c>
    </row>
    <row r="29" spans="2:9" ht="21" customHeight="1" thickBot="1" x14ac:dyDescent="0.25">
      <c r="B29" s="1447" t="s">
        <v>314</v>
      </c>
      <c r="C29" s="1448"/>
      <c r="D29" s="1449">
        <f>D9+D16+D20+D24</f>
        <v>2287615.38</v>
      </c>
      <c r="E29" s="1449">
        <f>E9+E16+E20+E24</f>
        <v>405988.53</v>
      </c>
      <c r="F29" s="1449"/>
      <c r="G29" s="1449">
        <f>G9+G16+G20+G24</f>
        <v>0</v>
      </c>
      <c r="H29" s="1449"/>
      <c r="I29" s="1449">
        <f>I9+I16+I20+I24</f>
        <v>2693603.91</v>
      </c>
    </row>
    <row r="31" spans="2:9" x14ac:dyDescent="0.2">
      <c r="I31" s="1451"/>
    </row>
    <row r="32" spans="2:9" x14ac:dyDescent="0.2">
      <c r="G32" s="1451"/>
    </row>
    <row r="33" spans="9:9" x14ac:dyDescent="0.2">
      <c r="I33" s="1451"/>
    </row>
    <row r="35" spans="9:9" x14ac:dyDescent="0.2">
      <c r="I35" s="1452"/>
    </row>
  </sheetData>
  <mergeCells count="14">
    <mergeCell ref="B1:I1"/>
    <mergeCell ref="B2:I2"/>
    <mergeCell ref="B3:I3"/>
    <mergeCell ref="B4:I4"/>
    <mergeCell ref="B29:C29"/>
    <mergeCell ref="B7:B8"/>
    <mergeCell ref="B5:I5"/>
    <mergeCell ref="C7:C8"/>
    <mergeCell ref="D7:D8"/>
    <mergeCell ref="E7:E8"/>
    <mergeCell ref="F7:F8"/>
    <mergeCell ref="G7:G8"/>
    <mergeCell ref="H7:H8"/>
    <mergeCell ref="I7:I8"/>
  </mergeCells>
  <phoneticPr fontId="0" type="noConversion"/>
  <pageMargins left="0.35433070866141736" right="0.35433070866141736" top="0.74803149606299213" bottom="0.27559055118110237" header="0.15748031496062992" footer="0"/>
  <pageSetup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3:F21"/>
  <sheetViews>
    <sheetView workbookViewId="0">
      <selection activeCell="J26" sqref="J26"/>
    </sheetView>
  </sheetViews>
  <sheetFormatPr baseColWidth="10" defaultRowHeight="12.75" x14ac:dyDescent="0.2"/>
  <cols>
    <col min="4" max="5" width="14" style="19" customWidth="1"/>
  </cols>
  <sheetData>
    <row r="3" spans="2:6" x14ac:dyDescent="0.2">
      <c r="D3" s="517" t="s">
        <v>655</v>
      </c>
      <c r="E3" s="517" t="s">
        <v>485</v>
      </c>
    </row>
    <row r="4" spans="2:6" x14ac:dyDescent="0.2">
      <c r="B4" s="242" t="s">
        <v>656</v>
      </c>
      <c r="C4" s="242" t="s">
        <v>657</v>
      </c>
      <c r="D4" s="19">
        <f>729.54/4</f>
        <v>182.38499999999999</v>
      </c>
      <c r="E4" s="19">
        <f>+D4*4</f>
        <v>729.54</v>
      </c>
    </row>
    <row r="5" spans="2:6" x14ac:dyDescent="0.2">
      <c r="B5" s="242" t="s">
        <v>656</v>
      </c>
      <c r="C5" s="242" t="s">
        <v>654</v>
      </c>
      <c r="D5" s="19">
        <f>566.48/4</f>
        <v>141.62</v>
      </c>
      <c r="E5" s="19">
        <f>+D5*4</f>
        <v>566.48</v>
      </c>
    </row>
    <row r="7" spans="2:6" x14ac:dyDescent="0.2">
      <c r="D7" s="517" t="s">
        <v>658</v>
      </c>
    </row>
    <row r="8" spans="2:6" x14ac:dyDescent="0.2">
      <c r="B8" s="242" t="s">
        <v>656</v>
      </c>
      <c r="C8" s="242">
        <v>9986</v>
      </c>
      <c r="D8" s="19">
        <f>1550.78/12</f>
        <v>129.23166666666665</v>
      </c>
      <c r="E8" s="19">
        <f>+D8*12</f>
        <v>1550.7799999999997</v>
      </c>
    </row>
    <row r="11" spans="2:6" x14ac:dyDescent="0.2">
      <c r="D11" s="429" t="s">
        <v>655</v>
      </c>
      <c r="E11" s="429" t="s">
        <v>485</v>
      </c>
    </row>
    <row r="12" spans="2:6" x14ac:dyDescent="0.2">
      <c r="B12" s="242" t="s">
        <v>660</v>
      </c>
      <c r="D12" s="19">
        <f>1063.34/4</f>
        <v>265.83499999999998</v>
      </c>
      <c r="E12" s="19">
        <f>D12*4</f>
        <v>1063.3399999999999</v>
      </c>
      <c r="F12" s="1">
        <f>+E4+E5+E8+E12/2</f>
        <v>3378.47</v>
      </c>
    </row>
    <row r="16" spans="2:6" x14ac:dyDescent="0.2">
      <c r="D16" s="517" t="s">
        <v>655</v>
      </c>
      <c r="E16" s="517" t="s">
        <v>485</v>
      </c>
    </row>
    <row r="17" spans="2:6" x14ac:dyDescent="0.2">
      <c r="B17" s="242" t="s">
        <v>659</v>
      </c>
      <c r="C17" s="242"/>
      <c r="D17" s="19">
        <f>169.5/4</f>
        <v>42.375</v>
      </c>
      <c r="E17" s="19">
        <f>+D17*4</f>
        <v>169.5</v>
      </c>
      <c r="F17" s="1">
        <f>E17/2</f>
        <v>84.75</v>
      </c>
    </row>
    <row r="21" spans="2:6" x14ac:dyDescent="0.2">
      <c r="E21" s="19">
        <f>+E4+E5+E8+E12+E17</f>
        <v>4079.6399999999994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8" tint="0.39997558519241921"/>
  </sheetPr>
  <dimension ref="A1:M80"/>
  <sheetViews>
    <sheetView showGridLines="0" zoomScale="95" zoomScaleNormal="9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43" sqref="E43"/>
    </sheetView>
  </sheetViews>
  <sheetFormatPr baseColWidth="10" defaultRowHeight="12.75" x14ac:dyDescent="0.2"/>
  <cols>
    <col min="1" max="1" width="9.140625" style="648" customWidth="1"/>
    <col min="2" max="2" width="50.85546875" style="648" customWidth="1"/>
    <col min="3" max="3" width="15" style="648" customWidth="1"/>
    <col min="4" max="4" width="16.140625" style="648" customWidth="1"/>
    <col min="5" max="5" width="15.5703125" style="648" customWidth="1"/>
    <col min="6" max="6" width="13.5703125" style="648" customWidth="1"/>
    <col min="7" max="7" width="17.28515625" style="648" customWidth="1"/>
    <col min="8" max="8" width="16" style="648" customWidth="1"/>
    <col min="9" max="9" width="14.7109375" style="648" customWidth="1"/>
    <col min="10" max="10" width="12.5703125" style="648" customWidth="1"/>
    <col min="11" max="11" width="16" style="648" customWidth="1"/>
    <col min="12" max="12" width="11.42578125" style="7"/>
    <col min="13" max="13" width="12.85546875" style="7" bestFit="1" customWidth="1"/>
    <col min="14" max="16384" width="11.42578125" style="7"/>
  </cols>
  <sheetData>
    <row r="1" spans="1:11" ht="12.75" customHeight="1" x14ac:dyDescent="0.2">
      <c r="A1" s="1167" t="s">
        <v>743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</row>
    <row r="2" spans="1:11" x14ac:dyDescent="0.2">
      <c r="A2" s="1167"/>
      <c r="B2" s="1167"/>
      <c r="C2" s="1167"/>
      <c r="D2" s="1167"/>
      <c r="E2" s="1167"/>
      <c r="F2" s="1167"/>
      <c r="G2" s="1167"/>
      <c r="H2" s="1167"/>
      <c r="I2" s="1167"/>
      <c r="J2" s="1167"/>
      <c r="K2" s="1167"/>
    </row>
    <row r="3" spans="1:11" x14ac:dyDescent="0.2">
      <c r="A3" s="1167"/>
      <c r="B3" s="1167"/>
      <c r="C3" s="1167"/>
      <c r="D3" s="1167"/>
      <c r="E3" s="1167"/>
      <c r="F3" s="1167"/>
      <c r="G3" s="1167"/>
      <c r="H3" s="1167"/>
      <c r="I3" s="1167"/>
      <c r="J3" s="1167"/>
      <c r="K3" s="1167"/>
    </row>
    <row r="4" spans="1:11" ht="3.75" customHeight="1" thickBot="1" x14ac:dyDescent="0.25">
      <c r="A4" s="598"/>
      <c r="B4" s="598"/>
      <c r="C4" s="967"/>
      <c r="D4" s="967"/>
      <c r="E4" s="967"/>
      <c r="F4" s="967"/>
      <c r="G4" s="967"/>
      <c r="H4" s="967"/>
      <c r="I4" s="967"/>
      <c r="J4" s="598"/>
      <c r="K4" s="598"/>
    </row>
    <row r="5" spans="1:11" ht="26.25" customHeight="1" x14ac:dyDescent="0.2">
      <c r="A5" s="1191" t="s">
        <v>550</v>
      </c>
      <c r="B5" s="1194" t="s">
        <v>103</v>
      </c>
      <c r="C5" s="1174" t="s">
        <v>551</v>
      </c>
      <c r="D5" s="1175"/>
      <c r="E5" s="1175"/>
      <c r="F5" s="1175"/>
      <c r="G5" s="1176"/>
      <c r="H5" s="1171" t="s">
        <v>298</v>
      </c>
      <c r="I5" s="1183" t="s">
        <v>465</v>
      </c>
      <c r="J5" s="1188" t="s">
        <v>300</v>
      </c>
      <c r="K5" s="1168" t="s">
        <v>25</v>
      </c>
    </row>
    <row r="6" spans="1:11" x14ac:dyDescent="0.2">
      <c r="A6" s="1192"/>
      <c r="B6" s="1195"/>
      <c r="C6" s="1179" t="s">
        <v>0</v>
      </c>
      <c r="D6" s="1180"/>
      <c r="E6" s="977"/>
      <c r="F6" s="1181" t="s">
        <v>432</v>
      </c>
      <c r="G6" s="1177" t="s">
        <v>553</v>
      </c>
      <c r="H6" s="1172"/>
      <c r="I6" s="1184"/>
      <c r="J6" s="1189"/>
      <c r="K6" s="1169"/>
    </row>
    <row r="7" spans="1:11" ht="21.75" customHeight="1" thickBot="1" x14ac:dyDescent="0.25">
      <c r="A7" s="1193"/>
      <c r="B7" s="1196"/>
      <c r="C7" s="976" t="s">
        <v>552</v>
      </c>
      <c r="D7" s="978" t="s">
        <v>729</v>
      </c>
      <c r="E7" s="978" t="s">
        <v>730</v>
      </c>
      <c r="F7" s="1182"/>
      <c r="G7" s="1178"/>
      <c r="H7" s="1173"/>
      <c r="I7" s="1185"/>
      <c r="J7" s="1190"/>
      <c r="K7" s="1170"/>
    </row>
    <row r="8" spans="1:11" x14ac:dyDescent="0.2">
      <c r="A8" s="599">
        <v>11</v>
      </c>
      <c r="B8" s="600" t="s">
        <v>335</v>
      </c>
      <c r="C8" s="601">
        <f>C9</f>
        <v>0</v>
      </c>
      <c r="D8" s="602">
        <f>D9</f>
        <v>0</v>
      </c>
      <c r="E8" s="602">
        <f>E9</f>
        <v>0</v>
      </c>
      <c r="F8" s="602">
        <f>F9</f>
        <v>0</v>
      </c>
      <c r="G8" s="603">
        <v>0</v>
      </c>
      <c r="H8" s="604">
        <f>H9</f>
        <v>24008.46</v>
      </c>
      <c r="I8" s="605">
        <f>I9</f>
        <v>0</v>
      </c>
      <c r="J8" s="606">
        <f>J9</f>
        <v>0</v>
      </c>
      <c r="K8" s="607">
        <f>J8+H8</f>
        <v>24008.46</v>
      </c>
    </row>
    <row r="9" spans="1:11" x14ac:dyDescent="0.2">
      <c r="A9" s="608">
        <v>118</v>
      </c>
      <c r="B9" s="609" t="s">
        <v>336</v>
      </c>
      <c r="C9" s="610">
        <f>SUM(C10:C17)</f>
        <v>0</v>
      </c>
      <c r="D9" s="611">
        <f>SUM(D10:D17)</f>
        <v>0</v>
      </c>
      <c r="E9" s="611">
        <f>SUM(E10:E17)</f>
        <v>0</v>
      </c>
      <c r="F9" s="611">
        <f>SUM(F10:F17)</f>
        <v>0</v>
      </c>
      <c r="G9" s="612">
        <v>0</v>
      </c>
      <c r="H9" s="613">
        <f>SUM(H10:H17)</f>
        <v>24008.46</v>
      </c>
      <c r="I9" s="614">
        <f>SUM(I10:I17)</f>
        <v>0</v>
      </c>
      <c r="J9" s="615">
        <f>SUM(J10:J17)</f>
        <v>0</v>
      </c>
      <c r="K9" s="616">
        <f>+J9+H9</f>
        <v>24008.46</v>
      </c>
    </row>
    <row r="10" spans="1:11" x14ac:dyDescent="0.2">
      <c r="A10" s="617">
        <v>11801</v>
      </c>
      <c r="B10" s="618" t="s">
        <v>511</v>
      </c>
      <c r="C10" s="619">
        <v>0</v>
      </c>
      <c r="D10" s="620">
        <v>0</v>
      </c>
      <c r="E10" s="620">
        <v>0</v>
      </c>
      <c r="F10" s="620">
        <v>0</v>
      </c>
      <c r="G10" s="612">
        <v>0</v>
      </c>
      <c r="H10" s="972">
        <f>631.63*12</f>
        <v>7579.5599999999995</v>
      </c>
      <c r="I10" s="621">
        <v>0</v>
      </c>
      <c r="J10" s="622">
        <v>0</v>
      </c>
      <c r="K10" s="623">
        <f t="shared" ref="K10:K17" si="0">J10+H10</f>
        <v>7579.5599999999995</v>
      </c>
    </row>
    <row r="11" spans="1:11" x14ac:dyDescent="0.2">
      <c r="A11" s="617">
        <v>11802</v>
      </c>
      <c r="B11" s="618" t="s">
        <v>512</v>
      </c>
      <c r="C11" s="619">
        <v>0</v>
      </c>
      <c r="D11" s="620">
        <v>0</v>
      </c>
      <c r="E11" s="620">
        <v>0</v>
      </c>
      <c r="F11" s="620">
        <v>0</v>
      </c>
      <c r="G11" s="612">
        <v>0</v>
      </c>
      <c r="H11" s="972">
        <f>182.21*12</f>
        <v>2186.52</v>
      </c>
      <c r="I11" s="621">
        <v>0</v>
      </c>
      <c r="J11" s="622">
        <v>0</v>
      </c>
      <c r="K11" s="623">
        <f t="shared" si="0"/>
        <v>2186.52</v>
      </c>
    </row>
    <row r="12" spans="1:11" x14ac:dyDescent="0.2">
      <c r="A12" s="617">
        <v>11804</v>
      </c>
      <c r="B12" s="618" t="s">
        <v>513</v>
      </c>
      <c r="C12" s="619">
        <v>0</v>
      </c>
      <c r="D12" s="620">
        <v>0</v>
      </c>
      <c r="E12" s="620">
        <v>0</v>
      </c>
      <c r="F12" s="620">
        <v>0</v>
      </c>
      <c r="G12" s="612">
        <v>0</v>
      </c>
      <c r="H12" s="972">
        <f>898.9*12</f>
        <v>10786.8</v>
      </c>
      <c r="I12" s="621">
        <v>0</v>
      </c>
      <c r="J12" s="622">
        <v>0</v>
      </c>
      <c r="K12" s="623">
        <f t="shared" si="0"/>
        <v>10786.8</v>
      </c>
    </row>
    <row r="13" spans="1:11" x14ac:dyDescent="0.2">
      <c r="A13" s="617">
        <v>11812</v>
      </c>
      <c r="B13" s="624" t="s">
        <v>514</v>
      </c>
      <c r="C13" s="619">
        <v>0</v>
      </c>
      <c r="D13" s="620">
        <v>0</v>
      </c>
      <c r="E13" s="620">
        <v>0</v>
      </c>
      <c r="F13" s="620">
        <v>0</v>
      </c>
      <c r="G13" s="612">
        <v>0</v>
      </c>
      <c r="H13" s="972">
        <f>25.74*12</f>
        <v>308.88</v>
      </c>
      <c r="I13" s="621">
        <v>0</v>
      </c>
      <c r="J13" s="622">
        <v>0</v>
      </c>
      <c r="K13" s="623">
        <f t="shared" si="0"/>
        <v>308.88</v>
      </c>
    </row>
    <row r="14" spans="1:11" x14ac:dyDescent="0.2">
      <c r="A14" s="617">
        <v>11813</v>
      </c>
      <c r="B14" s="624" t="s">
        <v>626</v>
      </c>
      <c r="C14" s="619">
        <v>0</v>
      </c>
      <c r="D14" s="620">
        <v>0</v>
      </c>
      <c r="E14" s="620">
        <v>0</v>
      </c>
      <c r="F14" s="620">
        <v>0</v>
      </c>
      <c r="G14" s="612">
        <v>0</v>
      </c>
      <c r="H14" s="972">
        <f>6.86*12</f>
        <v>82.320000000000007</v>
      </c>
      <c r="I14" s="621">
        <v>0</v>
      </c>
      <c r="J14" s="622">
        <v>0</v>
      </c>
      <c r="K14" s="623">
        <f t="shared" si="0"/>
        <v>82.320000000000007</v>
      </c>
    </row>
    <row r="15" spans="1:11" x14ac:dyDescent="0.2">
      <c r="A15" s="617">
        <v>11816</v>
      </c>
      <c r="B15" s="618" t="s">
        <v>515</v>
      </c>
      <c r="C15" s="619">
        <v>0</v>
      </c>
      <c r="D15" s="620">
        <v>0</v>
      </c>
      <c r="E15" s="620">
        <v>0</v>
      </c>
      <c r="F15" s="620">
        <v>0</v>
      </c>
      <c r="G15" s="612">
        <v>0</v>
      </c>
      <c r="H15" s="972">
        <f>126.74*12</f>
        <v>1520.8799999999999</v>
      </c>
      <c r="I15" s="621">
        <v>0</v>
      </c>
      <c r="J15" s="622">
        <v>0</v>
      </c>
      <c r="K15" s="623">
        <f t="shared" si="0"/>
        <v>1520.8799999999999</v>
      </c>
    </row>
    <row r="16" spans="1:11" x14ac:dyDescent="0.2">
      <c r="A16" s="617">
        <v>11818</v>
      </c>
      <c r="B16" s="618" t="s">
        <v>516</v>
      </c>
      <c r="C16" s="619">
        <v>0</v>
      </c>
      <c r="D16" s="620">
        <v>0</v>
      </c>
      <c r="E16" s="620">
        <v>0</v>
      </c>
      <c r="F16" s="620">
        <v>0</v>
      </c>
      <c r="G16" s="612">
        <v>0</v>
      </c>
      <c r="H16" s="625">
        <f>450*3.43</f>
        <v>1543.5</v>
      </c>
      <c r="I16" s="621">
        <v>0</v>
      </c>
      <c r="J16" s="622">
        <v>0</v>
      </c>
      <c r="K16" s="623">
        <f t="shared" si="0"/>
        <v>1543.5</v>
      </c>
    </row>
    <row r="17" spans="1:11" hidden="1" x14ac:dyDescent="0.2">
      <c r="A17" s="617">
        <v>11899</v>
      </c>
      <c r="B17" s="618" t="s">
        <v>517</v>
      </c>
      <c r="C17" s="619"/>
      <c r="D17" s="620"/>
      <c r="E17" s="620"/>
      <c r="F17" s="620"/>
      <c r="G17" s="612"/>
      <c r="H17" s="625"/>
      <c r="I17" s="621"/>
      <c r="J17" s="622"/>
      <c r="K17" s="623">
        <f t="shared" si="0"/>
        <v>0</v>
      </c>
    </row>
    <row r="18" spans="1:11" x14ac:dyDescent="0.2">
      <c r="A18" s="608">
        <v>12</v>
      </c>
      <c r="B18" s="609" t="s">
        <v>6</v>
      </c>
      <c r="C18" s="610">
        <f>C19+C32</f>
        <v>0</v>
      </c>
      <c r="D18" s="611">
        <f>D19+D32</f>
        <v>0</v>
      </c>
      <c r="E18" s="611">
        <f>E19+E32</f>
        <v>0</v>
      </c>
      <c r="F18" s="611">
        <f>F19+F32</f>
        <v>0</v>
      </c>
      <c r="G18" s="626">
        <v>0</v>
      </c>
      <c r="H18" s="613">
        <f>+H19+H32</f>
        <v>110585.94</v>
      </c>
      <c r="I18" s="614">
        <f>I19+I32</f>
        <v>0</v>
      </c>
      <c r="J18" s="615">
        <f>J19+J32</f>
        <v>0</v>
      </c>
      <c r="K18" s="616">
        <f>+J18+H18</f>
        <v>110585.94</v>
      </c>
    </row>
    <row r="19" spans="1:11" x14ac:dyDescent="0.2">
      <c r="A19" s="608">
        <v>121</v>
      </c>
      <c r="B19" s="609" t="s">
        <v>337</v>
      </c>
      <c r="C19" s="610">
        <f>SUM(C22:C30)</f>
        <v>0</v>
      </c>
      <c r="D19" s="611">
        <f>SUM(D22:D30)</f>
        <v>0</v>
      </c>
      <c r="E19" s="611">
        <f>SUM(E22:E30)</f>
        <v>0</v>
      </c>
      <c r="F19" s="611">
        <f>SUM(F22:F30)</f>
        <v>0</v>
      </c>
      <c r="G19" s="626">
        <v>0</v>
      </c>
      <c r="H19" s="613">
        <f>SUM(H20:H31)</f>
        <v>110484.94</v>
      </c>
      <c r="I19" s="614">
        <f>SUM(I22:I30)</f>
        <v>0</v>
      </c>
      <c r="J19" s="615">
        <f>SUM(J22:J30)</f>
        <v>0</v>
      </c>
      <c r="K19" s="616">
        <f t="shared" ref="K19:K46" si="1">J19+H19</f>
        <v>110484.94</v>
      </c>
    </row>
    <row r="20" spans="1:11" x14ac:dyDescent="0.2">
      <c r="A20" s="617">
        <v>12105</v>
      </c>
      <c r="B20" s="618" t="s">
        <v>518</v>
      </c>
      <c r="C20" s="619">
        <v>0</v>
      </c>
      <c r="D20" s="620">
        <v>0</v>
      </c>
      <c r="E20" s="620">
        <v>0</v>
      </c>
      <c r="F20" s="620">
        <v>0</v>
      </c>
      <c r="G20" s="612">
        <v>0</v>
      </c>
      <c r="H20" s="625">
        <v>9500</v>
      </c>
      <c r="I20" s="621">
        <v>0</v>
      </c>
      <c r="J20" s="622">
        <v>0</v>
      </c>
      <c r="K20" s="623">
        <f t="shared" si="1"/>
        <v>9500</v>
      </c>
    </row>
    <row r="21" spans="1:11" x14ac:dyDescent="0.2">
      <c r="A21" s="617">
        <v>12106</v>
      </c>
      <c r="B21" s="618" t="s">
        <v>519</v>
      </c>
      <c r="C21" s="619">
        <v>0</v>
      </c>
      <c r="D21" s="620">
        <v>0</v>
      </c>
      <c r="E21" s="620">
        <v>0</v>
      </c>
      <c r="F21" s="620">
        <v>0</v>
      </c>
      <c r="G21" s="612">
        <v>0</v>
      </c>
      <c r="H21" s="625">
        <v>250</v>
      </c>
      <c r="I21" s="621">
        <v>0</v>
      </c>
      <c r="J21" s="622">
        <v>0</v>
      </c>
      <c r="K21" s="623">
        <f t="shared" si="1"/>
        <v>250</v>
      </c>
    </row>
    <row r="22" spans="1:11" x14ac:dyDescent="0.2">
      <c r="A22" s="617">
        <v>12108</v>
      </c>
      <c r="B22" s="618" t="s">
        <v>520</v>
      </c>
      <c r="C22" s="619">
        <v>0</v>
      </c>
      <c r="D22" s="620">
        <v>0</v>
      </c>
      <c r="E22" s="620">
        <v>0</v>
      </c>
      <c r="F22" s="620">
        <v>0</v>
      </c>
      <c r="G22" s="612">
        <v>0</v>
      </c>
      <c r="H22" s="972">
        <f>145.19*12</f>
        <v>1742.28</v>
      </c>
      <c r="I22" s="621">
        <v>0</v>
      </c>
      <c r="J22" s="622">
        <v>0</v>
      </c>
      <c r="K22" s="623">
        <f t="shared" si="1"/>
        <v>1742.28</v>
      </c>
    </row>
    <row r="23" spans="1:11" x14ac:dyDescent="0.2">
      <c r="A23" s="617">
        <v>12109</v>
      </c>
      <c r="B23" s="618" t="s">
        <v>521</v>
      </c>
      <c r="C23" s="619">
        <v>0</v>
      </c>
      <c r="D23" s="620">
        <v>0</v>
      </c>
      <c r="E23" s="620">
        <v>0</v>
      </c>
      <c r="F23" s="620">
        <v>0</v>
      </c>
      <c r="G23" s="612">
        <v>0</v>
      </c>
      <c r="H23" s="972">
        <f>638.1*12</f>
        <v>7657.2000000000007</v>
      </c>
      <c r="I23" s="621">
        <v>0</v>
      </c>
      <c r="J23" s="622">
        <v>0</v>
      </c>
      <c r="K23" s="623">
        <f t="shared" si="1"/>
        <v>7657.2000000000007</v>
      </c>
    </row>
    <row r="24" spans="1:11" hidden="1" x14ac:dyDescent="0.2">
      <c r="A24" s="617">
        <v>12110</v>
      </c>
      <c r="B24" s="618" t="s">
        <v>522</v>
      </c>
      <c r="C24" s="619">
        <v>0</v>
      </c>
      <c r="D24" s="620">
        <v>0</v>
      </c>
      <c r="E24" s="620">
        <v>0</v>
      </c>
      <c r="F24" s="620">
        <v>0</v>
      </c>
      <c r="G24" s="612">
        <v>0</v>
      </c>
      <c r="H24" s="625"/>
      <c r="I24" s="621">
        <v>0</v>
      </c>
      <c r="J24" s="622">
        <v>0</v>
      </c>
      <c r="K24" s="623">
        <f t="shared" si="1"/>
        <v>0</v>
      </c>
    </row>
    <row r="25" spans="1:11" x14ac:dyDescent="0.2">
      <c r="A25" s="617">
        <v>12111</v>
      </c>
      <c r="B25" s="618" t="s">
        <v>523</v>
      </c>
      <c r="C25" s="619">
        <v>0</v>
      </c>
      <c r="D25" s="620">
        <v>0</v>
      </c>
      <c r="E25" s="620">
        <v>0</v>
      </c>
      <c r="F25" s="620">
        <v>0</v>
      </c>
      <c r="G25" s="612">
        <v>0</v>
      </c>
      <c r="H25" s="972">
        <v>1500</v>
      </c>
      <c r="I25" s="621">
        <v>0</v>
      </c>
      <c r="J25" s="622">
        <v>0</v>
      </c>
      <c r="K25" s="623">
        <f t="shared" si="1"/>
        <v>1500</v>
      </c>
    </row>
    <row r="26" spans="1:11" x14ac:dyDescent="0.2">
      <c r="A26" s="617">
        <v>12114</v>
      </c>
      <c r="B26" s="618" t="s">
        <v>524</v>
      </c>
      <c r="C26" s="619">
        <v>0</v>
      </c>
      <c r="D26" s="620">
        <v>0</v>
      </c>
      <c r="E26" s="620">
        <v>0</v>
      </c>
      <c r="F26" s="620">
        <v>0</v>
      </c>
      <c r="G26" s="612">
        <v>0</v>
      </c>
      <c r="H26" s="625">
        <f>ROUND(((H10+H11+H12+H13+H15+H20+H21+H22+H23+H25+H28+H29+H30+H31+H33+H34+H37+H38+H49)*5%),2)</f>
        <v>14906.58</v>
      </c>
      <c r="I26" s="621">
        <v>0</v>
      </c>
      <c r="J26" s="622">
        <v>0</v>
      </c>
      <c r="K26" s="623">
        <f t="shared" si="1"/>
        <v>14906.58</v>
      </c>
    </row>
    <row r="27" spans="1:11" hidden="1" x14ac:dyDescent="0.2">
      <c r="A27" s="617">
        <v>12115</v>
      </c>
      <c r="B27" s="618" t="s">
        <v>525</v>
      </c>
      <c r="C27" s="619">
        <v>0</v>
      </c>
      <c r="D27" s="620">
        <v>0</v>
      </c>
      <c r="E27" s="620">
        <v>0</v>
      </c>
      <c r="F27" s="620">
        <v>0</v>
      </c>
      <c r="G27" s="612">
        <v>0</v>
      </c>
      <c r="H27" s="625">
        <v>0</v>
      </c>
      <c r="I27" s="621">
        <v>0</v>
      </c>
      <c r="J27" s="622">
        <v>0</v>
      </c>
      <c r="K27" s="623">
        <f t="shared" si="1"/>
        <v>0</v>
      </c>
    </row>
    <row r="28" spans="1:11" x14ac:dyDescent="0.2">
      <c r="A28" s="617">
        <v>12117</v>
      </c>
      <c r="B28" s="618" t="s">
        <v>526</v>
      </c>
      <c r="C28" s="619">
        <v>0</v>
      </c>
      <c r="D28" s="620">
        <v>0</v>
      </c>
      <c r="E28" s="620">
        <v>0</v>
      </c>
      <c r="F28" s="620">
        <v>0</v>
      </c>
      <c r="G28" s="612">
        <v>0</v>
      </c>
      <c r="H28" s="972">
        <f>31.02*12</f>
        <v>372.24</v>
      </c>
      <c r="I28" s="621">
        <v>0</v>
      </c>
      <c r="J28" s="622">
        <v>0</v>
      </c>
      <c r="K28" s="623">
        <f t="shared" si="1"/>
        <v>372.24</v>
      </c>
    </row>
    <row r="29" spans="1:11" x14ac:dyDescent="0.2">
      <c r="A29" s="617">
        <v>12118</v>
      </c>
      <c r="B29" s="618" t="s">
        <v>527</v>
      </c>
      <c r="C29" s="619">
        <v>0</v>
      </c>
      <c r="D29" s="620">
        <v>0</v>
      </c>
      <c r="E29" s="620">
        <v>0</v>
      </c>
      <c r="F29" s="620">
        <v>0</v>
      </c>
      <c r="G29" s="612">
        <v>0</v>
      </c>
      <c r="H29" s="972">
        <f>5962.22*12</f>
        <v>71546.64</v>
      </c>
      <c r="I29" s="621">
        <v>0</v>
      </c>
      <c r="J29" s="622">
        <v>0</v>
      </c>
      <c r="K29" s="623">
        <f t="shared" si="1"/>
        <v>71546.64</v>
      </c>
    </row>
    <row r="30" spans="1:11" x14ac:dyDescent="0.2">
      <c r="A30" s="617">
        <v>12119</v>
      </c>
      <c r="B30" s="618" t="s">
        <v>528</v>
      </c>
      <c r="C30" s="619">
        <v>0</v>
      </c>
      <c r="D30" s="620">
        <v>0</v>
      </c>
      <c r="E30" s="620">
        <v>0</v>
      </c>
      <c r="F30" s="620">
        <v>0</v>
      </c>
      <c r="G30" s="612">
        <v>0</v>
      </c>
      <c r="H30" s="973">
        <v>10</v>
      </c>
      <c r="I30" s="621">
        <v>0</v>
      </c>
      <c r="J30" s="622">
        <v>0</v>
      </c>
      <c r="K30" s="623">
        <f t="shared" si="1"/>
        <v>10</v>
      </c>
    </row>
    <row r="31" spans="1:11" x14ac:dyDescent="0.2">
      <c r="A31" s="617">
        <v>12199</v>
      </c>
      <c r="B31" s="618" t="s">
        <v>529</v>
      </c>
      <c r="C31" s="619">
        <v>0</v>
      </c>
      <c r="D31" s="620">
        <v>0</v>
      </c>
      <c r="E31" s="620">
        <v>0</v>
      </c>
      <c r="F31" s="620">
        <v>0</v>
      </c>
      <c r="G31" s="612">
        <v>0</v>
      </c>
      <c r="H31" s="972">
        <v>3000</v>
      </c>
      <c r="I31" s="621">
        <v>0</v>
      </c>
      <c r="J31" s="622">
        <v>0</v>
      </c>
      <c r="K31" s="623">
        <f t="shared" si="1"/>
        <v>3000</v>
      </c>
    </row>
    <row r="32" spans="1:11" x14ac:dyDescent="0.2">
      <c r="A32" s="608">
        <v>122</v>
      </c>
      <c r="B32" s="609" t="s">
        <v>338</v>
      </c>
      <c r="C32" s="610">
        <f>SUM(C33:C34)</f>
        <v>0</v>
      </c>
      <c r="D32" s="611">
        <f>SUM(D33:D34)</f>
        <v>0</v>
      </c>
      <c r="E32" s="611">
        <f>SUM(E33:E34)</f>
        <v>0</v>
      </c>
      <c r="F32" s="611">
        <f>SUM(F33:F34)</f>
        <v>0</v>
      </c>
      <c r="G32" s="626">
        <v>0</v>
      </c>
      <c r="H32" s="613">
        <f>SUM(H33:H34)</f>
        <v>101</v>
      </c>
      <c r="I32" s="614">
        <f>SUM(I33:I34)</f>
        <v>0</v>
      </c>
      <c r="J32" s="615">
        <f>SUM(J33:J34)</f>
        <v>0</v>
      </c>
      <c r="K32" s="616">
        <f t="shared" si="1"/>
        <v>101</v>
      </c>
    </row>
    <row r="33" spans="1:11" x14ac:dyDescent="0.2">
      <c r="A33" s="617">
        <v>12210</v>
      </c>
      <c r="B33" s="618" t="s">
        <v>530</v>
      </c>
      <c r="C33" s="619">
        <v>0</v>
      </c>
      <c r="D33" s="620">
        <v>0</v>
      </c>
      <c r="E33" s="620">
        <v>0</v>
      </c>
      <c r="F33" s="620">
        <v>0</v>
      </c>
      <c r="G33" s="612">
        <v>0</v>
      </c>
      <c r="H33" s="625">
        <v>100</v>
      </c>
      <c r="I33" s="621">
        <v>0</v>
      </c>
      <c r="J33" s="622">
        <v>0</v>
      </c>
      <c r="K33" s="623">
        <f t="shared" si="1"/>
        <v>100</v>
      </c>
    </row>
    <row r="34" spans="1:11" x14ac:dyDescent="0.2">
      <c r="A34" s="617">
        <v>12211</v>
      </c>
      <c r="B34" s="618" t="s">
        <v>531</v>
      </c>
      <c r="C34" s="619">
        <v>0</v>
      </c>
      <c r="D34" s="620">
        <v>0</v>
      </c>
      <c r="E34" s="620">
        <v>0</v>
      </c>
      <c r="F34" s="620">
        <v>0</v>
      </c>
      <c r="G34" s="612">
        <v>0</v>
      </c>
      <c r="H34" s="625">
        <v>1</v>
      </c>
      <c r="I34" s="621">
        <v>0</v>
      </c>
      <c r="J34" s="622">
        <v>0</v>
      </c>
      <c r="K34" s="623">
        <f t="shared" si="1"/>
        <v>1</v>
      </c>
    </row>
    <row r="35" spans="1:11" x14ac:dyDescent="0.2">
      <c r="A35" s="608">
        <v>14</v>
      </c>
      <c r="B35" s="609" t="s">
        <v>8</v>
      </c>
      <c r="C35" s="610">
        <f>C36</f>
        <v>0</v>
      </c>
      <c r="D35" s="611">
        <f>D36</f>
        <v>0</v>
      </c>
      <c r="E35" s="611">
        <f>E36</f>
        <v>0</v>
      </c>
      <c r="F35" s="611">
        <f>F36</f>
        <v>0</v>
      </c>
      <c r="G35" s="626">
        <v>0</v>
      </c>
      <c r="H35" s="613">
        <f>+H36</f>
        <v>180069.56</v>
      </c>
      <c r="I35" s="614">
        <f>I36</f>
        <v>0</v>
      </c>
      <c r="J35" s="615">
        <f>J36</f>
        <v>0</v>
      </c>
      <c r="K35" s="616">
        <f>J35+H35</f>
        <v>180069.56</v>
      </c>
    </row>
    <row r="36" spans="1:11" x14ac:dyDescent="0.2">
      <c r="A36" s="608">
        <v>142</v>
      </c>
      <c r="B36" s="609" t="s">
        <v>450</v>
      </c>
      <c r="C36" s="610">
        <v>0</v>
      </c>
      <c r="D36" s="611">
        <v>0</v>
      </c>
      <c r="E36" s="611">
        <v>0</v>
      </c>
      <c r="F36" s="611">
        <v>0</v>
      </c>
      <c r="G36" s="626">
        <v>0</v>
      </c>
      <c r="H36" s="613">
        <f>SUM(H37:H38)</f>
        <v>180069.56</v>
      </c>
      <c r="I36" s="614">
        <v>0</v>
      </c>
      <c r="J36" s="615">
        <v>0</v>
      </c>
      <c r="K36" s="616">
        <f>J36+H36</f>
        <v>180069.56</v>
      </c>
    </row>
    <row r="37" spans="1:11" x14ac:dyDescent="0.2">
      <c r="A37" s="617">
        <v>14201</v>
      </c>
      <c r="B37" s="618" t="s">
        <v>532</v>
      </c>
      <c r="C37" s="619">
        <v>0</v>
      </c>
      <c r="D37" s="620">
        <v>0</v>
      </c>
      <c r="E37" s="620">
        <v>0</v>
      </c>
      <c r="F37" s="620">
        <v>0</v>
      </c>
      <c r="G37" s="612">
        <v>0</v>
      </c>
      <c r="H37" s="625">
        <f>ROUND((((2471+283)*4.76+283*5.23)*12),2)</f>
        <v>175069.56</v>
      </c>
      <c r="I37" s="621">
        <v>0</v>
      </c>
      <c r="J37" s="622">
        <v>0</v>
      </c>
      <c r="K37" s="623">
        <f t="shared" si="1"/>
        <v>175069.56</v>
      </c>
    </row>
    <row r="38" spans="1:11" x14ac:dyDescent="0.2">
      <c r="A38" s="617">
        <v>14299</v>
      </c>
      <c r="B38" s="618" t="s">
        <v>533</v>
      </c>
      <c r="C38" s="619">
        <v>0</v>
      </c>
      <c r="D38" s="620">
        <v>0</v>
      </c>
      <c r="E38" s="620">
        <v>0</v>
      </c>
      <c r="F38" s="620">
        <v>0</v>
      </c>
      <c r="G38" s="612">
        <v>0</v>
      </c>
      <c r="H38" s="625">
        <v>5000</v>
      </c>
      <c r="I38" s="621">
        <v>0</v>
      </c>
      <c r="J38" s="622">
        <v>0</v>
      </c>
      <c r="K38" s="623">
        <f t="shared" si="1"/>
        <v>5000</v>
      </c>
    </row>
    <row r="39" spans="1:11" x14ac:dyDescent="0.2">
      <c r="A39" s="608">
        <v>15</v>
      </c>
      <c r="B39" s="609" t="s">
        <v>9</v>
      </c>
      <c r="C39" s="610">
        <f>C40</f>
        <v>0</v>
      </c>
      <c r="D39" s="611">
        <f>D40</f>
        <v>0</v>
      </c>
      <c r="E39" s="611">
        <f>E40</f>
        <v>0</v>
      </c>
      <c r="F39" s="611">
        <f>F40+F50</f>
        <v>0</v>
      </c>
      <c r="G39" s="626">
        <v>0</v>
      </c>
      <c r="H39" s="613">
        <f>H42+H48+H50</f>
        <v>8505.7199999999993</v>
      </c>
      <c r="I39" s="626">
        <f>I40</f>
        <v>0</v>
      </c>
      <c r="J39" s="613">
        <f>J40+J50</f>
        <v>0</v>
      </c>
      <c r="K39" s="616">
        <f t="shared" si="1"/>
        <v>8505.7199999999993</v>
      </c>
    </row>
    <row r="40" spans="1:11" hidden="1" x14ac:dyDescent="0.2">
      <c r="A40" s="608">
        <v>151</v>
      </c>
      <c r="B40" s="609" t="s">
        <v>10</v>
      </c>
      <c r="C40" s="610">
        <f>SUM(C41)</f>
        <v>0</v>
      </c>
      <c r="D40" s="611">
        <f>SUM(D41)</f>
        <v>0</v>
      </c>
      <c r="E40" s="611">
        <f>SUM(E41)</f>
        <v>0</v>
      </c>
      <c r="F40" s="611">
        <f>SUM(F41)</f>
        <v>0</v>
      </c>
      <c r="G40" s="626">
        <v>0</v>
      </c>
      <c r="H40" s="613">
        <f>SUM(H41)</f>
        <v>0</v>
      </c>
      <c r="I40" s="614">
        <f>SUM(I41)</f>
        <v>0</v>
      </c>
      <c r="J40" s="615">
        <f>SUM(J41)</f>
        <v>0</v>
      </c>
      <c r="K40" s="616">
        <f t="shared" si="1"/>
        <v>0</v>
      </c>
    </row>
    <row r="41" spans="1:11" hidden="1" x14ac:dyDescent="0.2">
      <c r="A41" s="617">
        <v>15105</v>
      </c>
      <c r="B41" s="618" t="s">
        <v>534</v>
      </c>
      <c r="C41" s="619"/>
      <c r="D41" s="620"/>
      <c r="E41" s="620"/>
      <c r="F41" s="620"/>
      <c r="G41" s="626">
        <v>0</v>
      </c>
      <c r="H41" s="625"/>
      <c r="I41" s="621"/>
      <c r="J41" s="622"/>
      <c r="K41" s="623">
        <f t="shared" si="1"/>
        <v>0</v>
      </c>
    </row>
    <row r="42" spans="1:11" x14ac:dyDescent="0.2">
      <c r="A42" s="608">
        <v>153</v>
      </c>
      <c r="B42" s="609" t="s">
        <v>10</v>
      </c>
      <c r="C42" s="610">
        <f>SUM(C47)</f>
        <v>0</v>
      </c>
      <c r="D42" s="611">
        <f>SUM(D47)</f>
        <v>0</v>
      </c>
      <c r="E42" s="611">
        <f>SUM(E47)</f>
        <v>0</v>
      </c>
      <c r="F42" s="611">
        <f>SUM(F47)</f>
        <v>0</v>
      </c>
      <c r="G42" s="626">
        <v>0</v>
      </c>
      <c r="H42" s="613">
        <f>SUM(H43:H46)</f>
        <v>8505.7199999999993</v>
      </c>
      <c r="I42" s="614">
        <f>SUM(I47)</f>
        <v>0</v>
      </c>
      <c r="J42" s="615">
        <f>SUM(J47)</f>
        <v>0</v>
      </c>
      <c r="K42" s="616">
        <f t="shared" si="1"/>
        <v>8505.7199999999993</v>
      </c>
    </row>
    <row r="43" spans="1:11" x14ac:dyDescent="0.2">
      <c r="A43" s="617">
        <v>15301</v>
      </c>
      <c r="B43" s="618" t="s">
        <v>535</v>
      </c>
      <c r="C43" s="627">
        <v>0</v>
      </c>
      <c r="D43" s="628">
        <v>0</v>
      </c>
      <c r="E43" s="628">
        <v>0</v>
      </c>
      <c r="F43" s="628">
        <v>0</v>
      </c>
      <c r="G43" s="629">
        <v>0</v>
      </c>
      <c r="H43" s="625">
        <v>7500</v>
      </c>
      <c r="I43" s="630">
        <v>0</v>
      </c>
      <c r="J43" s="631">
        <v>0</v>
      </c>
      <c r="K43" s="623">
        <f t="shared" si="1"/>
        <v>7500</v>
      </c>
    </row>
    <row r="44" spans="1:11" x14ac:dyDescent="0.2">
      <c r="A44" s="617">
        <v>15302</v>
      </c>
      <c r="B44" s="618" t="s">
        <v>536</v>
      </c>
      <c r="C44" s="627">
        <v>0</v>
      </c>
      <c r="D44" s="628">
        <v>0</v>
      </c>
      <c r="E44" s="628">
        <v>0</v>
      </c>
      <c r="F44" s="628">
        <v>0</v>
      </c>
      <c r="G44" s="629">
        <v>0</v>
      </c>
      <c r="H44" s="625">
        <v>1000</v>
      </c>
      <c r="I44" s="630">
        <v>0</v>
      </c>
      <c r="J44" s="631">
        <v>0</v>
      </c>
      <c r="K44" s="623">
        <f t="shared" si="1"/>
        <v>1000</v>
      </c>
    </row>
    <row r="45" spans="1:11" hidden="1" x14ac:dyDescent="0.2">
      <c r="A45" s="617">
        <v>15310</v>
      </c>
      <c r="B45" s="618" t="s">
        <v>537</v>
      </c>
      <c r="C45" s="627">
        <v>0</v>
      </c>
      <c r="D45" s="628">
        <v>0</v>
      </c>
      <c r="E45" s="628">
        <v>0</v>
      </c>
      <c r="F45" s="628">
        <v>0</v>
      </c>
      <c r="G45" s="629">
        <v>0</v>
      </c>
      <c r="H45" s="625"/>
      <c r="I45" s="614"/>
      <c r="J45" s="615">
        <v>0</v>
      </c>
      <c r="K45" s="623">
        <f t="shared" si="1"/>
        <v>0</v>
      </c>
    </row>
    <row r="46" spans="1:11" x14ac:dyDescent="0.2">
      <c r="A46" s="617">
        <v>15312</v>
      </c>
      <c r="B46" s="618" t="s">
        <v>538</v>
      </c>
      <c r="C46" s="627">
        <v>0</v>
      </c>
      <c r="D46" s="628">
        <v>0</v>
      </c>
      <c r="E46" s="628">
        <v>0</v>
      </c>
      <c r="F46" s="628">
        <v>0</v>
      </c>
      <c r="G46" s="629">
        <v>0</v>
      </c>
      <c r="H46" s="625">
        <v>5.72</v>
      </c>
      <c r="I46" s="621"/>
      <c r="J46" s="622">
        <v>0</v>
      </c>
      <c r="K46" s="623">
        <f t="shared" si="1"/>
        <v>5.72</v>
      </c>
    </row>
    <row r="47" spans="1:11" ht="13.5" hidden="1" customHeight="1" x14ac:dyDescent="0.2">
      <c r="A47" s="617">
        <v>15314</v>
      </c>
      <c r="B47" s="618" t="s">
        <v>539</v>
      </c>
      <c r="C47" s="619"/>
      <c r="D47" s="620"/>
      <c r="E47" s="620"/>
      <c r="F47" s="620"/>
      <c r="G47" s="612"/>
      <c r="H47" s="625"/>
      <c r="I47" s="621"/>
      <c r="J47" s="622"/>
      <c r="K47" s="623"/>
    </row>
    <row r="48" spans="1:11" hidden="1" x14ac:dyDescent="0.2">
      <c r="A48" s="608">
        <v>154</v>
      </c>
      <c r="B48" s="609" t="s">
        <v>433</v>
      </c>
      <c r="C48" s="610">
        <f>SUM(C49)</f>
        <v>0</v>
      </c>
      <c r="D48" s="611">
        <f>SUM(D52)</f>
        <v>0</v>
      </c>
      <c r="E48" s="611">
        <f>SUM(E52)</f>
        <v>0</v>
      </c>
      <c r="F48" s="611">
        <f>SUM(F52)</f>
        <v>0</v>
      </c>
      <c r="G48" s="626">
        <v>0</v>
      </c>
      <c r="H48" s="613">
        <f>SUM(H49)</f>
        <v>0</v>
      </c>
      <c r="I48" s="614">
        <f>SUM(I52)</f>
        <v>0</v>
      </c>
      <c r="J48" s="615">
        <f>SUM(J52)</f>
        <v>0</v>
      </c>
      <c r="K48" s="616">
        <f>J48+H48</f>
        <v>0</v>
      </c>
    </row>
    <row r="49" spans="1:11" hidden="1" x14ac:dyDescent="0.2">
      <c r="A49" s="617">
        <v>15402</v>
      </c>
      <c r="B49" s="618" t="s">
        <v>540</v>
      </c>
      <c r="C49" s="627">
        <v>0</v>
      </c>
      <c r="D49" s="628">
        <v>0</v>
      </c>
      <c r="E49" s="628">
        <v>0</v>
      </c>
      <c r="F49" s="628">
        <v>0</v>
      </c>
      <c r="G49" s="629">
        <v>0</v>
      </c>
      <c r="H49" s="625">
        <v>0</v>
      </c>
      <c r="I49" s="614">
        <v>0</v>
      </c>
      <c r="J49" s="615">
        <v>0</v>
      </c>
      <c r="K49" s="623">
        <f>J49+H49</f>
        <v>0</v>
      </c>
    </row>
    <row r="50" spans="1:11" hidden="1" x14ac:dyDescent="0.2">
      <c r="A50" s="608">
        <v>157</v>
      </c>
      <c r="B50" s="609" t="s">
        <v>339</v>
      </c>
      <c r="C50" s="610">
        <f>C51</f>
        <v>0</v>
      </c>
      <c r="D50" s="611">
        <f>D51</f>
        <v>0</v>
      </c>
      <c r="E50" s="611">
        <f>E51</f>
        <v>0</v>
      </c>
      <c r="F50" s="611">
        <f>F51</f>
        <v>0</v>
      </c>
      <c r="G50" s="626">
        <v>0</v>
      </c>
      <c r="H50" s="613">
        <f>H51</f>
        <v>0</v>
      </c>
      <c r="I50" s="614">
        <f>I51</f>
        <v>0</v>
      </c>
      <c r="J50" s="615">
        <f>J51</f>
        <v>0</v>
      </c>
      <c r="K50" s="616">
        <f>J50+H50</f>
        <v>0</v>
      </c>
    </row>
    <row r="51" spans="1:11" hidden="1" x14ac:dyDescent="0.2">
      <c r="A51" s="617">
        <v>15703</v>
      </c>
      <c r="B51" s="618" t="s">
        <v>541</v>
      </c>
      <c r="C51" s="619">
        <v>0</v>
      </c>
      <c r="D51" s="620">
        <v>0</v>
      </c>
      <c r="E51" s="620">
        <v>0</v>
      </c>
      <c r="F51" s="620">
        <v>0</v>
      </c>
      <c r="G51" s="612">
        <v>0</v>
      </c>
      <c r="H51" s="625">
        <v>0</v>
      </c>
      <c r="I51" s="621">
        <v>0</v>
      </c>
      <c r="J51" s="622">
        <v>0</v>
      </c>
      <c r="K51" s="623">
        <f>+J51+H51</f>
        <v>0</v>
      </c>
    </row>
    <row r="52" spans="1:11" x14ac:dyDescent="0.2">
      <c r="A52" s="608">
        <v>16</v>
      </c>
      <c r="B52" s="609" t="s">
        <v>96</v>
      </c>
      <c r="C52" s="610">
        <f t="shared" ref="C52:J53" si="2">C53</f>
        <v>375990.82</v>
      </c>
      <c r="D52" s="611">
        <f t="shared" si="2"/>
        <v>0</v>
      </c>
      <c r="E52" s="611">
        <f t="shared" si="2"/>
        <v>0</v>
      </c>
      <c r="F52" s="611">
        <f t="shared" si="2"/>
        <v>0</v>
      </c>
      <c r="G52" s="626">
        <f t="shared" si="2"/>
        <v>375990.82</v>
      </c>
      <c r="H52" s="613">
        <f t="shared" si="2"/>
        <v>0</v>
      </c>
      <c r="I52" s="614">
        <f t="shared" si="2"/>
        <v>0</v>
      </c>
      <c r="J52" s="615">
        <f t="shared" si="2"/>
        <v>0</v>
      </c>
      <c r="K52" s="616">
        <f>H52+G52</f>
        <v>375990.82</v>
      </c>
    </row>
    <row r="53" spans="1:11" x14ac:dyDescent="0.2">
      <c r="A53" s="608">
        <v>162</v>
      </c>
      <c r="B53" s="609" t="s">
        <v>340</v>
      </c>
      <c r="C53" s="610">
        <f t="shared" si="2"/>
        <v>375990.82</v>
      </c>
      <c r="D53" s="611">
        <f t="shared" si="2"/>
        <v>0</v>
      </c>
      <c r="E53" s="611">
        <f t="shared" si="2"/>
        <v>0</v>
      </c>
      <c r="F53" s="611">
        <f t="shared" si="2"/>
        <v>0</v>
      </c>
      <c r="G53" s="626">
        <f t="shared" si="2"/>
        <v>375990.82</v>
      </c>
      <c r="H53" s="613">
        <f t="shared" si="2"/>
        <v>0</v>
      </c>
      <c r="I53" s="614">
        <f t="shared" si="2"/>
        <v>0</v>
      </c>
      <c r="J53" s="615">
        <f t="shared" si="2"/>
        <v>0</v>
      </c>
      <c r="K53" s="616">
        <f>K54</f>
        <v>375990.82</v>
      </c>
    </row>
    <row r="54" spans="1:11" x14ac:dyDescent="0.2">
      <c r="A54" s="617">
        <v>16201</v>
      </c>
      <c r="B54" s="618" t="s">
        <v>542</v>
      </c>
      <c r="C54" s="619">
        <f>31332.57*11+31332.55</f>
        <v>375990.82</v>
      </c>
      <c r="D54" s="620">
        <v>0</v>
      </c>
      <c r="E54" s="620">
        <v>0</v>
      </c>
      <c r="F54" s="620">
        <v>0</v>
      </c>
      <c r="G54" s="612">
        <f>F54+D54+C54</f>
        <v>375990.82</v>
      </c>
      <c r="H54" s="625">
        <v>0</v>
      </c>
      <c r="I54" s="621"/>
      <c r="J54" s="622">
        <v>0</v>
      </c>
      <c r="K54" s="623">
        <f>H54+G54</f>
        <v>375990.82</v>
      </c>
    </row>
    <row r="55" spans="1:11" hidden="1" x14ac:dyDescent="0.2">
      <c r="A55" s="608">
        <v>163</v>
      </c>
      <c r="B55" s="609" t="s">
        <v>543</v>
      </c>
      <c r="C55" s="610">
        <v>0</v>
      </c>
      <c r="D55" s="611">
        <v>0</v>
      </c>
      <c r="E55" s="611">
        <v>0</v>
      </c>
      <c r="F55" s="611">
        <v>0</v>
      </c>
      <c r="G55" s="626">
        <v>0</v>
      </c>
      <c r="H55" s="613">
        <v>0</v>
      </c>
      <c r="I55" s="614">
        <v>0</v>
      </c>
      <c r="J55" s="615">
        <v>0</v>
      </c>
      <c r="K55" s="616">
        <v>0</v>
      </c>
    </row>
    <row r="56" spans="1:11" hidden="1" x14ac:dyDescent="0.2">
      <c r="A56" s="617">
        <v>16304</v>
      </c>
      <c r="B56" s="618" t="s">
        <v>544</v>
      </c>
      <c r="C56" s="619">
        <v>0</v>
      </c>
      <c r="D56" s="620">
        <v>0</v>
      </c>
      <c r="E56" s="620">
        <v>0</v>
      </c>
      <c r="F56" s="620">
        <v>0</v>
      </c>
      <c r="G56" s="612">
        <v>0</v>
      </c>
      <c r="H56" s="625">
        <v>0</v>
      </c>
      <c r="I56" s="621">
        <v>0</v>
      </c>
      <c r="J56" s="622">
        <v>0</v>
      </c>
      <c r="K56" s="623">
        <v>0</v>
      </c>
    </row>
    <row r="57" spans="1:11" hidden="1" x14ac:dyDescent="0.2">
      <c r="A57" s="608">
        <v>21</v>
      </c>
      <c r="B57" s="609" t="s">
        <v>545</v>
      </c>
      <c r="C57" s="610">
        <v>0</v>
      </c>
      <c r="D57" s="611">
        <v>0</v>
      </c>
      <c r="E57" s="611">
        <v>0</v>
      </c>
      <c r="F57" s="611">
        <v>0</v>
      </c>
      <c r="G57" s="626">
        <v>0</v>
      </c>
      <c r="H57" s="613">
        <f>+H58</f>
        <v>0</v>
      </c>
      <c r="I57" s="621">
        <v>0</v>
      </c>
      <c r="J57" s="615">
        <v>0</v>
      </c>
      <c r="K57" s="616">
        <v>0</v>
      </c>
    </row>
    <row r="58" spans="1:11" hidden="1" x14ac:dyDescent="0.2">
      <c r="A58" s="617">
        <v>212</v>
      </c>
      <c r="B58" s="618" t="s">
        <v>546</v>
      </c>
      <c r="C58" s="619">
        <v>0</v>
      </c>
      <c r="D58" s="620">
        <v>0</v>
      </c>
      <c r="E58" s="620">
        <v>0</v>
      </c>
      <c r="F58" s="620">
        <v>0</v>
      </c>
      <c r="G58" s="612">
        <v>0</v>
      </c>
      <c r="H58" s="625">
        <v>0</v>
      </c>
      <c r="I58" s="621">
        <v>0</v>
      </c>
      <c r="J58" s="622">
        <v>0</v>
      </c>
      <c r="K58" s="623">
        <v>0</v>
      </c>
    </row>
    <row r="59" spans="1:11" hidden="1" x14ac:dyDescent="0.2">
      <c r="A59" s="617">
        <v>21201</v>
      </c>
      <c r="B59" s="618" t="s">
        <v>547</v>
      </c>
      <c r="C59" s="619">
        <v>0</v>
      </c>
      <c r="D59" s="620">
        <v>0</v>
      </c>
      <c r="E59" s="620">
        <v>0</v>
      </c>
      <c r="F59" s="620">
        <v>0</v>
      </c>
      <c r="G59" s="612">
        <v>0</v>
      </c>
      <c r="H59" s="625">
        <v>0</v>
      </c>
      <c r="I59" s="621">
        <v>0</v>
      </c>
      <c r="J59" s="622">
        <v>0</v>
      </c>
      <c r="K59" s="623">
        <v>0</v>
      </c>
    </row>
    <row r="60" spans="1:11" x14ac:dyDescent="0.2">
      <c r="A60" s="608">
        <v>22</v>
      </c>
      <c r="B60" s="609" t="s">
        <v>12</v>
      </c>
      <c r="C60" s="610">
        <f t="shared" ref="C60:J60" si="3">C61</f>
        <v>0</v>
      </c>
      <c r="D60" s="611">
        <f t="shared" si="3"/>
        <v>1127972.3599999999</v>
      </c>
      <c r="E60" s="611">
        <f t="shared" si="3"/>
        <v>377618.26</v>
      </c>
      <c r="F60" s="611">
        <f t="shared" si="3"/>
        <v>0</v>
      </c>
      <c r="G60" s="626">
        <f>G61</f>
        <v>1505590.6199999999</v>
      </c>
      <c r="H60" s="613">
        <f t="shared" si="3"/>
        <v>0</v>
      </c>
      <c r="I60" s="614">
        <f t="shared" si="3"/>
        <v>0</v>
      </c>
      <c r="J60" s="615">
        <f t="shared" si="3"/>
        <v>0</v>
      </c>
      <c r="K60" s="616">
        <f>K61</f>
        <v>1505590.6199999999</v>
      </c>
    </row>
    <row r="61" spans="1:11" x14ac:dyDescent="0.2">
      <c r="A61" s="608">
        <v>222</v>
      </c>
      <c r="B61" s="609" t="s">
        <v>341</v>
      </c>
      <c r="C61" s="610">
        <f t="shared" ref="C61:J61" si="4">C62</f>
        <v>0</v>
      </c>
      <c r="D61" s="611">
        <f t="shared" si="4"/>
        <v>1127972.3599999999</v>
      </c>
      <c r="E61" s="611">
        <f t="shared" si="4"/>
        <v>377618.26</v>
      </c>
      <c r="F61" s="611">
        <f t="shared" si="4"/>
        <v>0</v>
      </c>
      <c r="G61" s="626">
        <f>G62</f>
        <v>1505590.6199999999</v>
      </c>
      <c r="H61" s="613">
        <f t="shared" si="4"/>
        <v>0</v>
      </c>
      <c r="I61" s="614">
        <f t="shared" si="4"/>
        <v>0</v>
      </c>
      <c r="J61" s="615">
        <f t="shared" si="4"/>
        <v>0</v>
      </c>
      <c r="K61" s="616">
        <f>J61+H61+G61</f>
        <v>1505590.6199999999</v>
      </c>
    </row>
    <row r="62" spans="1:11" x14ac:dyDescent="0.2">
      <c r="A62" s="617">
        <v>22201</v>
      </c>
      <c r="B62" s="618" t="s">
        <v>548</v>
      </c>
      <c r="C62" s="619">
        <v>0</v>
      </c>
      <c r="D62" s="620">
        <f>93997.7*11+93997.66</f>
        <v>1127972.3599999999</v>
      </c>
      <c r="E62" s="620">
        <f>31468.18*11+31468.28</f>
        <v>377618.26</v>
      </c>
      <c r="F62" s="620">
        <v>0</v>
      </c>
      <c r="G62" s="612">
        <f>D62+E62</f>
        <v>1505590.6199999999</v>
      </c>
      <c r="H62" s="625">
        <v>0</v>
      </c>
      <c r="I62" s="621"/>
      <c r="J62" s="622">
        <v>0</v>
      </c>
      <c r="K62" s="623">
        <f>+J62+H62+G62+I62</f>
        <v>1505590.6199999999</v>
      </c>
    </row>
    <row r="63" spans="1:11" hidden="1" x14ac:dyDescent="0.2">
      <c r="A63" s="608">
        <v>31</v>
      </c>
      <c r="B63" s="609" t="s">
        <v>342</v>
      </c>
      <c r="C63" s="610">
        <f t="shared" ref="C63:F64" si="5">C64</f>
        <v>0</v>
      </c>
      <c r="D63" s="611">
        <f t="shared" si="5"/>
        <v>0</v>
      </c>
      <c r="E63" s="611">
        <f t="shared" si="5"/>
        <v>0</v>
      </c>
      <c r="F63" s="611">
        <f t="shared" si="5"/>
        <v>0</v>
      </c>
      <c r="G63" s="626">
        <v>0</v>
      </c>
      <c r="H63" s="613">
        <f>H64</f>
        <v>0</v>
      </c>
      <c r="I63" s="614">
        <f>I64</f>
        <v>0</v>
      </c>
      <c r="J63" s="615">
        <v>0</v>
      </c>
      <c r="K63" s="616">
        <f>J63+H63</f>
        <v>0</v>
      </c>
    </row>
    <row r="64" spans="1:11" hidden="1" x14ac:dyDescent="0.2">
      <c r="A64" s="608">
        <v>313</v>
      </c>
      <c r="B64" s="609" t="s">
        <v>343</v>
      </c>
      <c r="C64" s="610">
        <f t="shared" si="5"/>
        <v>0</v>
      </c>
      <c r="D64" s="611">
        <f t="shared" si="5"/>
        <v>0</v>
      </c>
      <c r="E64" s="611">
        <f t="shared" si="5"/>
        <v>0</v>
      </c>
      <c r="F64" s="611">
        <f t="shared" si="5"/>
        <v>0</v>
      </c>
      <c r="G64" s="626">
        <v>0</v>
      </c>
      <c r="H64" s="613">
        <f>H65</f>
        <v>0</v>
      </c>
      <c r="I64" s="614">
        <f>I65</f>
        <v>0</v>
      </c>
      <c r="J64" s="615">
        <f>J65</f>
        <v>0</v>
      </c>
      <c r="K64" s="623">
        <f>+J64+H64</f>
        <v>0</v>
      </c>
    </row>
    <row r="65" spans="1:13" hidden="1" x14ac:dyDescent="0.2">
      <c r="A65" s="617">
        <v>31308</v>
      </c>
      <c r="B65" s="618" t="s">
        <v>237</v>
      </c>
      <c r="C65" s="619">
        <v>0</v>
      </c>
      <c r="D65" s="620">
        <v>0</v>
      </c>
      <c r="E65" s="620">
        <v>0</v>
      </c>
      <c r="F65" s="620">
        <v>0</v>
      </c>
      <c r="G65" s="612">
        <v>0</v>
      </c>
      <c r="H65" s="625">
        <v>0</v>
      </c>
      <c r="I65" s="621">
        <v>0</v>
      </c>
      <c r="J65" s="622">
        <v>0</v>
      </c>
      <c r="K65" s="623">
        <v>0</v>
      </c>
    </row>
    <row r="66" spans="1:13" x14ac:dyDescent="0.2">
      <c r="A66" s="608">
        <v>32</v>
      </c>
      <c r="B66" s="609" t="s">
        <v>13</v>
      </c>
      <c r="C66" s="610">
        <f>C67+C70</f>
        <v>36544.68</v>
      </c>
      <c r="D66" s="611">
        <f>D67+D70</f>
        <v>368700.94000000006</v>
      </c>
      <c r="E66" s="611">
        <f>E67+E70</f>
        <v>0</v>
      </c>
      <c r="F66" s="611">
        <f>F67</f>
        <v>788.32</v>
      </c>
      <c r="G66" s="626">
        <f>+G67</f>
        <v>287931.68000000005</v>
      </c>
      <c r="H66" s="613">
        <f>H67+H70</f>
        <v>82818.850000000006</v>
      </c>
      <c r="I66" s="614">
        <f>I67</f>
        <v>0</v>
      </c>
      <c r="J66" s="615">
        <f>J67</f>
        <v>0</v>
      </c>
      <c r="K66" s="616">
        <f>+K67+K70</f>
        <v>488852.7900000001</v>
      </c>
    </row>
    <row r="67" spans="1:13" x14ac:dyDescent="0.2">
      <c r="A67" s="608">
        <v>321</v>
      </c>
      <c r="B67" s="609" t="s">
        <v>344</v>
      </c>
      <c r="C67" s="632">
        <f t="shared" ref="C67:H67" si="6">SUM(C68:C69)</f>
        <v>7019.11</v>
      </c>
      <c r="D67" s="611">
        <f t="shared" si="6"/>
        <v>280124.25000000006</v>
      </c>
      <c r="E67" s="611">
        <f t="shared" si="6"/>
        <v>0</v>
      </c>
      <c r="F67" s="613">
        <f t="shared" si="6"/>
        <v>788.32</v>
      </c>
      <c r="G67" s="626">
        <f t="shared" si="6"/>
        <v>287931.68000000005</v>
      </c>
      <c r="H67" s="613">
        <f t="shared" si="6"/>
        <v>3246.27</v>
      </c>
      <c r="I67" s="614">
        <f t="shared" ref="I67:K67" si="7">SUM(I68:I69)</f>
        <v>0</v>
      </c>
      <c r="J67" s="615">
        <f t="shared" si="7"/>
        <v>0</v>
      </c>
      <c r="K67" s="616">
        <f t="shared" si="7"/>
        <v>291177.95000000007</v>
      </c>
    </row>
    <row r="68" spans="1:13" x14ac:dyDescent="0.2">
      <c r="A68" s="633">
        <v>32102</v>
      </c>
      <c r="B68" s="634" t="s">
        <v>674</v>
      </c>
      <c r="C68" s="635">
        <v>0</v>
      </c>
      <c r="D68" s="628">
        <v>0</v>
      </c>
      <c r="E68" s="628">
        <v>0</v>
      </c>
      <c r="F68" s="628">
        <v>0</v>
      </c>
      <c r="G68" s="612">
        <f>+D68+C68+F68</f>
        <v>0</v>
      </c>
      <c r="H68" s="625">
        <v>0</v>
      </c>
      <c r="I68" s="614">
        <v>0</v>
      </c>
      <c r="J68" s="631">
        <v>0</v>
      </c>
      <c r="K68" s="623">
        <f>+J68+H68+G68+I68</f>
        <v>0</v>
      </c>
    </row>
    <row r="69" spans="1:13" x14ac:dyDescent="0.2">
      <c r="A69" s="617">
        <v>32102</v>
      </c>
      <c r="B69" s="634" t="s">
        <v>580</v>
      </c>
      <c r="C69" s="971">
        <v>7019.11</v>
      </c>
      <c r="D69" s="620">
        <f>106360.6+418.74+3963.76+27652.17+859.09+5+948.41+6210.91+2624.91+454.45+6600.84+723.9+52.21+519.38+815.8+2422.83+12234.68+9221.29+50698.23+5000+18132.03+3000+4457.22+258.15+16489.65</f>
        <v>280124.25000000006</v>
      </c>
      <c r="E69" s="620"/>
      <c r="F69" s="628">
        <f>367+303+15+15+107.85+70.47+15-15-15-15-15-15-15-15</f>
        <v>788.32</v>
      </c>
      <c r="G69" s="612">
        <f>+D69+C69+F69</f>
        <v>287931.68000000005</v>
      </c>
      <c r="H69" s="625">
        <f>2572.05+183.54+385.68+15+15+15+15+15+15+15</f>
        <v>3246.27</v>
      </c>
      <c r="I69" s="621">
        <v>0</v>
      </c>
      <c r="J69" s="622">
        <v>0</v>
      </c>
      <c r="K69" s="623">
        <f>+J69+H69+G69+I69</f>
        <v>291177.95000000007</v>
      </c>
      <c r="M69" s="516"/>
    </row>
    <row r="70" spans="1:13" x14ac:dyDescent="0.2">
      <c r="A70" s="608">
        <v>322</v>
      </c>
      <c r="B70" s="609" t="s">
        <v>345</v>
      </c>
      <c r="C70" s="610">
        <f>C71</f>
        <v>29525.57</v>
      </c>
      <c r="D70" s="611">
        <f>D71</f>
        <v>88576.69</v>
      </c>
      <c r="E70" s="611">
        <f>E71</f>
        <v>0</v>
      </c>
      <c r="F70" s="611">
        <f>F71</f>
        <v>0</v>
      </c>
      <c r="G70" s="626">
        <f>+G71</f>
        <v>118102.26000000001</v>
      </c>
      <c r="H70" s="613">
        <f>H71</f>
        <v>79572.58</v>
      </c>
      <c r="I70" s="614">
        <f>I71</f>
        <v>0</v>
      </c>
      <c r="J70" s="615">
        <f>J71</f>
        <v>0</v>
      </c>
      <c r="K70" s="616">
        <f>G70+J70+H70</f>
        <v>197674.84000000003</v>
      </c>
      <c r="M70" s="331"/>
    </row>
    <row r="71" spans="1:13" ht="13.5" thickBot="1" x14ac:dyDescent="0.25">
      <c r="A71" s="636">
        <v>32201</v>
      </c>
      <c r="B71" s="637" t="s">
        <v>345</v>
      </c>
      <c r="C71" s="974">
        <v>29525.57</v>
      </c>
      <c r="D71" s="638">
        <v>88576.69</v>
      </c>
      <c r="E71" s="1041"/>
      <c r="F71" s="639">
        <v>0</v>
      </c>
      <c r="G71" s="612">
        <f>+D71+C71+F71</f>
        <v>118102.26000000001</v>
      </c>
      <c r="H71" s="640">
        <f>ROUND(((159145.15)*50%),2)</f>
        <v>79572.58</v>
      </c>
      <c r="I71" s="641">
        <v>0</v>
      </c>
      <c r="J71" s="642">
        <v>0</v>
      </c>
      <c r="K71" s="623">
        <f>+J71+H71+G71+I71</f>
        <v>197674.84000000003</v>
      </c>
      <c r="M71" s="516"/>
    </row>
    <row r="72" spans="1:13" ht="13.5" thickBot="1" x14ac:dyDescent="0.25">
      <c r="A72" s="1186" t="s">
        <v>549</v>
      </c>
      <c r="B72" s="1187"/>
      <c r="C72" s="643">
        <f>C8+C18+C35+C39+C52+C57+C60+C63+C66</f>
        <v>412535.5</v>
      </c>
      <c r="D72" s="643">
        <f>D8+D18+D35+D39+D52+D57+D60+D63+D66</f>
        <v>1496673.2999999998</v>
      </c>
      <c r="E72" s="643">
        <f>E8+E18+E35+E39+E52+E57+E60+E63+E66</f>
        <v>377618.26</v>
      </c>
      <c r="F72" s="643">
        <f>F8+F18+F35+F39+F52+F57+F60+F63+F66</f>
        <v>788.32</v>
      </c>
      <c r="G72" s="643">
        <f>SUM(C72:F72)</f>
        <v>2287615.3799999994</v>
      </c>
      <c r="H72" s="644">
        <f>H66+H39+H35+H18+H8</f>
        <v>405988.53</v>
      </c>
      <c r="I72" s="645">
        <f>I8+I18+I35+I39+I52+I57+I60+I63+I66</f>
        <v>0</v>
      </c>
      <c r="J72" s="643">
        <f>J8+J18+J35+J39+J52+J57+J60+J63+J66</f>
        <v>0</v>
      </c>
      <c r="K72" s="644">
        <f>+K66+K60+K52+K39+K35+K18+K8</f>
        <v>2693603.91</v>
      </c>
    </row>
    <row r="73" spans="1:13" ht="13.5" thickBot="1" x14ac:dyDescent="0.25">
      <c r="A73" s="1186" t="s">
        <v>346</v>
      </c>
      <c r="B73" s="1187"/>
      <c r="C73" s="643">
        <f t="shared" ref="C73:J73" si="8">+C72</f>
        <v>412535.5</v>
      </c>
      <c r="D73" s="643">
        <f t="shared" si="8"/>
        <v>1496673.2999999998</v>
      </c>
      <c r="E73" s="643">
        <f t="shared" ref="E73" si="9">+E72</f>
        <v>377618.26</v>
      </c>
      <c r="F73" s="643">
        <f t="shared" si="8"/>
        <v>788.32</v>
      </c>
      <c r="G73" s="646">
        <f>+G72</f>
        <v>2287615.3799999994</v>
      </c>
      <c r="H73" s="644">
        <f t="shared" si="8"/>
        <v>405988.53</v>
      </c>
      <c r="I73" s="647">
        <f t="shared" si="8"/>
        <v>0</v>
      </c>
      <c r="J73" s="643">
        <f t="shared" si="8"/>
        <v>0</v>
      </c>
      <c r="K73" s="644">
        <f>+K72</f>
        <v>2693603.91</v>
      </c>
    </row>
    <row r="75" spans="1:13" x14ac:dyDescent="0.2">
      <c r="C75" s="968"/>
      <c r="D75" s="649"/>
      <c r="E75" s="649"/>
    </row>
    <row r="76" spans="1:13" x14ac:dyDescent="0.2">
      <c r="C76" s="968"/>
      <c r="D76" s="649">
        <f>D73+E73</f>
        <v>1874291.5599999998</v>
      </c>
      <c r="E76" s="649"/>
    </row>
    <row r="77" spans="1:13" x14ac:dyDescent="0.2">
      <c r="C77" s="650"/>
      <c r="D77" s="650"/>
      <c r="E77" s="650"/>
    </row>
    <row r="78" spans="1:13" x14ac:dyDescent="0.2">
      <c r="C78" s="650"/>
      <c r="D78" s="649"/>
      <c r="E78" s="649"/>
    </row>
    <row r="79" spans="1:13" x14ac:dyDescent="0.2">
      <c r="D79" s="651"/>
      <c r="E79" s="651">
        <f>C54+D62+E62+G67+H72+G70</f>
        <v>2693603.91</v>
      </c>
      <c r="G79" s="648">
        <v>277268.89</v>
      </c>
      <c r="I79" s="649">
        <f>D73+E73</f>
        <v>1874291.5599999998</v>
      </c>
    </row>
    <row r="80" spans="1:13" x14ac:dyDescent="0.2">
      <c r="G80" s="649">
        <f>G69-G79</f>
        <v>10662.790000000037</v>
      </c>
    </row>
  </sheetData>
  <mergeCells count="13">
    <mergeCell ref="A72:B72"/>
    <mergeCell ref="A73:B73"/>
    <mergeCell ref="J5:J7"/>
    <mergeCell ref="A5:A7"/>
    <mergeCell ref="B5:B7"/>
    <mergeCell ref="A1:K3"/>
    <mergeCell ref="K5:K7"/>
    <mergeCell ref="H5:H7"/>
    <mergeCell ref="C5:G5"/>
    <mergeCell ref="G6:G7"/>
    <mergeCell ref="C6:D6"/>
    <mergeCell ref="F6:F7"/>
    <mergeCell ref="I5:I7"/>
  </mergeCells>
  <phoneticPr fontId="7" type="noConversion"/>
  <printOptions verticalCentered="1"/>
  <pageMargins left="0.11811023622047245" right="0.11811023622047245" top="0.39370078740157483" bottom="0.15748031496062992" header="0" footer="0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8" tint="0.39997558519241921"/>
  </sheetPr>
  <dimension ref="A1:Q77"/>
  <sheetViews>
    <sheetView showGridLines="0" topLeftCell="H37" workbookViewId="0">
      <selection activeCell="K53" sqref="K53"/>
    </sheetView>
  </sheetViews>
  <sheetFormatPr baseColWidth="10" defaultRowHeight="12.75" x14ac:dyDescent="0.2"/>
  <cols>
    <col min="1" max="1" width="9.140625" style="7" customWidth="1"/>
    <col min="2" max="2" width="50.85546875" style="7" customWidth="1"/>
    <col min="3" max="3" width="14.85546875" style="7" customWidth="1"/>
    <col min="4" max="15" width="12.5703125" style="7" customWidth="1"/>
    <col min="16" max="16" width="13.5703125" style="7" customWidth="1"/>
    <col min="17" max="20" width="11.42578125" style="7" customWidth="1"/>
    <col min="21" max="16384" width="11.42578125" style="7"/>
  </cols>
  <sheetData>
    <row r="1" spans="1:17" ht="12.75" customHeight="1" x14ac:dyDescent="0.2">
      <c r="A1" s="1199" t="s">
        <v>639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</row>
    <row r="2" spans="1:17" x14ac:dyDescent="0.2">
      <c r="A2" s="1199"/>
      <c r="B2" s="1199"/>
      <c r="C2" s="1199"/>
      <c r="D2" s="1199"/>
      <c r="E2" s="1199"/>
      <c r="F2" s="1199"/>
      <c r="G2" s="1199"/>
      <c r="H2" s="1199"/>
      <c r="I2" s="1199"/>
      <c r="J2" s="1199"/>
      <c r="K2" s="1199"/>
      <c r="L2" s="1199"/>
      <c r="M2" s="1199"/>
      <c r="N2" s="1199"/>
      <c r="O2" s="1199"/>
      <c r="P2" s="1199"/>
    </row>
    <row r="3" spans="1:17" x14ac:dyDescent="0.2">
      <c r="A3" s="1199"/>
      <c r="B3" s="1199"/>
      <c r="C3" s="1199"/>
      <c r="D3" s="1199"/>
      <c r="E3" s="1199"/>
      <c r="F3" s="1199"/>
      <c r="G3" s="1199"/>
      <c r="H3" s="1199"/>
      <c r="I3" s="1199"/>
      <c r="J3" s="1199"/>
      <c r="K3" s="1199"/>
      <c r="L3" s="1199"/>
      <c r="M3" s="1199"/>
      <c r="N3" s="1199"/>
      <c r="O3" s="1199"/>
      <c r="P3" s="1199"/>
    </row>
    <row r="4" spans="1:17" ht="15" customHeight="1" thickBot="1" x14ac:dyDescent="0.2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7" ht="12.75" customHeight="1" x14ac:dyDescent="0.2">
      <c r="A5" s="1200" t="s">
        <v>550</v>
      </c>
      <c r="B5" s="1203" t="s">
        <v>103</v>
      </c>
      <c r="C5" s="280" t="s">
        <v>551</v>
      </c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</row>
    <row r="6" spans="1:17" x14ac:dyDescent="0.2">
      <c r="A6" s="1201"/>
      <c r="B6" s="1204"/>
      <c r="C6" s="278" t="s">
        <v>0</v>
      </c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79"/>
    </row>
    <row r="7" spans="1:17" ht="21.75" customHeight="1" thickBot="1" x14ac:dyDescent="0.25">
      <c r="A7" s="1202"/>
      <c r="B7" s="1205"/>
      <c r="C7" s="222" t="s">
        <v>296</v>
      </c>
      <c r="D7" s="283" t="s">
        <v>596</v>
      </c>
      <c r="E7" s="283" t="s">
        <v>597</v>
      </c>
      <c r="F7" s="283" t="s">
        <v>598</v>
      </c>
      <c r="G7" s="283" t="s">
        <v>599</v>
      </c>
      <c r="H7" s="283" t="s">
        <v>600</v>
      </c>
      <c r="I7" s="283" t="s">
        <v>601</v>
      </c>
      <c r="J7" s="283" t="s">
        <v>602</v>
      </c>
      <c r="K7" s="283" t="s">
        <v>603</v>
      </c>
      <c r="L7" s="283" t="s">
        <v>604</v>
      </c>
      <c r="M7" s="283" t="s">
        <v>605</v>
      </c>
      <c r="N7" s="283" t="s">
        <v>606</v>
      </c>
      <c r="O7" s="283" t="s">
        <v>607</v>
      </c>
      <c r="P7" s="275" t="s">
        <v>25</v>
      </c>
    </row>
    <row r="8" spans="1:17" x14ac:dyDescent="0.2">
      <c r="A8" s="40">
        <v>11</v>
      </c>
      <c r="B8" s="442" t="s">
        <v>335</v>
      </c>
      <c r="C8" s="284">
        <f>C9</f>
        <v>24008.46</v>
      </c>
      <c r="D8" s="284" t="e">
        <f>D9</f>
        <v>#REF!</v>
      </c>
      <c r="E8" s="284" t="e">
        <f t="shared" ref="E8:O8" si="0">E9</f>
        <v>#REF!</v>
      </c>
      <c r="F8" s="284" t="e">
        <f t="shared" si="0"/>
        <v>#REF!</v>
      </c>
      <c r="G8" s="284" t="e">
        <f t="shared" si="0"/>
        <v>#REF!</v>
      </c>
      <c r="H8" s="284" t="e">
        <f t="shared" si="0"/>
        <v>#REF!</v>
      </c>
      <c r="I8" s="284" t="e">
        <f t="shared" si="0"/>
        <v>#REF!</v>
      </c>
      <c r="J8" s="284" t="e">
        <f t="shared" si="0"/>
        <v>#REF!</v>
      </c>
      <c r="K8" s="284" t="e">
        <f t="shared" si="0"/>
        <v>#REF!</v>
      </c>
      <c r="L8" s="284" t="e">
        <f t="shared" si="0"/>
        <v>#REF!</v>
      </c>
      <c r="M8" s="284" t="e">
        <f t="shared" si="0"/>
        <v>#REF!</v>
      </c>
      <c r="N8" s="284" t="e">
        <f t="shared" si="0"/>
        <v>#REF!</v>
      </c>
      <c r="O8" s="284" t="e">
        <f t="shared" si="0"/>
        <v>#REF!</v>
      </c>
      <c r="P8" s="150" t="e">
        <f>P9</f>
        <v>#REF!</v>
      </c>
      <c r="Q8" s="216" t="e">
        <f>C8-P8</f>
        <v>#REF!</v>
      </c>
    </row>
    <row r="9" spans="1:17" x14ac:dyDescent="0.2">
      <c r="A9" s="41">
        <v>118</v>
      </c>
      <c r="B9" s="443" t="s">
        <v>336</v>
      </c>
      <c r="C9" s="223">
        <f>SUM(C10:C17)</f>
        <v>24008.46</v>
      </c>
      <c r="D9" s="223" t="e">
        <f>SUM(D10:D17)</f>
        <v>#REF!</v>
      </c>
      <c r="E9" s="223" t="e">
        <f t="shared" ref="E9:O9" si="1">SUM(E10:E17)</f>
        <v>#REF!</v>
      </c>
      <c r="F9" s="223" t="e">
        <f t="shared" si="1"/>
        <v>#REF!</v>
      </c>
      <c r="G9" s="223" t="e">
        <f t="shared" si="1"/>
        <v>#REF!</v>
      </c>
      <c r="H9" s="223" t="e">
        <f t="shared" si="1"/>
        <v>#REF!</v>
      </c>
      <c r="I9" s="223" t="e">
        <f t="shared" si="1"/>
        <v>#REF!</v>
      </c>
      <c r="J9" s="223" t="e">
        <f t="shared" si="1"/>
        <v>#REF!</v>
      </c>
      <c r="K9" s="223" t="e">
        <f t="shared" si="1"/>
        <v>#REF!</v>
      </c>
      <c r="L9" s="223" t="e">
        <f t="shared" si="1"/>
        <v>#REF!</v>
      </c>
      <c r="M9" s="223" t="e">
        <f t="shared" si="1"/>
        <v>#REF!</v>
      </c>
      <c r="N9" s="223" t="e">
        <f t="shared" si="1"/>
        <v>#REF!</v>
      </c>
      <c r="O9" s="223" t="e">
        <f t="shared" si="1"/>
        <v>#REF!</v>
      </c>
      <c r="P9" s="151" t="e">
        <f>SUM(P10:P16)</f>
        <v>#REF!</v>
      </c>
      <c r="Q9" s="216" t="e">
        <f t="shared" ref="Q9:Q73" si="2">C9-P9</f>
        <v>#REF!</v>
      </c>
    </row>
    <row r="10" spans="1:17" x14ac:dyDescent="0.2">
      <c r="A10" s="34">
        <v>11801</v>
      </c>
      <c r="B10" s="444" t="s">
        <v>511</v>
      </c>
      <c r="C10" s="224">
        <f>'ING. REALES'!K10</f>
        <v>7579.5599999999995</v>
      </c>
      <c r="D10" s="224" t="e">
        <f>'ING. REALES'!#REF!</f>
        <v>#REF!</v>
      </c>
      <c r="E10" s="224" t="e">
        <f>'ING. REALES'!#REF!</f>
        <v>#REF!</v>
      </c>
      <c r="F10" s="224" t="e">
        <f>'ING. REALES'!#REF!</f>
        <v>#REF!</v>
      </c>
      <c r="G10" s="224" t="e">
        <f>'ING. REALES'!#REF!</f>
        <v>#REF!</v>
      </c>
      <c r="H10" s="224" t="e">
        <f>'ING. REALES'!#REF!</f>
        <v>#REF!</v>
      </c>
      <c r="I10" s="224" t="e">
        <f>'ING. REALES'!#REF!</f>
        <v>#REF!</v>
      </c>
      <c r="J10" s="224" t="e">
        <f>'ING. REALES'!#REF!</f>
        <v>#REF!</v>
      </c>
      <c r="K10" s="224" t="e">
        <f>'ING. REALES'!#REF!</f>
        <v>#REF!</v>
      </c>
      <c r="L10" s="224" t="e">
        <f>'ING. REALES'!#REF!</f>
        <v>#REF!</v>
      </c>
      <c r="M10" s="224" t="e">
        <f>'ING. REALES'!#REF!</f>
        <v>#REF!</v>
      </c>
      <c r="N10" s="224" t="e">
        <f>'ING. REALES'!#REF!</f>
        <v>#REF!</v>
      </c>
      <c r="O10" s="224" t="e">
        <f>'ING. REALES'!#REF!</f>
        <v>#REF!</v>
      </c>
      <c r="P10" s="152" t="e">
        <f>SUM(D10:O10)</f>
        <v>#REF!</v>
      </c>
      <c r="Q10" s="216" t="e">
        <f t="shared" si="2"/>
        <v>#REF!</v>
      </c>
    </row>
    <row r="11" spans="1:17" x14ac:dyDescent="0.2">
      <c r="A11" s="34">
        <v>11802</v>
      </c>
      <c r="B11" s="444" t="s">
        <v>512</v>
      </c>
      <c r="C11" s="224">
        <f>'ING. REALES'!K11</f>
        <v>2186.52</v>
      </c>
      <c r="D11" s="224" t="e">
        <f>'ING. REALES'!#REF!</f>
        <v>#REF!</v>
      </c>
      <c r="E11" s="224" t="e">
        <f>'ING. REALES'!#REF!</f>
        <v>#REF!</v>
      </c>
      <c r="F11" s="224" t="e">
        <f>'ING. REALES'!#REF!</f>
        <v>#REF!</v>
      </c>
      <c r="G11" s="224" t="e">
        <f>'ING. REALES'!#REF!</f>
        <v>#REF!</v>
      </c>
      <c r="H11" s="224" t="e">
        <f>'ING. REALES'!#REF!</f>
        <v>#REF!</v>
      </c>
      <c r="I11" s="224" t="e">
        <f>'ING. REALES'!#REF!</f>
        <v>#REF!</v>
      </c>
      <c r="J11" s="224" t="e">
        <f>'ING. REALES'!#REF!</f>
        <v>#REF!</v>
      </c>
      <c r="K11" s="224" t="e">
        <f>'ING. REALES'!#REF!</f>
        <v>#REF!</v>
      </c>
      <c r="L11" s="224" t="e">
        <f>'ING. REALES'!#REF!</f>
        <v>#REF!</v>
      </c>
      <c r="M11" s="224" t="e">
        <f>'ING. REALES'!#REF!</f>
        <v>#REF!</v>
      </c>
      <c r="N11" s="224" t="e">
        <f>'ING. REALES'!#REF!</f>
        <v>#REF!</v>
      </c>
      <c r="O11" s="224" t="e">
        <f>'ING. REALES'!#REF!</f>
        <v>#REF!</v>
      </c>
      <c r="P11" s="152" t="e">
        <f t="shared" ref="P11:P15" si="3">SUM(D11:O11)</f>
        <v>#REF!</v>
      </c>
      <c r="Q11" s="216" t="e">
        <f t="shared" si="2"/>
        <v>#REF!</v>
      </c>
    </row>
    <row r="12" spans="1:17" x14ac:dyDescent="0.2">
      <c r="A12" s="34">
        <v>11804</v>
      </c>
      <c r="B12" s="444" t="s">
        <v>513</v>
      </c>
      <c r="C12" s="224">
        <f>'ING. REALES'!K12</f>
        <v>10786.8</v>
      </c>
      <c r="D12" s="224" t="e">
        <f>'ING. REALES'!#REF!</f>
        <v>#REF!</v>
      </c>
      <c r="E12" s="224" t="e">
        <f>'ING. REALES'!#REF!</f>
        <v>#REF!</v>
      </c>
      <c r="F12" s="224" t="e">
        <f>'ING. REALES'!#REF!</f>
        <v>#REF!</v>
      </c>
      <c r="G12" s="224" t="e">
        <f>'ING. REALES'!#REF!</f>
        <v>#REF!</v>
      </c>
      <c r="H12" s="224" t="e">
        <f>'ING. REALES'!#REF!</f>
        <v>#REF!</v>
      </c>
      <c r="I12" s="224" t="e">
        <f>'ING. REALES'!#REF!</f>
        <v>#REF!</v>
      </c>
      <c r="J12" s="224" t="e">
        <f>'ING. REALES'!#REF!</f>
        <v>#REF!</v>
      </c>
      <c r="K12" s="224" t="e">
        <f>'ING. REALES'!#REF!</f>
        <v>#REF!</v>
      </c>
      <c r="L12" s="224" t="e">
        <f>'ING. REALES'!#REF!</f>
        <v>#REF!</v>
      </c>
      <c r="M12" s="224" t="e">
        <f>'ING. REALES'!#REF!</f>
        <v>#REF!</v>
      </c>
      <c r="N12" s="224" t="e">
        <f>'ING. REALES'!#REF!</f>
        <v>#REF!</v>
      </c>
      <c r="O12" s="224" t="e">
        <f>'ING. REALES'!#REF!</f>
        <v>#REF!</v>
      </c>
      <c r="P12" s="152" t="e">
        <f t="shared" si="3"/>
        <v>#REF!</v>
      </c>
      <c r="Q12" s="216" t="e">
        <f t="shared" si="2"/>
        <v>#REF!</v>
      </c>
    </row>
    <row r="13" spans="1:17" x14ac:dyDescent="0.2">
      <c r="A13" s="34">
        <v>11812</v>
      </c>
      <c r="B13" s="445" t="s">
        <v>514</v>
      </c>
      <c r="C13" s="224">
        <f>'ING. REALES'!K13</f>
        <v>308.88</v>
      </c>
      <c r="D13" s="224" t="e">
        <f>'ING. REALES'!#REF!</f>
        <v>#REF!</v>
      </c>
      <c r="E13" s="224" t="e">
        <f>'ING. REALES'!#REF!</f>
        <v>#REF!</v>
      </c>
      <c r="F13" s="224" t="e">
        <f>'ING. REALES'!#REF!</f>
        <v>#REF!</v>
      </c>
      <c r="G13" s="224" t="e">
        <f>'ING. REALES'!#REF!</f>
        <v>#REF!</v>
      </c>
      <c r="H13" s="224" t="e">
        <f>'ING. REALES'!#REF!</f>
        <v>#REF!</v>
      </c>
      <c r="I13" s="224" t="e">
        <f>'ING. REALES'!#REF!</f>
        <v>#REF!</v>
      </c>
      <c r="J13" s="224" t="e">
        <f>'ING. REALES'!#REF!</f>
        <v>#REF!</v>
      </c>
      <c r="K13" s="224" t="e">
        <f>'ING. REALES'!#REF!</f>
        <v>#REF!</v>
      </c>
      <c r="L13" s="224" t="e">
        <f>'ING. REALES'!#REF!</f>
        <v>#REF!</v>
      </c>
      <c r="M13" s="224" t="e">
        <f>'ING. REALES'!#REF!</f>
        <v>#REF!</v>
      </c>
      <c r="N13" s="224" t="e">
        <f>'ING. REALES'!#REF!</f>
        <v>#REF!</v>
      </c>
      <c r="O13" s="224" t="e">
        <f>'ING. REALES'!#REF!</f>
        <v>#REF!</v>
      </c>
      <c r="P13" s="152" t="e">
        <f t="shared" si="3"/>
        <v>#REF!</v>
      </c>
      <c r="Q13" s="216" t="e">
        <f t="shared" si="2"/>
        <v>#REF!</v>
      </c>
    </row>
    <row r="14" spans="1:17" x14ac:dyDescent="0.2">
      <c r="A14" s="34">
        <v>11813</v>
      </c>
      <c r="B14" s="445" t="s">
        <v>626</v>
      </c>
      <c r="C14" s="224">
        <f>'ING. REALES'!K14</f>
        <v>82.320000000000007</v>
      </c>
      <c r="D14" s="224" t="e">
        <f>'ING. REALES'!#REF!</f>
        <v>#REF!</v>
      </c>
      <c r="E14" s="224" t="e">
        <f>'ING. REALES'!#REF!</f>
        <v>#REF!</v>
      </c>
      <c r="F14" s="224" t="e">
        <f>'ING. REALES'!#REF!</f>
        <v>#REF!</v>
      </c>
      <c r="G14" s="224" t="e">
        <f>'ING. REALES'!#REF!</f>
        <v>#REF!</v>
      </c>
      <c r="H14" s="224" t="e">
        <f>'ING. REALES'!#REF!</f>
        <v>#REF!</v>
      </c>
      <c r="I14" s="224" t="e">
        <f>'ING. REALES'!#REF!</f>
        <v>#REF!</v>
      </c>
      <c r="J14" s="224" t="e">
        <f>'ING. REALES'!#REF!</f>
        <v>#REF!</v>
      </c>
      <c r="K14" s="224" t="e">
        <f>'ING. REALES'!#REF!</f>
        <v>#REF!</v>
      </c>
      <c r="L14" s="224" t="e">
        <f>'ING. REALES'!#REF!</f>
        <v>#REF!</v>
      </c>
      <c r="M14" s="224" t="e">
        <f>'ING. REALES'!#REF!</f>
        <v>#REF!</v>
      </c>
      <c r="N14" s="224" t="e">
        <f>'ING. REALES'!#REF!</f>
        <v>#REF!</v>
      </c>
      <c r="O14" s="224" t="e">
        <f>'ING. REALES'!#REF!</f>
        <v>#REF!</v>
      </c>
      <c r="P14" s="152" t="e">
        <f t="shared" si="3"/>
        <v>#REF!</v>
      </c>
      <c r="Q14" s="216" t="e">
        <f t="shared" si="2"/>
        <v>#REF!</v>
      </c>
    </row>
    <row r="15" spans="1:17" x14ac:dyDescent="0.2">
      <c r="A15" s="34">
        <v>11816</v>
      </c>
      <c r="B15" s="444" t="s">
        <v>515</v>
      </c>
      <c r="C15" s="224">
        <f>'ING. REALES'!K15</f>
        <v>1520.8799999999999</v>
      </c>
      <c r="D15" s="224" t="e">
        <f>'ING. REALES'!#REF!</f>
        <v>#REF!</v>
      </c>
      <c r="E15" s="224" t="e">
        <f>'ING. REALES'!#REF!</f>
        <v>#REF!</v>
      </c>
      <c r="F15" s="224" t="e">
        <f>'ING. REALES'!#REF!</f>
        <v>#REF!</v>
      </c>
      <c r="G15" s="224" t="e">
        <f>'ING. REALES'!#REF!</f>
        <v>#REF!</v>
      </c>
      <c r="H15" s="224" t="e">
        <f>'ING. REALES'!#REF!</f>
        <v>#REF!</v>
      </c>
      <c r="I15" s="224" t="e">
        <f>'ING. REALES'!#REF!</f>
        <v>#REF!</v>
      </c>
      <c r="J15" s="224" t="e">
        <f>'ING. REALES'!#REF!</f>
        <v>#REF!</v>
      </c>
      <c r="K15" s="224" t="e">
        <f>'ING. REALES'!#REF!</f>
        <v>#REF!</v>
      </c>
      <c r="L15" s="224" t="e">
        <f>'ING. REALES'!#REF!</f>
        <v>#REF!</v>
      </c>
      <c r="M15" s="224" t="e">
        <f>'ING. REALES'!#REF!</f>
        <v>#REF!</v>
      </c>
      <c r="N15" s="224" t="e">
        <f>'ING. REALES'!#REF!</f>
        <v>#REF!</v>
      </c>
      <c r="O15" s="224" t="e">
        <f>'ING. REALES'!#REF!</f>
        <v>#REF!</v>
      </c>
      <c r="P15" s="152" t="e">
        <f t="shared" si="3"/>
        <v>#REF!</v>
      </c>
      <c r="Q15" s="216" t="e">
        <f t="shared" si="2"/>
        <v>#REF!</v>
      </c>
    </row>
    <row r="16" spans="1:17" x14ac:dyDescent="0.2">
      <c r="A16" s="34">
        <v>11818</v>
      </c>
      <c r="B16" s="444" t="s">
        <v>516</v>
      </c>
      <c r="C16" s="224">
        <f>'ING. REALES'!K16</f>
        <v>1543.5</v>
      </c>
      <c r="D16" s="224" t="e">
        <f>'ING. REALES'!#REF!</f>
        <v>#REF!</v>
      </c>
      <c r="E16" s="224" t="e">
        <f>'ING. REALES'!#REF!</f>
        <v>#REF!</v>
      </c>
      <c r="F16" s="224" t="e">
        <f>'ING. REALES'!#REF!</f>
        <v>#REF!</v>
      </c>
      <c r="G16" s="224" t="e">
        <f>'ING. REALES'!#REF!</f>
        <v>#REF!</v>
      </c>
      <c r="H16" s="224" t="e">
        <f>'ING. REALES'!#REF!</f>
        <v>#REF!</v>
      </c>
      <c r="I16" s="224" t="e">
        <f>'ING. REALES'!#REF!</f>
        <v>#REF!</v>
      </c>
      <c r="J16" s="224" t="e">
        <f>'ING. REALES'!#REF!</f>
        <v>#REF!</v>
      </c>
      <c r="K16" s="224" t="e">
        <f>'ING. REALES'!#REF!</f>
        <v>#REF!</v>
      </c>
      <c r="L16" s="224" t="e">
        <f>'ING. REALES'!#REF!</f>
        <v>#REF!</v>
      </c>
      <c r="M16" s="224" t="e">
        <f>'ING. REALES'!#REF!</f>
        <v>#REF!</v>
      </c>
      <c r="N16" s="224" t="e">
        <f>'ING. REALES'!#REF!</f>
        <v>#REF!</v>
      </c>
      <c r="O16" s="224" t="e">
        <f>'ING. REALES'!#REF!</f>
        <v>#REF!</v>
      </c>
      <c r="P16" s="152"/>
      <c r="Q16" s="216">
        <f t="shared" si="2"/>
        <v>1543.5</v>
      </c>
    </row>
    <row r="17" spans="1:17" x14ac:dyDescent="0.2">
      <c r="A17" s="34">
        <v>11899</v>
      </c>
      <c r="B17" s="444" t="s">
        <v>517</v>
      </c>
      <c r="C17" s="224">
        <f>'ING. REALES'!K17</f>
        <v>0</v>
      </c>
      <c r="D17" s="224" t="e">
        <f>'ING. REALES'!#REF!</f>
        <v>#REF!</v>
      </c>
      <c r="E17" s="224" t="e">
        <f>'ING. REALES'!#REF!</f>
        <v>#REF!</v>
      </c>
      <c r="F17" s="224" t="e">
        <f>'ING. REALES'!#REF!</f>
        <v>#REF!</v>
      </c>
      <c r="G17" s="224" t="e">
        <f>'ING. REALES'!#REF!</f>
        <v>#REF!</v>
      </c>
      <c r="H17" s="224" t="e">
        <f>'ING. REALES'!#REF!</f>
        <v>#REF!</v>
      </c>
      <c r="I17" s="224" t="e">
        <f>'ING. REALES'!#REF!</f>
        <v>#REF!</v>
      </c>
      <c r="J17" s="224" t="e">
        <f>'ING. REALES'!#REF!</f>
        <v>#REF!</v>
      </c>
      <c r="K17" s="224" t="e">
        <f>'ING. REALES'!#REF!</f>
        <v>#REF!</v>
      </c>
      <c r="L17" s="224" t="e">
        <f>'ING. REALES'!#REF!</f>
        <v>#REF!</v>
      </c>
      <c r="M17" s="224" t="e">
        <f>'ING. REALES'!#REF!</f>
        <v>#REF!</v>
      </c>
      <c r="N17" s="224" t="e">
        <f>'ING. REALES'!#REF!</f>
        <v>#REF!</v>
      </c>
      <c r="O17" s="224" t="e">
        <f>'ING. REALES'!#REF!</f>
        <v>#REF!</v>
      </c>
      <c r="P17" s="151" t="e">
        <f t="shared" ref="P17" si="4">+P18+P31</f>
        <v>#REF!</v>
      </c>
      <c r="Q17" s="216" t="e">
        <f t="shared" si="2"/>
        <v>#REF!</v>
      </c>
    </row>
    <row r="18" spans="1:17" x14ac:dyDescent="0.2">
      <c r="A18" s="41">
        <v>12</v>
      </c>
      <c r="B18" s="443" t="s">
        <v>6</v>
      </c>
      <c r="C18" s="223">
        <f>C19+C32</f>
        <v>110585.94</v>
      </c>
      <c r="D18" s="223" t="e">
        <f>D19+D32</f>
        <v>#REF!</v>
      </c>
      <c r="E18" s="223" t="e">
        <f t="shared" ref="E18:O18" si="5">E19+E32</f>
        <v>#REF!</v>
      </c>
      <c r="F18" s="223" t="e">
        <f t="shared" si="5"/>
        <v>#REF!</v>
      </c>
      <c r="G18" s="223" t="e">
        <f t="shared" si="5"/>
        <v>#REF!</v>
      </c>
      <c r="H18" s="223" t="e">
        <f t="shared" si="5"/>
        <v>#REF!</v>
      </c>
      <c r="I18" s="223" t="e">
        <f t="shared" si="5"/>
        <v>#REF!</v>
      </c>
      <c r="J18" s="223" t="e">
        <f t="shared" si="5"/>
        <v>#REF!</v>
      </c>
      <c r="K18" s="223" t="e">
        <f t="shared" si="5"/>
        <v>#REF!</v>
      </c>
      <c r="L18" s="223" t="e">
        <f t="shared" si="5"/>
        <v>#REF!</v>
      </c>
      <c r="M18" s="223" t="e">
        <f t="shared" si="5"/>
        <v>#REF!</v>
      </c>
      <c r="N18" s="223" t="e">
        <f t="shared" si="5"/>
        <v>#REF!</v>
      </c>
      <c r="O18" s="223" t="e">
        <f t="shared" si="5"/>
        <v>#REF!</v>
      </c>
      <c r="P18" s="151" t="e">
        <f t="shared" ref="P18" si="6">SUM(P19:P30)</f>
        <v>#REF!</v>
      </c>
      <c r="Q18" s="216" t="e">
        <f t="shared" si="2"/>
        <v>#REF!</v>
      </c>
    </row>
    <row r="19" spans="1:17" x14ac:dyDescent="0.2">
      <c r="A19" s="41">
        <v>121</v>
      </c>
      <c r="B19" s="443" t="s">
        <v>337</v>
      </c>
      <c r="C19" s="223">
        <f>SUM(C20:C31)</f>
        <v>110484.94</v>
      </c>
      <c r="D19" s="223" t="e">
        <f>SUM(D20:D31)</f>
        <v>#REF!</v>
      </c>
      <c r="E19" s="223" t="e">
        <f t="shared" ref="E19:O19" si="7">SUM(E20:E31)</f>
        <v>#REF!</v>
      </c>
      <c r="F19" s="223" t="e">
        <f t="shared" si="7"/>
        <v>#REF!</v>
      </c>
      <c r="G19" s="223" t="e">
        <f t="shared" si="7"/>
        <v>#REF!</v>
      </c>
      <c r="H19" s="223" t="e">
        <f t="shared" si="7"/>
        <v>#REF!</v>
      </c>
      <c r="I19" s="223" t="e">
        <f t="shared" si="7"/>
        <v>#REF!</v>
      </c>
      <c r="J19" s="223" t="e">
        <f t="shared" si="7"/>
        <v>#REF!</v>
      </c>
      <c r="K19" s="223" t="e">
        <f t="shared" si="7"/>
        <v>#REF!</v>
      </c>
      <c r="L19" s="223" t="e">
        <f t="shared" si="7"/>
        <v>#REF!</v>
      </c>
      <c r="M19" s="223" t="e">
        <f t="shared" si="7"/>
        <v>#REF!</v>
      </c>
      <c r="N19" s="223" t="e">
        <f t="shared" si="7"/>
        <v>#REF!</v>
      </c>
      <c r="O19" s="223" t="e">
        <f t="shared" si="7"/>
        <v>#REF!</v>
      </c>
      <c r="P19" s="152" t="e">
        <f t="shared" ref="P19:P33" si="8">SUM(D19:O19)</f>
        <v>#REF!</v>
      </c>
      <c r="Q19" s="216" t="e">
        <f t="shared" si="2"/>
        <v>#REF!</v>
      </c>
    </row>
    <row r="20" spans="1:17" x14ac:dyDescent="0.2">
      <c r="A20" s="34">
        <v>12105</v>
      </c>
      <c r="B20" s="444" t="s">
        <v>518</v>
      </c>
      <c r="C20" s="224">
        <f>'ING. REALES'!K20</f>
        <v>9500</v>
      </c>
      <c r="D20" s="224" t="e">
        <f>'ING. REALES'!#REF!</f>
        <v>#REF!</v>
      </c>
      <c r="E20" s="224" t="e">
        <f>'ING. REALES'!#REF!</f>
        <v>#REF!</v>
      </c>
      <c r="F20" s="224" t="e">
        <f>'ING. REALES'!#REF!</f>
        <v>#REF!</v>
      </c>
      <c r="G20" s="224" t="e">
        <f>'ING. REALES'!#REF!</f>
        <v>#REF!</v>
      </c>
      <c r="H20" s="224" t="e">
        <f>'ING. REALES'!#REF!</f>
        <v>#REF!</v>
      </c>
      <c r="I20" s="224" t="e">
        <f>'ING. REALES'!#REF!</f>
        <v>#REF!</v>
      </c>
      <c r="J20" s="224" t="e">
        <f>'ING. REALES'!#REF!</f>
        <v>#REF!</v>
      </c>
      <c r="K20" s="224" t="e">
        <f>'ING. REALES'!#REF!</f>
        <v>#REF!</v>
      </c>
      <c r="L20" s="224" t="e">
        <f>'ING. REALES'!#REF!</f>
        <v>#REF!</v>
      </c>
      <c r="M20" s="224" t="e">
        <f>'ING. REALES'!#REF!</f>
        <v>#REF!</v>
      </c>
      <c r="N20" s="224" t="e">
        <f>'ING. REALES'!#REF!</f>
        <v>#REF!</v>
      </c>
      <c r="O20" s="224" t="e">
        <f>'ING. REALES'!#REF!</f>
        <v>#REF!</v>
      </c>
      <c r="P20" s="152" t="e">
        <f t="shared" si="8"/>
        <v>#REF!</v>
      </c>
      <c r="Q20" s="216" t="e">
        <f t="shared" si="2"/>
        <v>#REF!</v>
      </c>
    </row>
    <row r="21" spans="1:17" x14ac:dyDescent="0.2">
      <c r="A21" s="34">
        <v>12106</v>
      </c>
      <c r="B21" s="444" t="s">
        <v>519</v>
      </c>
      <c r="C21" s="224">
        <f>'ING. REALES'!K21</f>
        <v>250</v>
      </c>
      <c r="D21" s="224" t="e">
        <f>'ING. REALES'!#REF!</f>
        <v>#REF!</v>
      </c>
      <c r="E21" s="224" t="e">
        <f>'ING. REALES'!#REF!</f>
        <v>#REF!</v>
      </c>
      <c r="F21" s="224" t="e">
        <f>'ING. REALES'!#REF!</f>
        <v>#REF!</v>
      </c>
      <c r="G21" s="224" t="e">
        <f>'ING. REALES'!#REF!</f>
        <v>#REF!</v>
      </c>
      <c r="H21" s="224" t="e">
        <f>'ING. REALES'!#REF!</f>
        <v>#REF!</v>
      </c>
      <c r="I21" s="224" t="e">
        <f>'ING. REALES'!#REF!</f>
        <v>#REF!</v>
      </c>
      <c r="J21" s="224" t="e">
        <f>'ING. REALES'!#REF!</f>
        <v>#REF!</v>
      </c>
      <c r="K21" s="224" t="e">
        <f>'ING. REALES'!#REF!</f>
        <v>#REF!</v>
      </c>
      <c r="L21" s="224" t="e">
        <f>'ING. REALES'!#REF!</f>
        <v>#REF!</v>
      </c>
      <c r="M21" s="224" t="e">
        <f>'ING. REALES'!#REF!</f>
        <v>#REF!</v>
      </c>
      <c r="N21" s="224" t="e">
        <f>'ING. REALES'!#REF!</f>
        <v>#REF!</v>
      </c>
      <c r="O21" s="224" t="e">
        <f>'ING. REALES'!#REF!</f>
        <v>#REF!</v>
      </c>
      <c r="P21" s="152" t="e">
        <f t="shared" si="8"/>
        <v>#REF!</v>
      </c>
      <c r="Q21" s="216" t="e">
        <f t="shared" si="2"/>
        <v>#REF!</v>
      </c>
    </row>
    <row r="22" spans="1:17" x14ac:dyDescent="0.2">
      <c r="A22" s="34">
        <v>12108</v>
      </c>
      <c r="B22" s="444" t="s">
        <v>520</v>
      </c>
      <c r="C22" s="224">
        <f>'ING. REALES'!K22</f>
        <v>1742.28</v>
      </c>
      <c r="D22" s="224" t="e">
        <f>'ING. REALES'!#REF!</f>
        <v>#REF!</v>
      </c>
      <c r="E22" s="224" t="e">
        <f>'ING. REALES'!#REF!</f>
        <v>#REF!</v>
      </c>
      <c r="F22" s="224" t="e">
        <f>'ING. REALES'!#REF!</f>
        <v>#REF!</v>
      </c>
      <c r="G22" s="224" t="e">
        <f>'ING. REALES'!#REF!</f>
        <v>#REF!</v>
      </c>
      <c r="H22" s="224" t="e">
        <f>'ING. REALES'!#REF!</f>
        <v>#REF!</v>
      </c>
      <c r="I22" s="224" t="e">
        <f>'ING. REALES'!#REF!</f>
        <v>#REF!</v>
      </c>
      <c r="J22" s="224" t="e">
        <f>'ING. REALES'!#REF!</f>
        <v>#REF!</v>
      </c>
      <c r="K22" s="224" t="e">
        <f>'ING. REALES'!#REF!</f>
        <v>#REF!</v>
      </c>
      <c r="L22" s="224" t="e">
        <f>'ING. REALES'!#REF!</f>
        <v>#REF!</v>
      </c>
      <c r="M22" s="224" t="e">
        <f>'ING. REALES'!#REF!</f>
        <v>#REF!</v>
      </c>
      <c r="N22" s="224" t="e">
        <f>'ING. REALES'!#REF!</f>
        <v>#REF!</v>
      </c>
      <c r="O22" s="224" t="e">
        <f>'ING. REALES'!#REF!</f>
        <v>#REF!</v>
      </c>
      <c r="P22" s="152" t="e">
        <f t="shared" si="8"/>
        <v>#REF!</v>
      </c>
      <c r="Q22" s="216" t="e">
        <f t="shared" si="2"/>
        <v>#REF!</v>
      </c>
    </row>
    <row r="23" spans="1:17" x14ac:dyDescent="0.2">
      <c r="A23" s="34">
        <v>12109</v>
      </c>
      <c r="B23" s="444" t="s">
        <v>521</v>
      </c>
      <c r="C23" s="224">
        <f>'ING. REALES'!K23</f>
        <v>7657.2000000000007</v>
      </c>
      <c r="D23" s="224" t="e">
        <f>'ING. REALES'!#REF!</f>
        <v>#REF!</v>
      </c>
      <c r="E23" s="224" t="e">
        <f>'ING. REALES'!#REF!</f>
        <v>#REF!</v>
      </c>
      <c r="F23" s="224" t="e">
        <f>'ING. REALES'!#REF!</f>
        <v>#REF!</v>
      </c>
      <c r="G23" s="224" t="e">
        <f>'ING. REALES'!#REF!</f>
        <v>#REF!</v>
      </c>
      <c r="H23" s="224" t="e">
        <f>'ING. REALES'!#REF!</f>
        <v>#REF!</v>
      </c>
      <c r="I23" s="224" t="e">
        <f>'ING. REALES'!#REF!</f>
        <v>#REF!</v>
      </c>
      <c r="J23" s="224" t="e">
        <f>'ING. REALES'!#REF!</f>
        <v>#REF!</v>
      </c>
      <c r="K23" s="224" t="e">
        <f>'ING. REALES'!#REF!</f>
        <v>#REF!</v>
      </c>
      <c r="L23" s="224" t="e">
        <f>'ING. REALES'!#REF!</f>
        <v>#REF!</v>
      </c>
      <c r="M23" s="224" t="e">
        <f>'ING. REALES'!#REF!</f>
        <v>#REF!</v>
      </c>
      <c r="N23" s="224" t="e">
        <f>'ING. REALES'!#REF!</f>
        <v>#REF!</v>
      </c>
      <c r="O23" s="224" t="e">
        <f>'ING. REALES'!#REF!</f>
        <v>#REF!</v>
      </c>
      <c r="P23" s="152" t="e">
        <f t="shared" si="8"/>
        <v>#REF!</v>
      </c>
      <c r="Q23" s="216" t="e">
        <f t="shared" si="2"/>
        <v>#REF!</v>
      </c>
    </row>
    <row r="24" spans="1:17" x14ac:dyDescent="0.2">
      <c r="A24" s="34">
        <v>12110</v>
      </c>
      <c r="B24" s="444" t="s">
        <v>522</v>
      </c>
      <c r="C24" s="224">
        <f>'ING. REALES'!K24</f>
        <v>0</v>
      </c>
      <c r="D24" s="224" t="e">
        <f>'ING. REALES'!#REF!</f>
        <v>#REF!</v>
      </c>
      <c r="E24" s="224" t="e">
        <f>'ING. REALES'!#REF!</f>
        <v>#REF!</v>
      </c>
      <c r="F24" s="224" t="e">
        <f>'ING. REALES'!#REF!</f>
        <v>#REF!</v>
      </c>
      <c r="G24" s="224" t="e">
        <f>'ING. REALES'!#REF!</f>
        <v>#REF!</v>
      </c>
      <c r="H24" s="224" t="e">
        <f>'ING. REALES'!#REF!</f>
        <v>#REF!</v>
      </c>
      <c r="I24" s="224" t="e">
        <f>'ING. REALES'!#REF!</f>
        <v>#REF!</v>
      </c>
      <c r="J24" s="224" t="e">
        <f>'ING. REALES'!#REF!</f>
        <v>#REF!</v>
      </c>
      <c r="K24" s="224" t="e">
        <f>'ING. REALES'!#REF!</f>
        <v>#REF!</v>
      </c>
      <c r="L24" s="224" t="e">
        <f>'ING. REALES'!#REF!</f>
        <v>#REF!</v>
      </c>
      <c r="M24" s="224" t="e">
        <f>'ING. REALES'!#REF!</f>
        <v>#REF!</v>
      </c>
      <c r="N24" s="224" t="e">
        <f>'ING. REALES'!#REF!</f>
        <v>#REF!</v>
      </c>
      <c r="O24" s="224" t="e">
        <f>'ING. REALES'!#REF!</f>
        <v>#REF!</v>
      </c>
      <c r="P24" s="152" t="e">
        <f t="shared" si="8"/>
        <v>#REF!</v>
      </c>
      <c r="Q24" s="216" t="e">
        <f t="shared" si="2"/>
        <v>#REF!</v>
      </c>
    </row>
    <row r="25" spans="1:17" x14ac:dyDescent="0.2">
      <c r="A25" s="34">
        <v>12111</v>
      </c>
      <c r="B25" s="444" t="s">
        <v>523</v>
      </c>
      <c r="C25" s="224">
        <f>'ING. REALES'!K25</f>
        <v>1500</v>
      </c>
      <c r="D25" s="224" t="e">
        <f>'ING. REALES'!#REF!</f>
        <v>#REF!</v>
      </c>
      <c r="E25" s="224" t="e">
        <f>'ING. REALES'!#REF!</f>
        <v>#REF!</v>
      </c>
      <c r="F25" s="224" t="e">
        <f>'ING. REALES'!#REF!</f>
        <v>#REF!</v>
      </c>
      <c r="G25" s="224" t="e">
        <f>'ING. REALES'!#REF!</f>
        <v>#REF!</v>
      </c>
      <c r="H25" s="224" t="e">
        <f>'ING. REALES'!#REF!</f>
        <v>#REF!</v>
      </c>
      <c r="I25" s="224" t="e">
        <f>'ING. REALES'!#REF!</f>
        <v>#REF!</v>
      </c>
      <c r="J25" s="224" t="e">
        <f>'ING. REALES'!#REF!</f>
        <v>#REF!</v>
      </c>
      <c r="K25" s="224" t="e">
        <f>'ING. REALES'!#REF!</f>
        <v>#REF!</v>
      </c>
      <c r="L25" s="224" t="e">
        <f>'ING. REALES'!#REF!</f>
        <v>#REF!</v>
      </c>
      <c r="M25" s="224" t="e">
        <f>'ING. REALES'!#REF!</f>
        <v>#REF!</v>
      </c>
      <c r="N25" s="224" t="e">
        <f>'ING. REALES'!#REF!</f>
        <v>#REF!</v>
      </c>
      <c r="O25" s="224" t="e">
        <f>'ING. REALES'!#REF!</f>
        <v>#REF!</v>
      </c>
      <c r="P25" s="152" t="e">
        <f t="shared" si="8"/>
        <v>#REF!</v>
      </c>
      <c r="Q25" s="216" t="e">
        <f t="shared" si="2"/>
        <v>#REF!</v>
      </c>
    </row>
    <row r="26" spans="1:17" x14ac:dyDescent="0.2">
      <c r="A26" s="34">
        <v>12114</v>
      </c>
      <c r="B26" s="444" t="s">
        <v>524</v>
      </c>
      <c r="C26" s="224">
        <f>'ING. REALES'!K26</f>
        <v>14906.58</v>
      </c>
      <c r="D26" s="224" t="e">
        <f>'ING. REALES'!#REF!</f>
        <v>#REF!</v>
      </c>
      <c r="E26" s="224" t="e">
        <f>'ING. REALES'!#REF!</f>
        <v>#REF!</v>
      </c>
      <c r="F26" s="224" t="e">
        <f>'ING. REALES'!#REF!</f>
        <v>#REF!</v>
      </c>
      <c r="G26" s="224" t="e">
        <f>'ING. REALES'!#REF!</f>
        <v>#REF!</v>
      </c>
      <c r="H26" s="224" t="e">
        <f>'ING. REALES'!#REF!</f>
        <v>#REF!</v>
      </c>
      <c r="I26" s="224" t="e">
        <f>'ING. REALES'!#REF!</f>
        <v>#REF!</v>
      </c>
      <c r="J26" s="224" t="e">
        <f>'ING. REALES'!#REF!</f>
        <v>#REF!</v>
      </c>
      <c r="K26" s="224" t="e">
        <f>'ING. REALES'!#REF!</f>
        <v>#REF!</v>
      </c>
      <c r="L26" s="224" t="e">
        <f>'ING. REALES'!#REF!</f>
        <v>#REF!</v>
      </c>
      <c r="M26" s="224" t="e">
        <f>'ING. REALES'!#REF!</f>
        <v>#REF!</v>
      </c>
      <c r="N26" s="224" t="e">
        <f>'ING. REALES'!#REF!</f>
        <v>#REF!</v>
      </c>
      <c r="O26" s="224" t="e">
        <f>'ING. REALES'!#REF!</f>
        <v>#REF!</v>
      </c>
      <c r="P26" s="152" t="e">
        <f t="shared" si="8"/>
        <v>#REF!</v>
      </c>
      <c r="Q26" s="216" t="e">
        <f t="shared" si="2"/>
        <v>#REF!</v>
      </c>
    </row>
    <row r="27" spans="1:17" x14ac:dyDescent="0.2">
      <c r="A27" s="34">
        <v>12115</v>
      </c>
      <c r="B27" s="444" t="s">
        <v>525</v>
      </c>
      <c r="C27" s="224">
        <f>'ING. REALES'!K27</f>
        <v>0</v>
      </c>
      <c r="D27" s="224" t="e">
        <f>'ING. REALES'!#REF!</f>
        <v>#REF!</v>
      </c>
      <c r="E27" s="224" t="e">
        <f>'ING. REALES'!#REF!</f>
        <v>#REF!</v>
      </c>
      <c r="F27" s="224" t="e">
        <f>'ING. REALES'!#REF!</f>
        <v>#REF!</v>
      </c>
      <c r="G27" s="224" t="e">
        <f>'ING. REALES'!#REF!</f>
        <v>#REF!</v>
      </c>
      <c r="H27" s="224" t="e">
        <f>'ING. REALES'!#REF!</f>
        <v>#REF!</v>
      </c>
      <c r="I27" s="224" t="e">
        <f>'ING. REALES'!#REF!</f>
        <v>#REF!</v>
      </c>
      <c r="J27" s="224" t="e">
        <f>'ING. REALES'!#REF!</f>
        <v>#REF!</v>
      </c>
      <c r="K27" s="224" t="e">
        <f>'ING. REALES'!#REF!</f>
        <v>#REF!</v>
      </c>
      <c r="L27" s="224" t="e">
        <f>'ING. REALES'!#REF!</f>
        <v>#REF!</v>
      </c>
      <c r="M27" s="224" t="e">
        <f>'ING. REALES'!#REF!</f>
        <v>#REF!</v>
      </c>
      <c r="N27" s="224" t="e">
        <f>'ING. REALES'!#REF!</f>
        <v>#REF!</v>
      </c>
      <c r="O27" s="224" t="e">
        <f>'ING. REALES'!#REF!</f>
        <v>#REF!</v>
      </c>
      <c r="P27" s="152" t="e">
        <f t="shared" si="8"/>
        <v>#REF!</v>
      </c>
      <c r="Q27" s="216" t="e">
        <f t="shared" si="2"/>
        <v>#REF!</v>
      </c>
    </row>
    <row r="28" spans="1:17" x14ac:dyDescent="0.2">
      <c r="A28" s="34">
        <v>12117</v>
      </c>
      <c r="B28" s="444" t="s">
        <v>526</v>
      </c>
      <c r="C28" s="224">
        <f>'ING. REALES'!K28</f>
        <v>372.24</v>
      </c>
      <c r="D28" s="224" t="e">
        <f>'ING. REALES'!#REF!</f>
        <v>#REF!</v>
      </c>
      <c r="E28" s="224" t="e">
        <f>'ING. REALES'!#REF!</f>
        <v>#REF!</v>
      </c>
      <c r="F28" s="224" t="e">
        <f>'ING. REALES'!#REF!</f>
        <v>#REF!</v>
      </c>
      <c r="G28" s="224" t="e">
        <f>'ING. REALES'!#REF!</f>
        <v>#REF!</v>
      </c>
      <c r="H28" s="224" t="e">
        <f>'ING. REALES'!#REF!</f>
        <v>#REF!</v>
      </c>
      <c r="I28" s="224" t="e">
        <f>'ING. REALES'!#REF!</f>
        <v>#REF!</v>
      </c>
      <c r="J28" s="224" t="e">
        <f>'ING. REALES'!#REF!</f>
        <v>#REF!</v>
      </c>
      <c r="K28" s="224" t="e">
        <f>'ING. REALES'!#REF!</f>
        <v>#REF!</v>
      </c>
      <c r="L28" s="224" t="e">
        <f>'ING. REALES'!#REF!</f>
        <v>#REF!</v>
      </c>
      <c r="M28" s="224" t="e">
        <f>'ING. REALES'!#REF!</f>
        <v>#REF!</v>
      </c>
      <c r="N28" s="224" t="e">
        <f>'ING. REALES'!#REF!</f>
        <v>#REF!</v>
      </c>
      <c r="O28" s="224" t="e">
        <f>'ING. REALES'!#REF!</f>
        <v>#REF!</v>
      </c>
      <c r="P28" s="152" t="e">
        <f t="shared" si="8"/>
        <v>#REF!</v>
      </c>
      <c r="Q28" s="216" t="e">
        <f t="shared" si="2"/>
        <v>#REF!</v>
      </c>
    </row>
    <row r="29" spans="1:17" x14ac:dyDescent="0.2">
      <c r="A29" s="34">
        <v>12118</v>
      </c>
      <c r="B29" s="444" t="s">
        <v>527</v>
      </c>
      <c r="C29" s="224">
        <f>'ING. REALES'!K29</f>
        <v>71546.64</v>
      </c>
      <c r="D29" s="224" t="e">
        <f>'ING. REALES'!#REF!</f>
        <v>#REF!</v>
      </c>
      <c r="E29" s="224" t="e">
        <f>'ING. REALES'!#REF!</f>
        <v>#REF!</v>
      </c>
      <c r="F29" s="224" t="e">
        <f>'ING. REALES'!#REF!</f>
        <v>#REF!</v>
      </c>
      <c r="G29" s="224" t="e">
        <f>'ING. REALES'!#REF!</f>
        <v>#REF!</v>
      </c>
      <c r="H29" s="224" t="e">
        <f>'ING. REALES'!#REF!</f>
        <v>#REF!</v>
      </c>
      <c r="I29" s="224" t="e">
        <f>'ING. REALES'!#REF!</f>
        <v>#REF!</v>
      </c>
      <c r="J29" s="224" t="e">
        <f>'ING. REALES'!#REF!</f>
        <v>#REF!</v>
      </c>
      <c r="K29" s="224" t="e">
        <f>'ING. REALES'!#REF!</f>
        <v>#REF!</v>
      </c>
      <c r="L29" s="224" t="e">
        <f>'ING. REALES'!#REF!</f>
        <v>#REF!</v>
      </c>
      <c r="M29" s="224" t="e">
        <f>'ING. REALES'!#REF!</f>
        <v>#REF!</v>
      </c>
      <c r="N29" s="224" t="e">
        <f>'ING. REALES'!#REF!</f>
        <v>#REF!</v>
      </c>
      <c r="O29" s="224" t="e">
        <f>'ING. REALES'!#REF!</f>
        <v>#REF!</v>
      </c>
      <c r="P29" s="152" t="e">
        <f t="shared" si="8"/>
        <v>#REF!</v>
      </c>
      <c r="Q29" s="216" t="e">
        <f t="shared" si="2"/>
        <v>#REF!</v>
      </c>
    </row>
    <row r="30" spans="1:17" x14ac:dyDescent="0.2">
      <c r="A30" s="34">
        <v>12119</v>
      </c>
      <c r="B30" s="444" t="s">
        <v>528</v>
      </c>
      <c r="C30" s="224">
        <f>'ING. REALES'!K30</f>
        <v>10</v>
      </c>
      <c r="D30" s="224" t="e">
        <f>'ING. REALES'!#REF!</f>
        <v>#REF!</v>
      </c>
      <c r="E30" s="224" t="e">
        <f>'ING. REALES'!#REF!</f>
        <v>#REF!</v>
      </c>
      <c r="F30" s="224" t="e">
        <f>'ING. REALES'!#REF!</f>
        <v>#REF!</v>
      </c>
      <c r="G30" s="224" t="e">
        <f>'ING. REALES'!#REF!</f>
        <v>#REF!</v>
      </c>
      <c r="H30" s="224" t="e">
        <f>'ING. REALES'!#REF!</f>
        <v>#REF!</v>
      </c>
      <c r="I30" s="224" t="e">
        <f>'ING. REALES'!#REF!</f>
        <v>#REF!</v>
      </c>
      <c r="J30" s="224" t="e">
        <f>'ING. REALES'!#REF!</f>
        <v>#REF!</v>
      </c>
      <c r="K30" s="224" t="e">
        <f>'ING. REALES'!#REF!</f>
        <v>#REF!</v>
      </c>
      <c r="L30" s="224" t="e">
        <f>'ING. REALES'!#REF!</f>
        <v>#REF!</v>
      </c>
      <c r="M30" s="224" t="e">
        <f>'ING. REALES'!#REF!</f>
        <v>#REF!</v>
      </c>
      <c r="N30" s="224" t="e">
        <f>'ING. REALES'!#REF!</f>
        <v>#REF!</v>
      </c>
      <c r="O30" s="224" t="e">
        <f>'ING. REALES'!#REF!</f>
        <v>#REF!</v>
      </c>
      <c r="P30" s="152" t="e">
        <f t="shared" si="8"/>
        <v>#REF!</v>
      </c>
      <c r="Q30" s="216" t="e">
        <f t="shared" si="2"/>
        <v>#REF!</v>
      </c>
    </row>
    <row r="31" spans="1:17" x14ac:dyDescent="0.2">
      <c r="A31" s="34">
        <v>12199</v>
      </c>
      <c r="B31" s="444" t="s">
        <v>529</v>
      </c>
      <c r="C31" s="224">
        <f>'ING. REALES'!K31</f>
        <v>3000</v>
      </c>
      <c r="D31" s="224" t="e">
        <f>'ING. REALES'!#REF!</f>
        <v>#REF!</v>
      </c>
      <c r="E31" s="224" t="e">
        <f>'ING. REALES'!#REF!</f>
        <v>#REF!</v>
      </c>
      <c r="F31" s="224" t="e">
        <f>'ING. REALES'!#REF!</f>
        <v>#REF!</v>
      </c>
      <c r="G31" s="224" t="e">
        <f>'ING. REALES'!#REF!</f>
        <v>#REF!</v>
      </c>
      <c r="H31" s="224" t="e">
        <f>'ING. REALES'!#REF!</f>
        <v>#REF!</v>
      </c>
      <c r="I31" s="224" t="e">
        <f>'ING. REALES'!#REF!</f>
        <v>#REF!</v>
      </c>
      <c r="J31" s="224" t="e">
        <f>'ING. REALES'!#REF!</f>
        <v>#REF!</v>
      </c>
      <c r="K31" s="224" t="e">
        <f>'ING. REALES'!#REF!</f>
        <v>#REF!</v>
      </c>
      <c r="L31" s="224" t="e">
        <f>'ING. REALES'!#REF!</f>
        <v>#REF!</v>
      </c>
      <c r="M31" s="224" t="e">
        <f>'ING. REALES'!#REF!</f>
        <v>#REF!</v>
      </c>
      <c r="N31" s="224" t="e">
        <f>'ING. REALES'!#REF!</f>
        <v>#REF!</v>
      </c>
      <c r="O31" s="224" t="e">
        <f>'ING. REALES'!#REF!</f>
        <v>#REF!</v>
      </c>
      <c r="P31" s="151" t="e">
        <f t="shared" ref="P31" si="9">SUM(P32:P33)</f>
        <v>#REF!</v>
      </c>
      <c r="Q31" s="216" t="e">
        <f t="shared" si="2"/>
        <v>#REF!</v>
      </c>
    </row>
    <row r="32" spans="1:17" x14ac:dyDescent="0.2">
      <c r="A32" s="41">
        <v>122</v>
      </c>
      <c r="B32" s="443" t="s">
        <v>338</v>
      </c>
      <c r="C32" s="223">
        <f>SUM(C33:C34)</f>
        <v>101</v>
      </c>
      <c r="D32" s="223" t="e">
        <f>SUM(D33:D34)</f>
        <v>#REF!</v>
      </c>
      <c r="E32" s="223" t="e">
        <f t="shared" ref="E32:O32" si="10">SUM(E33:E34)</f>
        <v>#REF!</v>
      </c>
      <c r="F32" s="223" t="e">
        <f t="shared" si="10"/>
        <v>#REF!</v>
      </c>
      <c r="G32" s="223" t="e">
        <f t="shared" si="10"/>
        <v>#REF!</v>
      </c>
      <c r="H32" s="223" t="e">
        <f t="shared" si="10"/>
        <v>#REF!</v>
      </c>
      <c r="I32" s="223" t="e">
        <f t="shared" si="10"/>
        <v>#REF!</v>
      </c>
      <c r="J32" s="223" t="e">
        <f t="shared" si="10"/>
        <v>#REF!</v>
      </c>
      <c r="K32" s="223" t="e">
        <f t="shared" si="10"/>
        <v>#REF!</v>
      </c>
      <c r="L32" s="223" t="e">
        <f t="shared" si="10"/>
        <v>#REF!</v>
      </c>
      <c r="M32" s="223" t="e">
        <f t="shared" si="10"/>
        <v>#REF!</v>
      </c>
      <c r="N32" s="223" t="e">
        <f t="shared" si="10"/>
        <v>#REF!</v>
      </c>
      <c r="O32" s="223" t="e">
        <f t="shared" si="10"/>
        <v>#REF!</v>
      </c>
      <c r="P32" s="152" t="e">
        <f t="shared" si="8"/>
        <v>#REF!</v>
      </c>
      <c r="Q32" s="216" t="e">
        <f t="shared" si="2"/>
        <v>#REF!</v>
      </c>
    </row>
    <row r="33" spans="1:17" x14ac:dyDescent="0.2">
      <c r="A33" s="34">
        <v>12210</v>
      </c>
      <c r="B33" s="444" t="s">
        <v>530</v>
      </c>
      <c r="C33" s="224">
        <f>'ING. REALES'!K33</f>
        <v>100</v>
      </c>
      <c r="D33" s="224" t="e">
        <f>'ING. REALES'!#REF!</f>
        <v>#REF!</v>
      </c>
      <c r="E33" s="224" t="e">
        <f>'ING. REALES'!#REF!</f>
        <v>#REF!</v>
      </c>
      <c r="F33" s="224" t="e">
        <f>'ING. REALES'!#REF!</f>
        <v>#REF!</v>
      </c>
      <c r="G33" s="224" t="e">
        <f>'ING. REALES'!#REF!</f>
        <v>#REF!</v>
      </c>
      <c r="H33" s="224" t="e">
        <f>'ING. REALES'!#REF!</f>
        <v>#REF!</v>
      </c>
      <c r="I33" s="224" t="e">
        <f>'ING. REALES'!#REF!</f>
        <v>#REF!</v>
      </c>
      <c r="J33" s="224" t="e">
        <f>'ING. REALES'!#REF!</f>
        <v>#REF!</v>
      </c>
      <c r="K33" s="224" t="e">
        <f>'ING. REALES'!#REF!</f>
        <v>#REF!</v>
      </c>
      <c r="L33" s="224" t="e">
        <f>'ING. REALES'!#REF!</f>
        <v>#REF!</v>
      </c>
      <c r="M33" s="224" t="e">
        <f>'ING. REALES'!#REF!</f>
        <v>#REF!</v>
      </c>
      <c r="N33" s="224" t="e">
        <f>'ING. REALES'!#REF!</f>
        <v>#REF!</v>
      </c>
      <c r="O33" s="224" t="e">
        <f>'ING. REALES'!#REF!</f>
        <v>#REF!</v>
      </c>
      <c r="P33" s="152" t="e">
        <f t="shared" si="8"/>
        <v>#REF!</v>
      </c>
      <c r="Q33" s="216" t="e">
        <f t="shared" si="2"/>
        <v>#REF!</v>
      </c>
    </row>
    <row r="34" spans="1:17" x14ac:dyDescent="0.2">
      <c r="A34" s="34">
        <v>12211</v>
      </c>
      <c r="B34" s="444" t="s">
        <v>531</v>
      </c>
      <c r="C34" s="224">
        <f>'ING. REALES'!K34</f>
        <v>1</v>
      </c>
      <c r="D34" s="224" t="e">
        <f>'ING. REALES'!#REF!</f>
        <v>#REF!</v>
      </c>
      <c r="E34" s="224" t="e">
        <f>'ING. REALES'!#REF!</f>
        <v>#REF!</v>
      </c>
      <c r="F34" s="224" t="e">
        <f>'ING. REALES'!#REF!</f>
        <v>#REF!</v>
      </c>
      <c r="G34" s="224" t="e">
        <f>'ING. REALES'!#REF!</f>
        <v>#REF!</v>
      </c>
      <c r="H34" s="224" t="e">
        <f>'ING. REALES'!#REF!</f>
        <v>#REF!</v>
      </c>
      <c r="I34" s="224" t="e">
        <f>'ING. REALES'!#REF!</f>
        <v>#REF!</v>
      </c>
      <c r="J34" s="224" t="e">
        <f>'ING. REALES'!#REF!</f>
        <v>#REF!</v>
      </c>
      <c r="K34" s="224" t="e">
        <f>'ING. REALES'!#REF!</f>
        <v>#REF!</v>
      </c>
      <c r="L34" s="224" t="e">
        <f>'ING. REALES'!#REF!</f>
        <v>#REF!</v>
      </c>
      <c r="M34" s="224" t="e">
        <f>'ING. REALES'!#REF!</f>
        <v>#REF!</v>
      </c>
      <c r="N34" s="224" t="e">
        <f>'ING. REALES'!#REF!</f>
        <v>#REF!</v>
      </c>
      <c r="O34" s="224" t="e">
        <f>'ING. REALES'!#REF!</f>
        <v>#REF!</v>
      </c>
      <c r="P34" s="151" t="e">
        <f t="shared" ref="P34" si="11">+P35</f>
        <v>#REF!</v>
      </c>
      <c r="Q34" s="216" t="e">
        <f t="shared" si="2"/>
        <v>#REF!</v>
      </c>
    </row>
    <row r="35" spans="1:17" x14ac:dyDescent="0.2">
      <c r="A35" s="41">
        <v>14</v>
      </c>
      <c r="B35" s="443" t="s">
        <v>8</v>
      </c>
      <c r="C35" s="223">
        <f>C36</f>
        <v>180069.56</v>
      </c>
      <c r="D35" s="223" t="e">
        <f>D36</f>
        <v>#REF!</v>
      </c>
      <c r="E35" s="223" t="e">
        <f t="shared" ref="E35:O35" si="12">E36</f>
        <v>#REF!</v>
      </c>
      <c r="F35" s="223" t="e">
        <f t="shared" si="12"/>
        <v>#REF!</v>
      </c>
      <c r="G35" s="223" t="e">
        <f t="shared" si="12"/>
        <v>#REF!</v>
      </c>
      <c r="H35" s="223" t="e">
        <f t="shared" si="12"/>
        <v>#REF!</v>
      </c>
      <c r="I35" s="223" t="e">
        <f t="shared" si="12"/>
        <v>#REF!</v>
      </c>
      <c r="J35" s="223" t="e">
        <f t="shared" si="12"/>
        <v>#REF!</v>
      </c>
      <c r="K35" s="223" t="e">
        <f t="shared" si="12"/>
        <v>#REF!</v>
      </c>
      <c r="L35" s="223" t="e">
        <f t="shared" si="12"/>
        <v>#REF!</v>
      </c>
      <c r="M35" s="223" t="e">
        <f t="shared" si="12"/>
        <v>#REF!</v>
      </c>
      <c r="N35" s="223" t="e">
        <f t="shared" si="12"/>
        <v>#REF!</v>
      </c>
      <c r="O35" s="223" t="e">
        <f t="shared" si="12"/>
        <v>#REF!</v>
      </c>
      <c r="P35" s="151" t="e">
        <f t="shared" ref="P35" si="13">SUM(P36:P37)</f>
        <v>#REF!</v>
      </c>
      <c r="Q35" s="216" t="e">
        <f t="shared" si="2"/>
        <v>#REF!</v>
      </c>
    </row>
    <row r="36" spans="1:17" x14ac:dyDescent="0.2">
      <c r="A36" s="41">
        <v>142</v>
      </c>
      <c r="B36" s="443" t="s">
        <v>450</v>
      </c>
      <c r="C36" s="223">
        <f>SUM(C37:C38)</f>
        <v>180069.56</v>
      </c>
      <c r="D36" s="223" t="e">
        <f>SUM(D37:D38)</f>
        <v>#REF!</v>
      </c>
      <c r="E36" s="223" t="e">
        <f t="shared" ref="E36:O36" si="14">SUM(E37:E38)</f>
        <v>#REF!</v>
      </c>
      <c r="F36" s="223" t="e">
        <f t="shared" si="14"/>
        <v>#REF!</v>
      </c>
      <c r="G36" s="223" t="e">
        <f t="shared" si="14"/>
        <v>#REF!</v>
      </c>
      <c r="H36" s="223" t="e">
        <f t="shared" si="14"/>
        <v>#REF!</v>
      </c>
      <c r="I36" s="223" t="e">
        <f t="shared" si="14"/>
        <v>#REF!</v>
      </c>
      <c r="J36" s="223" t="e">
        <f t="shared" si="14"/>
        <v>#REF!</v>
      </c>
      <c r="K36" s="223" t="e">
        <f t="shared" si="14"/>
        <v>#REF!</v>
      </c>
      <c r="L36" s="223" t="e">
        <f t="shared" si="14"/>
        <v>#REF!</v>
      </c>
      <c r="M36" s="223" t="e">
        <f t="shared" si="14"/>
        <v>#REF!</v>
      </c>
      <c r="N36" s="223" t="e">
        <f t="shared" si="14"/>
        <v>#REF!</v>
      </c>
      <c r="O36" s="223" t="e">
        <f t="shared" si="14"/>
        <v>#REF!</v>
      </c>
      <c r="P36" s="152" t="e">
        <f t="shared" ref="P36:P37" si="15">SUM(D36:O36)</f>
        <v>#REF!</v>
      </c>
      <c r="Q36" s="216" t="e">
        <f t="shared" si="2"/>
        <v>#REF!</v>
      </c>
    </row>
    <row r="37" spans="1:17" x14ac:dyDescent="0.2">
      <c r="A37" s="34">
        <v>14201</v>
      </c>
      <c r="B37" s="444" t="s">
        <v>532</v>
      </c>
      <c r="C37" s="224">
        <f>'ING. REALES'!K37</f>
        <v>175069.56</v>
      </c>
      <c r="D37" s="224" t="e">
        <f>'ING. REALES'!#REF!</f>
        <v>#REF!</v>
      </c>
      <c r="E37" s="224" t="e">
        <f>'ING. REALES'!#REF!</f>
        <v>#REF!</v>
      </c>
      <c r="F37" s="224" t="e">
        <f>'ING. REALES'!#REF!</f>
        <v>#REF!</v>
      </c>
      <c r="G37" s="224" t="e">
        <f>'ING. REALES'!#REF!</f>
        <v>#REF!</v>
      </c>
      <c r="H37" s="224" t="e">
        <f>'ING. REALES'!#REF!</f>
        <v>#REF!</v>
      </c>
      <c r="I37" s="224" t="e">
        <f>'ING. REALES'!#REF!</f>
        <v>#REF!</v>
      </c>
      <c r="J37" s="224" t="e">
        <f>'ING. REALES'!#REF!</f>
        <v>#REF!</v>
      </c>
      <c r="K37" s="224" t="e">
        <f>'ING. REALES'!#REF!</f>
        <v>#REF!</v>
      </c>
      <c r="L37" s="224" t="e">
        <f>'ING. REALES'!#REF!</f>
        <v>#REF!</v>
      </c>
      <c r="M37" s="224" t="e">
        <f>'ING. REALES'!#REF!</f>
        <v>#REF!</v>
      </c>
      <c r="N37" s="224" t="e">
        <f>'ING. REALES'!#REF!</f>
        <v>#REF!</v>
      </c>
      <c r="O37" s="224" t="e">
        <f>'ING. REALES'!#REF!</f>
        <v>#REF!</v>
      </c>
      <c r="P37" s="152" t="e">
        <f t="shared" si="15"/>
        <v>#REF!</v>
      </c>
      <c r="Q37" s="216" t="e">
        <f t="shared" si="2"/>
        <v>#REF!</v>
      </c>
    </row>
    <row r="38" spans="1:17" x14ac:dyDescent="0.2">
      <c r="A38" s="34">
        <v>14299</v>
      </c>
      <c r="B38" s="444" t="s">
        <v>533</v>
      </c>
      <c r="C38" s="224">
        <f>'ING. REALES'!K38</f>
        <v>5000</v>
      </c>
      <c r="D38" s="224" t="e">
        <f>'ING. REALES'!#REF!</f>
        <v>#REF!</v>
      </c>
      <c r="E38" s="224" t="e">
        <f>'ING. REALES'!#REF!</f>
        <v>#REF!</v>
      </c>
      <c r="F38" s="224" t="e">
        <f>'ING. REALES'!#REF!</f>
        <v>#REF!</v>
      </c>
      <c r="G38" s="224" t="e">
        <f>'ING. REALES'!#REF!</f>
        <v>#REF!</v>
      </c>
      <c r="H38" s="224" t="e">
        <f>'ING. REALES'!#REF!</f>
        <v>#REF!</v>
      </c>
      <c r="I38" s="224" t="e">
        <f>'ING. REALES'!#REF!</f>
        <v>#REF!</v>
      </c>
      <c r="J38" s="224" t="e">
        <f>'ING. REALES'!#REF!</f>
        <v>#REF!</v>
      </c>
      <c r="K38" s="224" t="e">
        <f>'ING. REALES'!#REF!</f>
        <v>#REF!</v>
      </c>
      <c r="L38" s="224" t="e">
        <f>'ING. REALES'!#REF!</f>
        <v>#REF!</v>
      </c>
      <c r="M38" s="224" t="e">
        <f>'ING. REALES'!#REF!</f>
        <v>#REF!</v>
      </c>
      <c r="N38" s="224" t="e">
        <f>'ING. REALES'!#REF!</f>
        <v>#REF!</v>
      </c>
      <c r="O38" s="224" t="e">
        <f>'ING. REALES'!#REF!</f>
        <v>#REF!</v>
      </c>
      <c r="P38" s="151" t="e">
        <f t="shared" ref="P38" si="16">P41+P47+P49</f>
        <v>#REF!</v>
      </c>
      <c r="Q38" s="216" t="e">
        <f t="shared" si="2"/>
        <v>#REF!</v>
      </c>
    </row>
    <row r="39" spans="1:17" x14ac:dyDescent="0.2">
      <c r="A39" s="41">
        <v>15</v>
      </c>
      <c r="B39" s="443" t="s">
        <v>9</v>
      </c>
      <c r="C39" s="223">
        <f>C40+C42+C50</f>
        <v>8505.7199999999993</v>
      </c>
      <c r="D39" s="223" t="e">
        <f>D40+D42+D50</f>
        <v>#REF!</v>
      </c>
      <c r="E39" s="223" t="e">
        <f t="shared" ref="E39:O39" si="17">E40+E42+E50</f>
        <v>#REF!</v>
      </c>
      <c r="F39" s="223" t="e">
        <f t="shared" si="17"/>
        <v>#REF!</v>
      </c>
      <c r="G39" s="223" t="e">
        <f t="shared" si="17"/>
        <v>#REF!</v>
      </c>
      <c r="H39" s="223" t="e">
        <f t="shared" si="17"/>
        <v>#REF!</v>
      </c>
      <c r="I39" s="223" t="e">
        <f t="shared" si="17"/>
        <v>#REF!</v>
      </c>
      <c r="J39" s="223" t="e">
        <f t="shared" si="17"/>
        <v>#REF!</v>
      </c>
      <c r="K39" s="223" t="e">
        <f t="shared" si="17"/>
        <v>#REF!</v>
      </c>
      <c r="L39" s="223" t="e">
        <f t="shared" si="17"/>
        <v>#REF!</v>
      </c>
      <c r="M39" s="223" t="e">
        <f t="shared" si="17"/>
        <v>#REF!</v>
      </c>
      <c r="N39" s="223" t="e">
        <f t="shared" si="17"/>
        <v>#REF!</v>
      </c>
      <c r="O39" s="223" t="e">
        <f t="shared" si="17"/>
        <v>#REF!</v>
      </c>
      <c r="P39" s="151">
        <f t="shared" ref="P39" si="18">SUM(P40)</f>
        <v>0</v>
      </c>
      <c r="Q39" s="216">
        <f t="shared" si="2"/>
        <v>8505.7199999999993</v>
      </c>
    </row>
    <row r="40" spans="1:17" x14ac:dyDescent="0.2">
      <c r="A40" s="41">
        <v>151</v>
      </c>
      <c r="B40" s="443" t="s">
        <v>10</v>
      </c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152"/>
      <c r="Q40" s="216">
        <f t="shared" si="2"/>
        <v>0</v>
      </c>
    </row>
    <row r="41" spans="1:17" x14ac:dyDescent="0.2">
      <c r="A41" s="34">
        <v>15105</v>
      </c>
      <c r="B41" s="444" t="s">
        <v>534</v>
      </c>
      <c r="C41" s="441">
        <v>0</v>
      </c>
      <c r="D41" s="441">
        <v>0</v>
      </c>
      <c r="E41" s="441">
        <v>0</v>
      </c>
      <c r="F41" s="441">
        <v>0</v>
      </c>
      <c r="G41" s="441">
        <v>0</v>
      </c>
      <c r="H41" s="441">
        <v>0</v>
      </c>
      <c r="I41" s="441">
        <v>0</v>
      </c>
      <c r="J41" s="441">
        <v>0</v>
      </c>
      <c r="K41" s="441">
        <v>0</v>
      </c>
      <c r="L41" s="441">
        <v>0</v>
      </c>
      <c r="M41" s="441">
        <v>0</v>
      </c>
      <c r="N41" s="441">
        <v>0</v>
      </c>
      <c r="O41" s="441">
        <v>0</v>
      </c>
      <c r="P41" s="151" t="e">
        <f>SUM(P42:P45)</f>
        <v>#REF!</v>
      </c>
      <c r="Q41" s="216" t="e">
        <f t="shared" si="2"/>
        <v>#REF!</v>
      </c>
    </row>
    <row r="42" spans="1:17" x14ac:dyDescent="0.2">
      <c r="A42" s="41">
        <v>153</v>
      </c>
      <c r="B42" s="443" t="s">
        <v>10</v>
      </c>
      <c r="C42" s="223">
        <f>SUM(C43:C49)</f>
        <v>8505.7199999999993</v>
      </c>
      <c r="D42" s="223" t="e">
        <f>SUM(D43:D49)</f>
        <v>#REF!</v>
      </c>
      <c r="E42" s="223" t="e">
        <f t="shared" ref="E42:O42" si="19">SUM(E43:E49)</f>
        <v>#REF!</v>
      </c>
      <c r="F42" s="223" t="e">
        <f t="shared" si="19"/>
        <v>#REF!</v>
      </c>
      <c r="G42" s="223" t="e">
        <f t="shared" si="19"/>
        <v>#REF!</v>
      </c>
      <c r="H42" s="223" t="e">
        <f t="shared" si="19"/>
        <v>#REF!</v>
      </c>
      <c r="I42" s="223" t="e">
        <f t="shared" si="19"/>
        <v>#REF!</v>
      </c>
      <c r="J42" s="223" t="e">
        <f t="shared" si="19"/>
        <v>#REF!</v>
      </c>
      <c r="K42" s="223" t="e">
        <f t="shared" si="19"/>
        <v>#REF!</v>
      </c>
      <c r="L42" s="223" t="e">
        <f t="shared" si="19"/>
        <v>#REF!</v>
      </c>
      <c r="M42" s="223" t="e">
        <f t="shared" si="19"/>
        <v>#REF!</v>
      </c>
      <c r="N42" s="223" t="e">
        <f t="shared" si="19"/>
        <v>#REF!</v>
      </c>
      <c r="O42" s="223" t="e">
        <f t="shared" si="19"/>
        <v>#REF!</v>
      </c>
      <c r="P42" s="152" t="e">
        <f t="shared" ref="P42:P45" si="20">SUM(D42:O42)</f>
        <v>#REF!</v>
      </c>
      <c r="Q42" s="216" t="e">
        <f t="shared" si="2"/>
        <v>#REF!</v>
      </c>
    </row>
    <row r="43" spans="1:17" x14ac:dyDescent="0.2">
      <c r="A43" s="34">
        <v>15301</v>
      </c>
      <c r="B43" s="444" t="s">
        <v>535</v>
      </c>
      <c r="C43" s="224">
        <f>'ING. REALES'!K43</f>
        <v>7500</v>
      </c>
      <c r="D43" s="224" t="e">
        <f>'ING. REALES'!#REF!</f>
        <v>#REF!</v>
      </c>
      <c r="E43" s="224" t="e">
        <f>'ING. REALES'!#REF!</f>
        <v>#REF!</v>
      </c>
      <c r="F43" s="224" t="e">
        <f>'ING. REALES'!#REF!</f>
        <v>#REF!</v>
      </c>
      <c r="G43" s="224" t="e">
        <f>'ING. REALES'!#REF!</f>
        <v>#REF!</v>
      </c>
      <c r="H43" s="224" t="e">
        <f>'ING. REALES'!#REF!</f>
        <v>#REF!</v>
      </c>
      <c r="I43" s="224" t="e">
        <f>'ING. REALES'!#REF!</f>
        <v>#REF!</v>
      </c>
      <c r="J43" s="224" t="e">
        <f>'ING. REALES'!#REF!</f>
        <v>#REF!</v>
      </c>
      <c r="K43" s="224" t="e">
        <f>'ING. REALES'!#REF!</f>
        <v>#REF!</v>
      </c>
      <c r="L43" s="224" t="e">
        <f>'ING. REALES'!#REF!</f>
        <v>#REF!</v>
      </c>
      <c r="M43" s="224" t="e">
        <f>'ING. REALES'!#REF!</f>
        <v>#REF!</v>
      </c>
      <c r="N43" s="224" t="e">
        <f>'ING. REALES'!#REF!</f>
        <v>#REF!</v>
      </c>
      <c r="O43" s="224" t="e">
        <f>'ING. REALES'!#REF!</f>
        <v>#REF!</v>
      </c>
      <c r="P43" s="152" t="e">
        <f t="shared" si="20"/>
        <v>#REF!</v>
      </c>
      <c r="Q43" s="216" t="e">
        <f t="shared" si="2"/>
        <v>#REF!</v>
      </c>
    </row>
    <row r="44" spans="1:17" x14ac:dyDescent="0.2">
      <c r="A44" s="34">
        <v>15302</v>
      </c>
      <c r="B44" s="444" t="s">
        <v>536</v>
      </c>
      <c r="C44" s="224">
        <f>'ING. REALES'!K44</f>
        <v>1000</v>
      </c>
      <c r="D44" s="224" t="e">
        <f>'ING. REALES'!#REF!</f>
        <v>#REF!</v>
      </c>
      <c r="E44" s="224" t="e">
        <f>'ING. REALES'!#REF!</f>
        <v>#REF!</v>
      </c>
      <c r="F44" s="224" t="e">
        <f>'ING. REALES'!#REF!</f>
        <v>#REF!</v>
      </c>
      <c r="G44" s="224" t="e">
        <f>'ING. REALES'!#REF!</f>
        <v>#REF!</v>
      </c>
      <c r="H44" s="224" t="e">
        <f>'ING. REALES'!#REF!</f>
        <v>#REF!</v>
      </c>
      <c r="I44" s="224" t="e">
        <f>'ING. REALES'!#REF!</f>
        <v>#REF!</v>
      </c>
      <c r="J44" s="224" t="e">
        <f>'ING. REALES'!#REF!</f>
        <v>#REF!</v>
      </c>
      <c r="K44" s="224" t="e">
        <f>'ING. REALES'!#REF!</f>
        <v>#REF!</v>
      </c>
      <c r="L44" s="224" t="e">
        <f>'ING. REALES'!#REF!</f>
        <v>#REF!</v>
      </c>
      <c r="M44" s="224" t="e">
        <f>'ING. REALES'!#REF!</f>
        <v>#REF!</v>
      </c>
      <c r="N44" s="224" t="e">
        <f>'ING. REALES'!#REF!</f>
        <v>#REF!</v>
      </c>
      <c r="O44" s="224" t="e">
        <f>'ING. REALES'!#REF!</f>
        <v>#REF!</v>
      </c>
      <c r="P44" s="152" t="e">
        <f t="shared" si="20"/>
        <v>#REF!</v>
      </c>
      <c r="Q44" s="216" t="e">
        <f t="shared" si="2"/>
        <v>#REF!</v>
      </c>
    </row>
    <row r="45" spans="1:17" x14ac:dyDescent="0.2">
      <c r="A45" s="34">
        <v>15310</v>
      </c>
      <c r="B45" s="444" t="s">
        <v>537</v>
      </c>
      <c r="C45" s="224">
        <f>'ING. REALES'!K45</f>
        <v>0</v>
      </c>
      <c r="D45" s="224" t="e">
        <f>'ING. REALES'!#REF!</f>
        <v>#REF!</v>
      </c>
      <c r="E45" s="224" t="e">
        <f>'ING. REALES'!#REF!</f>
        <v>#REF!</v>
      </c>
      <c r="F45" s="224" t="e">
        <f>'ING. REALES'!#REF!</f>
        <v>#REF!</v>
      </c>
      <c r="G45" s="224" t="e">
        <f>'ING. REALES'!#REF!</f>
        <v>#REF!</v>
      </c>
      <c r="H45" s="224" t="e">
        <f>'ING. REALES'!#REF!</f>
        <v>#REF!</v>
      </c>
      <c r="I45" s="224" t="e">
        <f>'ING. REALES'!#REF!</f>
        <v>#REF!</v>
      </c>
      <c r="J45" s="224" t="e">
        <f>'ING. REALES'!#REF!</f>
        <v>#REF!</v>
      </c>
      <c r="K45" s="224" t="e">
        <f>'ING. REALES'!#REF!</f>
        <v>#REF!</v>
      </c>
      <c r="L45" s="224" t="e">
        <f>'ING. REALES'!#REF!</f>
        <v>#REF!</v>
      </c>
      <c r="M45" s="224" t="e">
        <f>'ING. REALES'!#REF!</f>
        <v>#REF!</v>
      </c>
      <c r="N45" s="224" t="e">
        <f>'ING. REALES'!#REF!</f>
        <v>#REF!</v>
      </c>
      <c r="O45" s="224" t="e">
        <f>'ING. REALES'!#REF!</f>
        <v>#REF!</v>
      </c>
      <c r="P45" s="152" t="e">
        <f t="shared" si="20"/>
        <v>#REF!</v>
      </c>
      <c r="Q45" s="216" t="e">
        <f t="shared" si="2"/>
        <v>#REF!</v>
      </c>
    </row>
    <row r="46" spans="1:17" ht="13.5" customHeight="1" x14ac:dyDescent="0.2">
      <c r="A46" s="34">
        <v>15312</v>
      </c>
      <c r="B46" s="444" t="s">
        <v>538</v>
      </c>
      <c r="C46" s="224">
        <f>'ING. REALES'!K46</f>
        <v>5.72</v>
      </c>
      <c r="D46" s="224" t="e">
        <f>'ING. REALES'!#REF!</f>
        <v>#REF!</v>
      </c>
      <c r="E46" s="224" t="e">
        <f>'ING. REALES'!#REF!</f>
        <v>#REF!</v>
      </c>
      <c r="F46" s="224" t="e">
        <f>'ING. REALES'!#REF!</f>
        <v>#REF!</v>
      </c>
      <c r="G46" s="224" t="e">
        <f>'ING. REALES'!#REF!</f>
        <v>#REF!</v>
      </c>
      <c r="H46" s="224" t="e">
        <f>'ING. REALES'!#REF!</f>
        <v>#REF!</v>
      </c>
      <c r="I46" s="224" t="e">
        <f>'ING. REALES'!#REF!</f>
        <v>#REF!</v>
      </c>
      <c r="J46" s="224" t="e">
        <f>'ING. REALES'!#REF!</f>
        <v>#REF!</v>
      </c>
      <c r="K46" s="224" t="e">
        <f>'ING. REALES'!#REF!</f>
        <v>#REF!</v>
      </c>
      <c r="L46" s="224" t="e">
        <f>'ING. REALES'!#REF!</f>
        <v>#REF!</v>
      </c>
      <c r="M46" s="224" t="e">
        <f>'ING. REALES'!#REF!</f>
        <v>#REF!</v>
      </c>
      <c r="N46" s="224" t="e">
        <f>'ING. REALES'!#REF!</f>
        <v>#REF!</v>
      </c>
      <c r="O46" s="224" t="e">
        <f>'ING. REALES'!#REF!</f>
        <v>#REF!</v>
      </c>
      <c r="P46" s="152"/>
      <c r="Q46" s="216">
        <f t="shared" si="2"/>
        <v>5.72</v>
      </c>
    </row>
    <row r="47" spans="1:17" hidden="1" x14ac:dyDescent="0.2">
      <c r="A47" s="34">
        <v>15314</v>
      </c>
      <c r="B47" s="444" t="s">
        <v>539</v>
      </c>
      <c r="C47" s="224">
        <f>'ING. REALES'!K47</f>
        <v>0</v>
      </c>
      <c r="D47" s="224" t="e">
        <f>'ING. REALES'!#REF!</f>
        <v>#REF!</v>
      </c>
      <c r="E47" s="224" t="e">
        <f>'ING. REALES'!#REF!</f>
        <v>#REF!</v>
      </c>
      <c r="F47" s="224" t="e">
        <f>'ING. REALES'!#REF!</f>
        <v>#REF!</v>
      </c>
      <c r="G47" s="224" t="e">
        <f>'ING. REALES'!#REF!</f>
        <v>#REF!</v>
      </c>
      <c r="H47" s="224" t="e">
        <f>'ING. REALES'!#REF!</f>
        <v>#REF!</v>
      </c>
      <c r="I47" s="224" t="e">
        <f>'ING. REALES'!#REF!</f>
        <v>#REF!</v>
      </c>
      <c r="J47" s="224" t="e">
        <f>'ING. REALES'!#REF!</f>
        <v>#REF!</v>
      </c>
      <c r="K47" s="224" t="e">
        <f>'ING. REALES'!#REF!</f>
        <v>#REF!</v>
      </c>
      <c r="L47" s="224" t="e">
        <f>'ING. REALES'!#REF!</f>
        <v>#REF!</v>
      </c>
      <c r="M47" s="224" t="e">
        <f>'ING. REALES'!#REF!</f>
        <v>#REF!</v>
      </c>
      <c r="N47" s="224" t="e">
        <f>'ING. REALES'!#REF!</f>
        <v>#REF!</v>
      </c>
      <c r="O47" s="224" t="e">
        <f>'ING. REALES'!#REF!</f>
        <v>#REF!</v>
      </c>
      <c r="P47" s="151"/>
      <c r="Q47" s="216">
        <f t="shared" si="2"/>
        <v>0</v>
      </c>
    </row>
    <row r="48" spans="1:17" hidden="1" x14ac:dyDescent="0.2">
      <c r="A48" s="41">
        <v>154</v>
      </c>
      <c r="B48" s="443" t="s">
        <v>433</v>
      </c>
      <c r="C48" s="224">
        <f>'ING. REALES'!K48</f>
        <v>0</v>
      </c>
      <c r="D48" s="224" t="e">
        <f>'ING. REALES'!#REF!</f>
        <v>#REF!</v>
      </c>
      <c r="E48" s="224" t="e">
        <f>'ING. REALES'!#REF!</f>
        <v>#REF!</v>
      </c>
      <c r="F48" s="224" t="e">
        <f>'ING. REALES'!#REF!</f>
        <v>#REF!</v>
      </c>
      <c r="G48" s="224" t="e">
        <f>'ING. REALES'!#REF!</f>
        <v>#REF!</v>
      </c>
      <c r="H48" s="224" t="e">
        <f>'ING. REALES'!#REF!</f>
        <v>#REF!</v>
      </c>
      <c r="I48" s="224" t="e">
        <f>'ING. REALES'!#REF!</f>
        <v>#REF!</v>
      </c>
      <c r="J48" s="224" t="e">
        <f>'ING. REALES'!#REF!</f>
        <v>#REF!</v>
      </c>
      <c r="K48" s="224" t="e">
        <f>'ING. REALES'!#REF!</f>
        <v>#REF!</v>
      </c>
      <c r="L48" s="224" t="e">
        <f>'ING. REALES'!#REF!</f>
        <v>#REF!</v>
      </c>
      <c r="M48" s="224" t="e">
        <f>'ING. REALES'!#REF!</f>
        <v>#REF!</v>
      </c>
      <c r="N48" s="224" t="e">
        <f>'ING. REALES'!#REF!</f>
        <v>#REF!</v>
      </c>
      <c r="O48" s="224" t="e">
        <f>'ING. REALES'!#REF!</f>
        <v>#REF!</v>
      </c>
      <c r="P48" s="217">
        <v>0</v>
      </c>
      <c r="Q48" s="216">
        <f t="shared" si="2"/>
        <v>0</v>
      </c>
    </row>
    <row r="49" spans="1:17" x14ac:dyDescent="0.2">
      <c r="A49" s="34">
        <v>15402</v>
      </c>
      <c r="B49" s="444" t="s">
        <v>540</v>
      </c>
      <c r="C49" s="224">
        <f>'ING. REALES'!K49</f>
        <v>0</v>
      </c>
      <c r="D49" s="224" t="e">
        <f>'ING. REALES'!#REF!</f>
        <v>#REF!</v>
      </c>
      <c r="E49" s="224" t="e">
        <f>'ING. REALES'!#REF!</f>
        <v>#REF!</v>
      </c>
      <c r="F49" s="224" t="e">
        <f>'ING. REALES'!#REF!</f>
        <v>#REF!</v>
      </c>
      <c r="G49" s="224" t="e">
        <f>'ING. REALES'!#REF!</f>
        <v>#REF!</v>
      </c>
      <c r="H49" s="224" t="e">
        <f>'ING. REALES'!#REF!</f>
        <v>#REF!</v>
      </c>
      <c r="I49" s="224" t="e">
        <f>'ING. REALES'!#REF!</f>
        <v>#REF!</v>
      </c>
      <c r="J49" s="224" t="e">
        <f>'ING. REALES'!#REF!</f>
        <v>#REF!</v>
      </c>
      <c r="K49" s="224" t="e">
        <f>'ING. REALES'!#REF!</f>
        <v>#REF!</v>
      </c>
      <c r="L49" s="224" t="e">
        <f>'ING. REALES'!#REF!</f>
        <v>#REF!</v>
      </c>
      <c r="M49" s="224" t="e">
        <f>'ING. REALES'!#REF!</f>
        <v>#REF!</v>
      </c>
      <c r="N49" s="224" t="e">
        <f>'ING. REALES'!#REF!</f>
        <v>#REF!</v>
      </c>
      <c r="O49" s="224" t="e">
        <f>'ING. REALES'!#REF!</f>
        <v>#REF!</v>
      </c>
      <c r="P49" s="151">
        <f>P50</f>
        <v>0</v>
      </c>
      <c r="Q49" s="216">
        <f t="shared" si="2"/>
        <v>0</v>
      </c>
    </row>
    <row r="50" spans="1:17" x14ac:dyDescent="0.2">
      <c r="A50" s="41">
        <v>157</v>
      </c>
      <c r="B50" s="443" t="s">
        <v>339</v>
      </c>
      <c r="C50" s="223">
        <v>0</v>
      </c>
      <c r="D50" s="223">
        <v>0</v>
      </c>
      <c r="E50" s="223">
        <v>0</v>
      </c>
      <c r="F50" s="223">
        <v>0</v>
      </c>
      <c r="G50" s="223">
        <v>0</v>
      </c>
      <c r="H50" s="223">
        <v>0</v>
      </c>
      <c r="I50" s="223">
        <v>0</v>
      </c>
      <c r="J50" s="223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152">
        <f t="shared" ref="P50" si="21">SUM(D50:O50)</f>
        <v>0</v>
      </c>
      <c r="Q50" s="216">
        <f t="shared" si="2"/>
        <v>0</v>
      </c>
    </row>
    <row r="51" spans="1:17" x14ac:dyDescent="0.2">
      <c r="A51" s="34">
        <v>15703</v>
      </c>
      <c r="B51" s="444" t="s">
        <v>541</v>
      </c>
      <c r="C51" s="441">
        <f>'ING. REALES'!K51</f>
        <v>0</v>
      </c>
      <c r="D51" s="441" t="e">
        <f>'ING. REALES'!#REF!</f>
        <v>#REF!</v>
      </c>
      <c r="E51" s="441" t="e">
        <f>'ING. REALES'!#REF!</f>
        <v>#REF!</v>
      </c>
      <c r="F51" s="441" t="e">
        <f>'ING. REALES'!#REF!</f>
        <v>#REF!</v>
      </c>
      <c r="G51" s="441" t="e">
        <f>'ING. REALES'!#REF!</f>
        <v>#REF!</v>
      </c>
      <c r="H51" s="441" t="e">
        <f>'ING. REALES'!#REF!</f>
        <v>#REF!</v>
      </c>
      <c r="I51" s="441" t="e">
        <f>'ING. REALES'!#REF!</f>
        <v>#REF!</v>
      </c>
      <c r="J51" s="441" t="e">
        <f>'ING. REALES'!#REF!</f>
        <v>#REF!</v>
      </c>
      <c r="K51" s="441" t="e">
        <f>'ING. REALES'!#REF!</f>
        <v>#REF!</v>
      </c>
      <c r="L51" s="441" t="e">
        <f>'ING. REALES'!#REF!</f>
        <v>#REF!</v>
      </c>
      <c r="M51" s="441" t="e">
        <f>'ING. REALES'!#REF!</f>
        <v>#REF!</v>
      </c>
      <c r="N51" s="441" t="e">
        <f>'ING. REALES'!#REF!</f>
        <v>#REF!</v>
      </c>
      <c r="O51" s="441" t="e">
        <f>'ING. REALES'!#REF!</f>
        <v>#REF!</v>
      </c>
      <c r="P51" s="151" t="e">
        <f t="shared" ref="P51:P52" si="22">P52</f>
        <v>#REF!</v>
      </c>
      <c r="Q51" s="216" t="e">
        <f t="shared" si="2"/>
        <v>#REF!</v>
      </c>
    </row>
    <row r="52" spans="1:17" x14ac:dyDescent="0.2">
      <c r="A52" s="41">
        <v>16</v>
      </c>
      <c r="B52" s="443" t="s">
        <v>96</v>
      </c>
      <c r="C52" s="441">
        <f>C53</f>
        <v>375990.82</v>
      </c>
      <c r="D52" s="441" t="e">
        <f>D53</f>
        <v>#REF!</v>
      </c>
      <c r="E52" s="441" t="e">
        <f t="shared" ref="E52:O52" si="23">E53</f>
        <v>#REF!</v>
      </c>
      <c r="F52" s="441" t="e">
        <f t="shared" si="23"/>
        <v>#REF!</v>
      </c>
      <c r="G52" s="441" t="e">
        <f t="shared" si="23"/>
        <v>#REF!</v>
      </c>
      <c r="H52" s="441" t="e">
        <f t="shared" si="23"/>
        <v>#REF!</v>
      </c>
      <c r="I52" s="441" t="e">
        <f t="shared" si="23"/>
        <v>#REF!</v>
      </c>
      <c r="J52" s="441" t="e">
        <f t="shared" si="23"/>
        <v>#REF!</v>
      </c>
      <c r="K52" s="441" t="e">
        <f t="shared" si="23"/>
        <v>#REF!</v>
      </c>
      <c r="L52" s="441" t="e">
        <f t="shared" si="23"/>
        <v>#REF!</v>
      </c>
      <c r="M52" s="441" t="e">
        <f t="shared" si="23"/>
        <v>#REF!</v>
      </c>
      <c r="N52" s="441" t="e">
        <f t="shared" si="23"/>
        <v>#REF!</v>
      </c>
      <c r="O52" s="441" t="e">
        <f t="shared" si="23"/>
        <v>#REF!</v>
      </c>
      <c r="P52" s="220" t="e">
        <f t="shared" si="22"/>
        <v>#REF!</v>
      </c>
      <c r="Q52" s="216" t="e">
        <f t="shared" si="2"/>
        <v>#REF!</v>
      </c>
    </row>
    <row r="53" spans="1:17" x14ac:dyDescent="0.2">
      <c r="A53" s="41">
        <v>162</v>
      </c>
      <c r="B53" s="443" t="s">
        <v>340</v>
      </c>
      <c r="C53" s="223">
        <f>SUM(C54)</f>
        <v>375990.82</v>
      </c>
      <c r="D53" s="223" t="e">
        <f>SUM(D54)</f>
        <v>#REF!</v>
      </c>
      <c r="E53" s="223" t="e">
        <f t="shared" ref="E53:O53" si="24">SUM(E54)</f>
        <v>#REF!</v>
      </c>
      <c r="F53" s="223" t="e">
        <f t="shared" si="24"/>
        <v>#REF!</v>
      </c>
      <c r="G53" s="223" t="e">
        <f t="shared" si="24"/>
        <v>#REF!</v>
      </c>
      <c r="H53" s="223" t="e">
        <f t="shared" si="24"/>
        <v>#REF!</v>
      </c>
      <c r="I53" s="223" t="e">
        <f t="shared" si="24"/>
        <v>#REF!</v>
      </c>
      <c r="J53" s="223" t="e">
        <f t="shared" si="24"/>
        <v>#REF!</v>
      </c>
      <c r="K53" s="223" t="e">
        <f t="shared" si="24"/>
        <v>#REF!</v>
      </c>
      <c r="L53" s="223" t="e">
        <f t="shared" si="24"/>
        <v>#REF!</v>
      </c>
      <c r="M53" s="223" t="e">
        <f t="shared" si="24"/>
        <v>#REF!</v>
      </c>
      <c r="N53" s="223" t="e">
        <f t="shared" si="24"/>
        <v>#REF!</v>
      </c>
      <c r="O53" s="223" t="e">
        <f t="shared" si="24"/>
        <v>#REF!</v>
      </c>
      <c r="P53" s="221" t="e">
        <f t="shared" ref="P53" si="25">SUM(D53:O53)</f>
        <v>#REF!</v>
      </c>
      <c r="Q53" s="216" t="e">
        <f t="shared" si="2"/>
        <v>#REF!</v>
      </c>
    </row>
    <row r="54" spans="1:17" x14ac:dyDescent="0.2">
      <c r="A54" s="34">
        <v>16201</v>
      </c>
      <c r="B54" s="444" t="s">
        <v>542</v>
      </c>
      <c r="C54" s="441">
        <f>'ING. REALES'!K54</f>
        <v>375990.82</v>
      </c>
      <c r="D54" s="441" t="e">
        <f>'ING. REALES'!#REF!</f>
        <v>#REF!</v>
      </c>
      <c r="E54" s="441" t="e">
        <f>'ING. REALES'!#REF!</f>
        <v>#REF!</v>
      </c>
      <c r="F54" s="441" t="e">
        <f>'ING. REALES'!#REF!</f>
        <v>#REF!</v>
      </c>
      <c r="G54" s="441" t="e">
        <f>'ING. REALES'!#REF!</f>
        <v>#REF!</v>
      </c>
      <c r="H54" s="441" t="e">
        <f>'ING. REALES'!#REF!</f>
        <v>#REF!</v>
      </c>
      <c r="I54" s="441" t="e">
        <f>'ING. REALES'!#REF!</f>
        <v>#REF!</v>
      </c>
      <c r="J54" s="441" t="e">
        <f>'ING. REALES'!#REF!</f>
        <v>#REF!</v>
      </c>
      <c r="K54" s="441" t="e">
        <f>'ING. REALES'!#REF!</f>
        <v>#REF!</v>
      </c>
      <c r="L54" s="441" t="e">
        <f>'ING. REALES'!#REF!</f>
        <v>#REF!</v>
      </c>
      <c r="M54" s="441" t="e">
        <f>'ING. REALES'!#REF!</f>
        <v>#REF!</v>
      </c>
      <c r="N54" s="441" t="e">
        <f>'ING. REALES'!#REF!</f>
        <v>#REF!</v>
      </c>
      <c r="O54" s="441" t="e">
        <f>'ING. REALES'!#REF!</f>
        <v>#REF!</v>
      </c>
      <c r="P54" s="220">
        <v>0</v>
      </c>
      <c r="Q54" s="216">
        <f t="shared" si="2"/>
        <v>375990.82</v>
      </c>
    </row>
    <row r="55" spans="1:17" x14ac:dyDescent="0.2">
      <c r="A55" s="41">
        <v>163</v>
      </c>
      <c r="B55" s="443" t="s">
        <v>543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1">
        <v>0</v>
      </c>
      <c r="Q55" s="216">
        <f t="shared" si="2"/>
        <v>0</v>
      </c>
    </row>
    <row r="56" spans="1:17" x14ac:dyDescent="0.2">
      <c r="A56" s="34">
        <v>16304</v>
      </c>
      <c r="B56" s="444" t="s">
        <v>544</v>
      </c>
      <c r="C56" s="223">
        <v>0</v>
      </c>
      <c r="D56" s="223">
        <v>0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0">
        <v>0</v>
      </c>
      <c r="Q56" s="216">
        <f t="shared" si="2"/>
        <v>0</v>
      </c>
    </row>
    <row r="57" spans="1:17" x14ac:dyDescent="0.2">
      <c r="A57" s="41">
        <v>21</v>
      </c>
      <c r="B57" s="443" t="s">
        <v>545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  <c r="O57" s="224">
        <v>0</v>
      </c>
      <c r="P57" s="221">
        <v>0</v>
      </c>
      <c r="Q57" s="216">
        <f t="shared" si="2"/>
        <v>0</v>
      </c>
    </row>
    <row r="58" spans="1:17" x14ac:dyDescent="0.2">
      <c r="A58" s="34">
        <v>212</v>
      </c>
      <c r="B58" s="444" t="s">
        <v>546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  <c r="O58" s="224">
        <v>0</v>
      </c>
      <c r="P58" s="221">
        <v>0</v>
      </c>
      <c r="Q58" s="216">
        <f t="shared" si="2"/>
        <v>0</v>
      </c>
    </row>
    <row r="59" spans="1:17" x14ac:dyDescent="0.2">
      <c r="A59" s="34">
        <v>21201</v>
      </c>
      <c r="B59" s="444" t="s">
        <v>547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151" t="e">
        <f t="shared" ref="P59:P60" si="26">P60</f>
        <v>#REF!</v>
      </c>
      <c r="Q59" s="216" t="e">
        <f t="shared" si="2"/>
        <v>#REF!</v>
      </c>
    </row>
    <row r="60" spans="1:17" x14ac:dyDescent="0.2">
      <c r="A60" s="41">
        <v>22</v>
      </c>
      <c r="B60" s="443" t="s">
        <v>12</v>
      </c>
      <c r="C60" s="223">
        <f>C61</f>
        <v>1505590.6199999999</v>
      </c>
      <c r="D60" s="223" t="e">
        <f>D61</f>
        <v>#REF!</v>
      </c>
      <c r="E60" s="223" t="e">
        <f t="shared" ref="E60:O60" si="27">E61</f>
        <v>#REF!</v>
      </c>
      <c r="F60" s="223" t="e">
        <f t="shared" si="27"/>
        <v>#REF!</v>
      </c>
      <c r="G60" s="223" t="e">
        <f t="shared" si="27"/>
        <v>#REF!</v>
      </c>
      <c r="H60" s="223" t="e">
        <f t="shared" si="27"/>
        <v>#REF!</v>
      </c>
      <c r="I60" s="223" t="e">
        <f t="shared" si="27"/>
        <v>#REF!</v>
      </c>
      <c r="J60" s="223" t="e">
        <f t="shared" si="27"/>
        <v>#REF!</v>
      </c>
      <c r="K60" s="223" t="e">
        <f t="shared" si="27"/>
        <v>#REF!</v>
      </c>
      <c r="L60" s="223" t="e">
        <f t="shared" si="27"/>
        <v>#REF!</v>
      </c>
      <c r="M60" s="223" t="e">
        <f t="shared" si="27"/>
        <v>#REF!</v>
      </c>
      <c r="N60" s="223" t="e">
        <f t="shared" si="27"/>
        <v>#REF!</v>
      </c>
      <c r="O60" s="223" t="e">
        <f t="shared" si="27"/>
        <v>#REF!</v>
      </c>
      <c r="P60" s="151" t="e">
        <f t="shared" si="26"/>
        <v>#REF!</v>
      </c>
      <c r="Q60" s="216" t="e">
        <f t="shared" si="2"/>
        <v>#REF!</v>
      </c>
    </row>
    <row r="61" spans="1:17" x14ac:dyDescent="0.2">
      <c r="A61" s="41">
        <v>222</v>
      </c>
      <c r="B61" s="443" t="s">
        <v>341</v>
      </c>
      <c r="C61" s="223">
        <f>SUM(C62)</f>
        <v>1505590.6199999999</v>
      </c>
      <c r="D61" s="223" t="e">
        <f>SUM(D62)</f>
        <v>#REF!</v>
      </c>
      <c r="E61" s="223" t="e">
        <f t="shared" ref="E61:O61" si="28">SUM(E62)</f>
        <v>#REF!</v>
      </c>
      <c r="F61" s="223" t="e">
        <f t="shared" si="28"/>
        <v>#REF!</v>
      </c>
      <c r="G61" s="223" t="e">
        <f t="shared" si="28"/>
        <v>#REF!</v>
      </c>
      <c r="H61" s="223" t="e">
        <f t="shared" si="28"/>
        <v>#REF!</v>
      </c>
      <c r="I61" s="223" t="e">
        <f t="shared" si="28"/>
        <v>#REF!</v>
      </c>
      <c r="J61" s="223" t="e">
        <f t="shared" si="28"/>
        <v>#REF!</v>
      </c>
      <c r="K61" s="223" t="e">
        <f t="shared" si="28"/>
        <v>#REF!</v>
      </c>
      <c r="L61" s="223" t="e">
        <f t="shared" si="28"/>
        <v>#REF!</v>
      </c>
      <c r="M61" s="223" t="e">
        <f t="shared" si="28"/>
        <v>#REF!</v>
      </c>
      <c r="N61" s="223" t="e">
        <f t="shared" si="28"/>
        <v>#REF!</v>
      </c>
      <c r="O61" s="223" t="e">
        <f t="shared" si="28"/>
        <v>#REF!</v>
      </c>
      <c r="P61" s="152" t="e">
        <f t="shared" ref="P61" si="29">SUM(D61:O61)</f>
        <v>#REF!</v>
      </c>
      <c r="Q61" s="216" t="e">
        <f t="shared" si="2"/>
        <v>#REF!</v>
      </c>
    </row>
    <row r="62" spans="1:17" x14ac:dyDescent="0.2">
      <c r="A62" s="34">
        <v>22201</v>
      </c>
      <c r="B62" s="444" t="s">
        <v>548</v>
      </c>
      <c r="C62" s="441">
        <f>'ING. REALES'!K62</f>
        <v>1505590.6199999999</v>
      </c>
      <c r="D62" s="441" t="e">
        <f>'ING. REALES'!#REF!</f>
        <v>#REF!</v>
      </c>
      <c r="E62" s="441" t="e">
        <f>'ING. REALES'!#REF!</f>
        <v>#REF!</v>
      </c>
      <c r="F62" s="441" t="e">
        <f>'ING. REALES'!#REF!</f>
        <v>#REF!</v>
      </c>
      <c r="G62" s="441" t="e">
        <f>'ING. REALES'!#REF!</f>
        <v>#REF!</v>
      </c>
      <c r="H62" s="441" t="e">
        <f>'ING. REALES'!#REF!</f>
        <v>#REF!</v>
      </c>
      <c r="I62" s="441" t="e">
        <f>'ING. REALES'!#REF!</f>
        <v>#REF!</v>
      </c>
      <c r="J62" s="441" t="e">
        <f>'ING. REALES'!#REF!</f>
        <v>#REF!</v>
      </c>
      <c r="K62" s="441" t="e">
        <f>'ING. REALES'!#REF!</f>
        <v>#REF!</v>
      </c>
      <c r="L62" s="441" t="e">
        <f>'ING. REALES'!#REF!</f>
        <v>#REF!</v>
      </c>
      <c r="M62" s="441" t="e">
        <f>'ING. REALES'!#REF!</f>
        <v>#REF!</v>
      </c>
      <c r="N62" s="441" t="e">
        <f>'ING. REALES'!#REF!</f>
        <v>#REF!</v>
      </c>
      <c r="O62" s="441" t="e">
        <f>'ING. REALES'!#REF!</f>
        <v>#REF!</v>
      </c>
      <c r="P62" s="220">
        <f t="shared" ref="P62:P63" si="30">P63</f>
        <v>0</v>
      </c>
      <c r="Q62" s="216">
        <f t="shared" si="2"/>
        <v>1505590.6199999999</v>
      </c>
    </row>
    <row r="63" spans="1:17" x14ac:dyDescent="0.2">
      <c r="A63" s="41">
        <v>31</v>
      </c>
      <c r="B63" s="443" t="s">
        <v>342</v>
      </c>
      <c r="C63" s="223">
        <f>C64</f>
        <v>0</v>
      </c>
      <c r="D63" s="223">
        <f>D64</f>
        <v>0</v>
      </c>
      <c r="E63" s="223">
        <f t="shared" ref="E63:O63" si="31">E64</f>
        <v>0</v>
      </c>
      <c r="F63" s="223">
        <f t="shared" si="31"/>
        <v>0</v>
      </c>
      <c r="G63" s="223">
        <f t="shared" si="31"/>
        <v>0</v>
      </c>
      <c r="H63" s="223">
        <f t="shared" si="31"/>
        <v>0</v>
      </c>
      <c r="I63" s="223">
        <f t="shared" si="31"/>
        <v>0</v>
      </c>
      <c r="J63" s="223">
        <f t="shared" si="31"/>
        <v>0</v>
      </c>
      <c r="K63" s="223">
        <f t="shared" si="31"/>
        <v>0</v>
      </c>
      <c r="L63" s="223">
        <f t="shared" si="31"/>
        <v>0</v>
      </c>
      <c r="M63" s="223">
        <f t="shared" si="31"/>
        <v>0</v>
      </c>
      <c r="N63" s="223">
        <f t="shared" si="31"/>
        <v>0</v>
      </c>
      <c r="O63" s="223">
        <f t="shared" si="31"/>
        <v>0</v>
      </c>
      <c r="P63" s="220">
        <f t="shared" si="30"/>
        <v>0</v>
      </c>
      <c r="Q63" s="216">
        <f t="shared" si="2"/>
        <v>0</v>
      </c>
    </row>
    <row r="64" spans="1:17" x14ac:dyDescent="0.2">
      <c r="A64" s="41">
        <v>313</v>
      </c>
      <c r="B64" s="443" t="s">
        <v>343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  <c r="O64" s="224">
        <v>0</v>
      </c>
      <c r="P64" s="221">
        <v>0</v>
      </c>
      <c r="Q64" s="216">
        <f t="shared" si="2"/>
        <v>0</v>
      </c>
    </row>
    <row r="65" spans="1:17" x14ac:dyDescent="0.2">
      <c r="A65" s="34">
        <v>31308</v>
      </c>
      <c r="B65" s="444" t="s">
        <v>237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0" t="e">
        <f t="shared" ref="P65" si="32">P66+P68</f>
        <v>#REF!</v>
      </c>
      <c r="Q65" s="216" t="e">
        <f>C65-P65</f>
        <v>#REF!</v>
      </c>
    </row>
    <row r="66" spans="1:17" x14ac:dyDescent="0.2">
      <c r="A66" s="41">
        <v>32</v>
      </c>
      <c r="B66" s="443" t="s">
        <v>13</v>
      </c>
      <c r="C66" s="223">
        <f>C67+C69</f>
        <v>488852.7900000001</v>
      </c>
      <c r="D66" s="223" t="e">
        <f>D67+D69</f>
        <v>#REF!</v>
      </c>
      <c r="E66" s="223" t="e">
        <f t="shared" ref="E66:O66" si="33">E67+E69</f>
        <v>#REF!</v>
      </c>
      <c r="F66" s="223" t="e">
        <f t="shared" si="33"/>
        <v>#REF!</v>
      </c>
      <c r="G66" s="223" t="e">
        <f t="shared" si="33"/>
        <v>#REF!</v>
      </c>
      <c r="H66" s="223" t="e">
        <f t="shared" si="33"/>
        <v>#REF!</v>
      </c>
      <c r="I66" s="223" t="e">
        <f t="shared" si="33"/>
        <v>#REF!</v>
      </c>
      <c r="J66" s="223" t="e">
        <f t="shared" si="33"/>
        <v>#REF!</v>
      </c>
      <c r="K66" s="223" t="e">
        <f t="shared" si="33"/>
        <v>#REF!</v>
      </c>
      <c r="L66" s="223" t="e">
        <f t="shared" si="33"/>
        <v>#REF!</v>
      </c>
      <c r="M66" s="223" t="e">
        <f t="shared" si="33"/>
        <v>#REF!</v>
      </c>
      <c r="N66" s="223" t="e">
        <f t="shared" si="33"/>
        <v>#REF!</v>
      </c>
      <c r="O66" s="223" t="e">
        <f t="shared" si="33"/>
        <v>#REF!</v>
      </c>
      <c r="P66" s="220" t="e">
        <f t="shared" ref="P66" si="34">P67</f>
        <v>#REF!</v>
      </c>
      <c r="Q66" s="216" t="e">
        <f t="shared" si="2"/>
        <v>#REF!</v>
      </c>
    </row>
    <row r="67" spans="1:17" x14ac:dyDescent="0.2">
      <c r="A67" s="41">
        <v>321</v>
      </c>
      <c r="B67" s="443" t="s">
        <v>344</v>
      </c>
      <c r="C67" s="223">
        <f>SUM(C68)</f>
        <v>291177.95000000007</v>
      </c>
      <c r="D67" s="223" t="e">
        <f>SUM(D68)</f>
        <v>#REF!</v>
      </c>
      <c r="E67" s="223" t="e">
        <f t="shared" ref="E67:O67" si="35">SUM(E68)</f>
        <v>#REF!</v>
      </c>
      <c r="F67" s="223" t="e">
        <f t="shared" si="35"/>
        <v>#REF!</v>
      </c>
      <c r="G67" s="223" t="e">
        <f t="shared" si="35"/>
        <v>#REF!</v>
      </c>
      <c r="H67" s="223" t="e">
        <f t="shared" si="35"/>
        <v>#REF!</v>
      </c>
      <c r="I67" s="223" t="e">
        <f t="shared" si="35"/>
        <v>#REF!</v>
      </c>
      <c r="J67" s="223" t="e">
        <f t="shared" si="35"/>
        <v>#REF!</v>
      </c>
      <c r="K67" s="223" t="e">
        <f t="shared" si="35"/>
        <v>#REF!</v>
      </c>
      <c r="L67" s="223" t="e">
        <f t="shared" si="35"/>
        <v>#REF!</v>
      </c>
      <c r="M67" s="223" t="e">
        <f t="shared" si="35"/>
        <v>#REF!</v>
      </c>
      <c r="N67" s="223" t="e">
        <f t="shared" si="35"/>
        <v>#REF!</v>
      </c>
      <c r="O67" s="223" t="e">
        <f t="shared" si="35"/>
        <v>#REF!</v>
      </c>
      <c r="P67" s="221" t="e">
        <f t="shared" ref="P67" si="36">SUM(D67:O67)</f>
        <v>#REF!</v>
      </c>
      <c r="Q67" s="216" t="e">
        <f t="shared" si="2"/>
        <v>#REF!</v>
      </c>
    </row>
    <row r="68" spans="1:17" x14ac:dyDescent="0.2">
      <c r="A68" s="34">
        <v>32102</v>
      </c>
      <c r="B68" s="446" t="s">
        <v>580</v>
      </c>
      <c r="C68" s="441">
        <f>'ING. REALES'!K69</f>
        <v>291177.95000000007</v>
      </c>
      <c r="D68" s="441" t="e">
        <f>'ING. REALES'!#REF!</f>
        <v>#REF!</v>
      </c>
      <c r="E68" s="441" t="e">
        <f>'ING. REALES'!#REF!</f>
        <v>#REF!</v>
      </c>
      <c r="F68" s="441" t="e">
        <f>'ING. REALES'!#REF!</f>
        <v>#REF!</v>
      </c>
      <c r="G68" s="441" t="e">
        <f>'ING. REALES'!#REF!</f>
        <v>#REF!</v>
      </c>
      <c r="H68" s="441" t="e">
        <f>'ING. REALES'!#REF!</f>
        <v>#REF!</v>
      </c>
      <c r="I68" s="441" t="e">
        <f>'ING. REALES'!#REF!</f>
        <v>#REF!</v>
      </c>
      <c r="J68" s="441" t="e">
        <f>'ING. REALES'!#REF!</f>
        <v>#REF!</v>
      </c>
      <c r="K68" s="441" t="e">
        <f>'ING. REALES'!#REF!</f>
        <v>#REF!</v>
      </c>
      <c r="L68" s="441" t="e">
        <f>'ING. REALES'!#REF!</f>
        <v>#REF!</v>
      </c>
      <c r="M68" s="441" t="e">
        <f>'ING. REALES'!#REF!</f>
        <v>#REF!</v>
      </c>
      <c r="N68" s="441" t="e">
        <f>'ING. REALES'!#REF!</f>
        <v>#REF!</v>
      </c>
      <c r="O68" s="441" t="e">
        <f>'ING. REALES'!#REF!</f>
        <v>#REF!</v>
      </c>
      <c r="P68" s="220" t="e">
        <f>#REF!</f>
        <v>#REF!</v>
      </c>
      <c r="Q68" s="216" t="e">
        <f t="shared" si="2"/>
        <v>#REF!</v>
      </c>
    </row>
    <row r="69" spans="1:17" x14ac:dyDescent="0.2">
      <c r="A69" s="41">
        <v>322</v>
      </c>
      <c r="B69" s="443" t="s">
        <v>345</v>
      </c>
      <c r="C69" s="513">
        <f>C70</f>
        <v>197674.84000000003</v>
      </c>
      <c r="D69" s="513" t="e">
        <f>D70</f>
        <v>#REF!</v>
      </c>
      <c r="E69" s="513" t="e">
        <f t="shared" ref="E69:O69" si="37">E70</f>
        <v>#REF!</v>
      </c>
      <c r="F69" s="513" t="e">
        <f t="shared" si="37"/>
        <v>#REF!</v>
      </c>
      <c r="G69" s="513" t="e">
        <f t="shared" si="37"/>
        <v>#REF!</v>
      </c>
      <c r="H69" s="513" t="e">
        <f t="shared" si="37"/>
        <v>#REF!</v>
      </c>
      <c r="I69" s="513" t="e">
        <f t="shared" si="37"/>
        <v>#REF!</v>
      </c>
      <c r="J69" s="513" t="e">
        <f t="shared" si="37"/>
        <v>#REF!</v>
      </c>
      <c r="K69" s="513" t="e">
        <f t="shared" si="37"/>
        <v>#REF!</v>
      </c>
      <c r="L69" s="513" t="e">
        <f t="shared" si="37"/>
        <v>#REF!</v>
      </c>
      <c r="M69" s="513" t="e">
        <f t="shared" si="37"/>
        <v>#REF!</v>
      </c>
      <c r="N69" s="513" t="e">
        <f t="shared" si="37"/>
        <v>#REF!</v>
      </c>
      <c r="O69" s="513" t="e">
        <f t="shared" si="37"/>
        <v>#REF!</v>
      </c>
      <c r="P69" s="514"/>
      <c r="Q69" s="216"/>
    </row>
    <row r="70" spans="1:17" ht="13.5" thickBot="1" x14ac:dyDescent="0.25">
      <c r="A70" s="42">
        <v>32201</v>
      </c>
      <c r="B70" s="447" t="s">
        <v>345</v>
      </c>
      <c r="C70" s="515">
        <f>'ING. REALES'!K71</f>
        <v>197674.84000000003</v>
      </c>
      <c r="D70" s="515" t="e">
        <f>'ING. REALES'!#REF!</f>
        <v>#REF!</v>
      </c>
      <c r="E70" s="515" t="e">
        <f>'ING. REALES'!#REF!</f>
        <v>#REF!</v>
      </c>
      <c r="F70" s="515" t="e">
        <f>'ING. REALES'!#REF!</f>
        <v>#REF!</v>
      </c>
      <c r="G70" s="515" t="e">
        <f>'ING. REALES'!#REF!</f>
        <v>#REF!</v>
      </c>
      <c r="H70" s="515" t="e">
        <f>'ING. REALES'!#REF!</f>
        <v>#REF!</v>
      </c>
      <c r="I70" s="515" t="e">
        <f>'ING. REALES'!#REF!</f>
        <v>#REF!</v>
      </c>
      <c r="J70" s="515" t="e">
        <f>'ING. REALES'!#REF!</f>
        <v>#REF!</v>
      </c>
      <c r="K70" s="515" t="e">
        <f>'ING. REALES'!#REF!</f>
        <v>#REF!</v>
      </c>
      <c r="L70" s="515" t="e">
        <f>'ING. REALES'!#REF!</f>
        <v>#REF!</v>
      </c>
      <c r="M70" s="515" t="e">
        <f>'ING. REALES'!#REF!</f>
        <v>#REF!</v>
      </c>
      <c r="N70" s="515" t="e">
        <f>'ING. REALES'!#REF!</f>
        <v>#REF!</v>
      </c>
      <c r="O70" s="515" t="e">
        <f>'ING. REALES'!#REF!</f>
        <v>#REF!</v>
      </c>
      <c r="P70" s="514"/>
      <c r="Q70" s="216"/>
    </row>
    <row r="71" spans="1:17" ht="13.5" thickBot="1" x14ac:dyDescent="0.25">
      <c r="A71" s="1197"/>
      <c r="B71" s="1198"/>
      <c r="C71" s="153">
        <f>C8+C18+C35+C39+C52+C57+C60+C63+C66</f>
        <v>2693603.91</v>
      </c>
      <c r="D71" s="153" t="e">
        <f>D8+D18+D35+D39+D52+D57+D60+D63+D66</f>
        <v>#REF!</v>
      </c>
      <c r="E71" s="153" t="e">
        <f t="shared" ref="E71:O71" si="38">E8+E18+E35+E39+E52+E57+E60+E63+E66</f>
        <v>#REF!</v>
      </c>
      <c r="F71" s="153" t="e">
        <f t="shared" si="38"/>
        <v>#REF!</v>
      </c>
      <c r="G71" s="153" t="e">
        <f t="shared" si="38"/>
        <v>#REF!</v>
      </c>
      <c r="H71" s="153" t="e">
        <f t="shared" si="38"/>
        <v>#REF!</v>
      </c>
      <c r="I71" s="153" t="e">
        <f t="shared" si="38"/>
        <v>#REF!</v>
      </c>
      <c r="J71" s="153" t="e">
        <f t="shared" si="38"/>
        <v>#REF!</v>
      </c>
      <c r="K71" s="153" t="e">
        <f t="shared" si="38"/>
        <v>#REF!</v>
      </c>
      <c r="L71" s="153" t="e">
        <f t="shared" si="38"/>
        <v>#REF!</v>
      </c>
      <c r="M71" s="153" t="e">
        <f t="shared" si="38"/>
        <v>#REF!</v>
      </c>
      <c r="N71" s="153" t="e">
        <f t="shared" si="38"/>
        <v>#REF!</v>
      </c>
      <c r="O71" s="153" t="e">
        <f t="shared" si="38"/>
        <v>#REF!</v>
      </c>
      <c r="P71" s="153" t="e">
        <f>P8+P17+P34+P38+P51+P59+P65</f>
        <v>#REF!</v>
      </c>
      <c r="Q71" s="216" t="e">
        <f t="shared" si="2"/>
        <v>#REF!</v>
      </c>
    </row>
    <row r="72" spans="1:17" ht="13.5" thickBot="1" x14ac:dyDescent="0.25">
      <c r="A72" s="11"/>
      <c r="B72" s="499"/>
      <c r="C72" s="153">
        <f>C9+C19+C32+C36+C40+C42+C50+C53+C55+C61+C64+C67+C69</f>
        <v>2693603.91</v>
      </c>
      <c r="D72" s="153" t="e">
        <f>D9+D19+D32+D36+D40+D42+D50+D53+D55+D61+D64+D67+D69</f>
        <v>#REF!</v>
      </c>
      <c r="E72" s="153" t="e">
        <f t="shared" ref="E72:O72" si="39">E9+E19+E32+E36+E40+E42+E50+E53+E55+E61+E64+E67+E69</f>
        <v>#REF!</v>
      </c>
      <c r="F72" s="153" t="e">
        <f t="shared" si="39"/>
        <v>#REF!</v>
      </c>
      <c r="G72" s="153" t="e">
        <f t="shared" si="39"/>
        <v>#REF!</v>
      </c>
      <c r="H72" s="153" t="e">
        <f t="shared" si="39"/>
        <v>#REF!</v>
      </c>
      <c r="I72" s="153" t="e">
        <f t="shared" si="39"/>
        <v>#REF!</v>
      </c>
      <c r="J72" s="153" t="e">
        <f t="shared" si="39"/>
        <v>#REF!</v>
      </c>
      <c r="K72" s="153" t="e">
        <f t="shared" si="39"/>
        <v>#REF!</v>
      </c>
      <c r="L72" s="153" t="e">
        <f t="shared" si="39"/>
        <v>#REF!</v>
      </c>
      <c r="M72" s="153" t="e">
        <f t="shared" si="39"/>
        <v>#REF!</v>
      </c>
      <c r="N72" s="153" t="e">
        <f t="shared" si="39"/>
        <v>#REF!</v>
      </c>
      <c r="O72" s="153" t="e">
        <f t="shared" si="39"/>
        <v>#REF!</v>
      </c>
      <c r="P72" s="153"/>
      <c r="Q72" s="216"/>
    </row>
    <row r="73" spans="1:17" ht="13.5" thickBot="1" x14ac:dyDescent="0.25">
      <c r="A73" s="1197"/>
      <c r="B73" s="1198"/>
      <c r="C73" s="153">
        <f>C10+C11+C12+C13+C14+C15+C16+C17+C20+C21+C22+C23+C24+C25+C26+C27+C28+C29+C30+C31+C33+C34+C37+C38+C41+C43+C44+C45+C46+C49+C51+C54+C56+C58+C59+C62+C65+C68+C70</f>
        <v>2693603.91</v>
      </c>
      <c r="D73" s="153" t="e">
        <f>D10+D11+D12+D13+D14+D15+D16+D17+D20+D21+D22+D23+D24+D25+D26+D27+D28+D29+D30+D31+D33+D34+D37+D38+D41+D43+D44+D45+D46+D49+D51+D54+D56+D58+D59+D62+D65+D68+D70</f>
        <v>#REF!</v>
      </c>
      <c r="E73" s="153" t="e">
        <f t="shared" ref="E73:O73" si="40">E10+E11+E12+E13+E14+E15+E16+E17+E20+E21+E22+E23+E24+E25+E26+E27+E28+E29+E30+E31+E33+E34+E37+E38+E41+E43+E44+E45+E46+E49+E51+E54+E56+E58+E59+E62+E65+E68+E70</f>
        <v>#REF!</v>
      </c>
      <c r="F73" s="153" t="e">
        <f t="shared" si="40"/>
        <v>#REF!</v>
      </c>
      <c r="G73" s="153" t="e">
        <f t="shared" si="40"/>
        <v>#REF!</v>
      </c>
      <c r="H73" s="153" t="e">
        <f t="shared" si="40"/>
        <v>#REF!</v>
      </c>
      <c r="I73" s="153" t="e">
        <f t="shared" si="40"/>
        <v>#REF!</v>
      </c>
      <c r="J73" s="153" t="e">
        <f t="shared" si="40"/>
        <v>#REF!</v>
      </c>
      <c r="K73" s="153" t="e">
        <f t="shared" si="40"/>
        <v>#REF!</v>
      </c>
      <c r="L73" s="153" t="e">
        <f t="shared" si="40"/>
        <v>#REF!</v>
      </c>
      <c r="M73" s="153" t="e">
        <f t="shared" si="40"/>
        <v>#REF!</v>
      </c>
      <c r="N73" s="153" t="e">
        <f t="shared" si="40"/>
        <v>#REF!</v>
      </c>
      <c r="O73" s="153" t="e">
        <f t="shared" si="40"/>
        <v>#REF!</v>
      </c>
      <c r="P73" s="153" t="e">
        <f t="shared" ref="P73" si="41">+P71</f>
        <v>#REF!</v>
      </c>
      <c r="Q73" s="216" t="e">
        <f t="shared" si="2"/>
        <v>#REF!</v>
      </c>
    </row>
    <row r="74" spans="1:17" x14ac:dyDescent="0.2">
      <c r="P74" s="156"/>
    </row>
    <row r="75" spans="1:17" x14ac:dyDescent="0.2">
      <c r="C75" s="516">
        <f>C73-'ING. REALES'!K73</f>
        <v>0</v>
      </c>
      <c r="P75" s="155" t="e">
        <f>'ING. REALES'!K73-DISTRIBUCIÓN!P73</f>
        <v>#REF!</v>
      </c>
    </row>
    <row r="76" spans="1:17" x14ac:dyDescent="0.2">
      <c r="P76" s="156"/>
    </row>
    <row r="77" spans="1:17" x14ac:dyDescent="0.2">
      <c r="P77" s="206"/>
    </row>
  </sheetData>
  <autoFilter ref="A5:P73"/>
  <mergeCells count="5">
    <mergeCell ref="A71:B71"/>
    <mergeCell ref="A73:B73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39997558519241921"/>
  </sheetPr>
  <dimension ref="A2:T30"/>
  <sheetViews>
    <sheetView showGridLines="0" workbookViewId="0">
      <selection activeCell="E34" sqref="E34"/>
    </sheetView>
  </sheetViews>
  <sheetFormatPr baseColWidth="10" defaultColWidth="9.140625" defaultRowHeight="12.75" x14ac:dyDescent="0.2"/>
  <cols>
    <col min="1" max="1" width="5.42578125" style="35" customWidth="1"/>
    <col min="2" max="2" width="30.140625" style="35" customWidth="1"/>
    <col min="3" max="3" width="17.7109375" style="35" customWidth="1"/>
    <col min="4" max="4" width="9.5703125" style="673" customWidth="1"/>
    <col min="5" max="5" width="15.140625" style="673" customWidth="1"/>
    <col min="6" max="6" width="9.140625" style="673" customWidth="1"/>
    <col min="7" max="7" width="11.28515625" style="673" customWidth="1"/>
    <col min="8" max="8" width="12.42578125" style="673" customWidth="1"/>
    <col min="9" max="9" width="14.42578125" style="35" customWidth="1"/>
    <col min="10" max="10" width="15.42578125" style="35" customWidth="1"/>
    <col min="11" max="15" width="9.140625" style="35" hidden="1" customWidth="1"/>
    <col min="16" max="16" width="10" style="35" hidden="1" customWidth="1"/>
    <col min="17" max="17" width="9.140625" style="35" hidden="1" customWidth="1"/>
    <col min="18" max="18" width="9.140625" style="332" customWidth="1"/>
    <col min="19" max="21" width="9.140625" style="35" customWidth="1"/>
    <col min="22" max="16384" width="9.140625" style="35"/>
  </cols>
  <sheetData>
    <row r="2" spans="1:20" ht="12.75" customHeight="1" x14ac:dyDescent="0.2">
      <c r="A2" s="1212" t="s">
        <v>731</v>
      </c>
      <c r="B2" s="1212"/>
      <c r="C2" s="1212"/>
      <c r="D2" s="1212"/>
      <c r="E2" s="1212"/>
      <c r="F2" s="1212"/>
      <c r="G2" s="1212"/>
      <c r="H2" s="1212"/>
      <c r="I2" s="1212"/>
      <c r="J2" s="1212"/>
      <c r="K2" s="1212"/>
      <c r="L2" s="7"/>
      <c r="M2" s="7"/>
      <c r="N2" s="7"/>
      <c r="O2" s="7"/>
      <c r="P2" s="7"/>
      <c r="Q2" s="7"/>
    </row>
    <row r="3" spans="1:20" ht="46.5" customHeight="1" thickBot="1" x14ac:dyDescent="0.25">
      <c r="A3" s="1213"/>
      <c r="B3" s="1213"/>
      <c r="C3" s="1213"/>
      <c r="D3" s="1213"/>
      <c r="E3" s="1213"/>
      <c r="F3" s="1213"/>
      <c r="G3" s="1213"/>
      <c r="H3" s="1213"/>
      <c r="I3" s="1213"/>
      <c r="J3" s="1213"/>
      <c r="K3" s="1213"/>
      <c r="L3" s="7"/>
      <c r="M3" s="7"/>
      <c r="N3" s="7"/>
      <c r="O3" s="7"/>
      <c r="P3" s="7"/>
      <c r="Q3" s="7"/>
    </row>
    <row r="4" spans="1:20" ht="27.75" customHeight="1" thickBot="1" x14ac:dyDescent="0.25">
      <c r="A4" s="1214" t="s">
        <v>382</v>
      </c>
      <c r="B4" s="1214" t="s">
        <v>584</v>
      </c>
      <c r="C4" s="1208" t="s">
        <v>585</v>
      </c>
      <c r="D4" s="1209" t="s">
        <v>384</v>
      </c>
      <c r="E4" s="1209" t="s">
        <v>347</v>
      </c>
      <c r="F4" s="1222" t="s">
        <v>348</v>
      </c>
      <c r="G4" s="1229" t="s">
        <v>349</v>
      </c>
      <c r="H4" s="1230"/>
      <c r="I4" s="322" t="s">
        <v>17</v>
      </c>
      <c r="J4" s="1226" t="s">
        <v>495</v>
      </c>
      <c r="K4" s="1225" t="s">
        <v>350</v>
      </c>
      <c r="L4" s="1214"/>
      <c r="M4" s="1214"/>
      <c r="N4" s="1214"/>
      <c r="O4" s="1214"/>
      <c r="P4" s="1214" t="s">
        <v>351</v>
      </c>
      <c r="Q4" s="1214" t="s">
        <v>352</v>
      </c>
    </row>
    <row r="5" spans="1:20" ht="23.25" customHeight="1" thickBot="1" x14ac:dyDescent="0.25">
      <c r="A5" s="1214"/>
      <c r="B5" s="1214"/>
      <c r="C5" s="1208"/>
      <c r="D5" s="1209"/>
      <c r="E5" s="1209"/>
      <c r="F5" s="1222"/>
      <c r="G5" s="1206" t="s">
        <v>390</v>
      </c>
      <c r="H5" s="1210" t="s">
        <v>16</v>
      </c>
      <c r="I5" s="1220" t="s">
        <v>353</v>
      </c>
      <c r="J5" s="1227"/>
      <c r="K5" s="38" t="s">
        <v>354</v>
      </c>
      <c r="L5" s="1214" t="s">
        <v>355</v>
      </c>
      <c r="M5" s="1214"/>
      <c r="N5" s="1214"/>
      <c r="O5" s="1214"/>
      <c r="P5" s="1214"/>
      <c r="Q5" s="1214"/>
    </row>
    <row r="6" spans="1:20" ht="15.75" customHeight="1" thickBot="1" x14ac:dyDescent="0.25">
      <c r="A6" s="1214"/>
      <c r="B6" s="1214"/>
      <c r="C6" s="1208"/>
      <c r="D6" s="1209"/>
      <c r="E6" s="1209"/>
      <c r="F6" s="1222"/>
      <c r="G6" s="1207"/>
      <c r="H6" s="1211"/>
      <c r="I6" s="1221"/>
      <c r="J6" s="1228"/>
      <c r="K6" s="38" t="s">
        <v>356</v>
      </c>
      <c r="L6" s="33" t="s">
        <v>357</v>
      </c>
      <c r="M6" s="33" t="s">
        <v>19</v>
      </c>
      <c r="N6" s="33" t="s">
        <v>358</v>
      </c>
      <c r="O6" s="33" t="s">
        <v>359</v>
      </c>
      <c r="P6" s="1214"/>
      <c r="Q6" s="1214"/>
    </row>
    <row r="7" spans="1:20" ht="31.5" customHeight="1" thickBot="1" x14ac:dyDescent="0.25">
      <c r="A7" s="323">
        <v>1</v>
      </c>
      <c r="B7" s="324" t="s">
        <v>611</v>
      </c>
      <c r="C7" s="292"/>
      <c r="D7" s="652">
        <v>1</v>
      </c>
      <c r="E7" s="653" t="s">
        <v>349</v>
      </c>
      <c r="F7" s="654" t="s">
        <v>20</v>
      </c>
      <c r="G7" s="979">
        <v>611.11</v>
      </c>
      <c r="H7" s="655">
        <f>G7*12</f>
        <v>7333.32</v>
      </c>
      <c r="I7" s="325">
        <v>0</v>
      </c>
      <c r="J7" s="326">
        <f>+I7+H7</f>
        <v>7333.32</v>
      </c>
      <c r="K7" s="45">
        <v>0</v>
      </c>
      <c r="L7" s="44"/>
      <c r="M7" s="44">
        <v>0</v>
      </c>
      <c r="N7" s="44"/>
      <c r="O7" s="44">
        <v>0</v>
      </c>
      <c r="P7" s="44">
        <v>0</v>
      </c>
      <c r="Q7" s="44"/>
      <c r="S7" s="36"/>
      <c r="T7" s="46"/>
    </row>
    <row r="8" spans="1:20" ht="31.5" hidden="1" customHeight="1" thickBot="1" x14ac:dyDescent="0.25">
      <c r="A8" s="327"/>
      <c r="B8" s="285"/>
      <c r="C8" s="328"/>
      <c r="D8" s="656"/>
      <c r="E8" s="657"/>
      <c r="F8" s="658"/>
      <c r="G8" s="659"/>
      <c r="H8" s="660"/>
      <c r="I8" s="329"/>
      <c r="J8" s="330"/>
      <c r="K8" s="45">
        <v>0</v>
      </c>
      <c r="L8" s="44"/>
      <c r="M8" s="44">
        <v>0</v>
      </c>
      <c r="N8" s="44"/>
      <c r="O8" s="44">
        <v>0</v>
      </c>
      <c r="P8" s="44">
        <v>0</v>
      </c>
      <c r="Q8" s="44"/>
      <c r="S8" s="36"/>
      <c r="T8" s="46"/>
    </row>
    <row r="9" spans="1:20" ht="14.25" customHeight="1" thickBot="1" x14ac:dyDescent="0.25">
      <c r="A9" s="1216" t="s">
        <v>381</v>
      </c>
      <c r="B9" s="1217"/>
      <c r="C9" s="1217"/>
      <c r="D9" s="1217"/>
      <c r="E9" s="1217"/>
      <c r="F9" s="1217"/>
      <c r="G9" s="661">
        <f>G7</f>
        <v>611.11</v>
      </c>
      <c r="H9" s="662">
        <f>H7</f>
        <v>7333.32</v>
      </c>
      <c r="I9" s="293">
        <f>I7</f>
        <v>0</v>
      </c>
      <c r="J9" s="297">
        <f>J7</f>
        <v>7333.32</v>
      </c>
      <c r="K9" s="50" t="e">
        <f>SUM(#REF!)</f>
        <v>#REF!</v>
      </c>
      <c r="L9" s="49" t="e">
        <f>SUM(#REF!)</f>
        <v>#REF!</v>
      </c>
      <c r="M9" s="49" t="e">
        <f>SUM(#REF!)</f>
        <v>#REF!</v>
      </c>
      <c r="N9" s="49" t="e">
        <f>SUM(#REF!)</f>
        <v>#REF!</v>
      </c>
      <c r="O9" s="49" t="e">
        <f>SUM(#REF!)</f>
        <v>#REF!</v>
      </c>
      <c r="P9" s="49" t="e">
        <f>SUM(#REF!)</f>
        <v>#REF!</v>
      </c>
      <c r="Q9" s="49" t="e">
        <f>SUM(#REF!)</f>
        <v>#REF!</v>
      </c>
    </row>
    <row r="10" spans="1:20" ht="13.5" hidden="1" thickBot="1" x14ac:dyDescent="0.25">
      <c r="A10" s="51"/>
      <c r="B10" s="51"/>
      <c r="C10" s="43" t="s">
        <v>362</v>
      </c>
      <c r="D10" s="663"/>
      <c r="E10" s="663" t="s">
        <v>26</v>
      </c>
      <c r="F10" s="664" t="s">
        <v>21</v>
      </c>
      <c r="G10" s="665"/>
      <c r="H10" s="666">
        <f t="shared" ref="H10:H17" si="0">G10*12</f>
        <v>0</v>
      </c>
      <c r="I10" s="294"/>
      <c r="J10" s="298"/>
      <c r="K10" s="47">
        <v>0</v>
      </c>
      <c r="L10" s="48"/>
      <c r="M10" s="48">
        <v>0</v>
      </c>
      <c r="N10" s="48"/>
      <c r="O10" s="48">
        <f t="shared" ref="O10:O17" si="1">SUM(L10:N10)</f>
        <v>0</v>
      </c>
      <c r="P10" s="48">
        <f t="shared" ref="P10:P17" si="2">H10*0.01</f>
        <v>0</v>
      </c>
      <c r="Q10" s="48"/>
    </row>
    <row r="11" spans="1:20" ht="13.5" hidden="1" thickBot="1" x14ac:dyDescent="0.25">
      <c r="A11" s="51"/>
      <c r="B11" s="51"/>
      <c r="C11" s="43" t="s">
        <v>363</v>
      </c>
      <c r="D11" s="663"/>
      <c r="E11" s="663" t="s">
        <v>26</v>
      </c>
      <c r="F11" s="664" t="s">
        <v>21</v>
      </c>
      <c r="G11" s="665"/>
      <c r="H11" s="666">
        <f t="shared" si="0"/>
        <v>0</v>
      </c>
      <c r="I11" s="294"/>
      <c r="J11" s="298"/>
      <c r="K11" s="47">
        <v>0</v>
      </c>
      <c r="L11" s="48"/>
      <c r="M11" s="48">
        <v>0</v>
      </c>
      <c r="N11" s="48"/>
      <c r="O11" s="48">
        <f t="shared" si="1"/>
        <v>0</v>
      </c>
      <c r="P11" s="48">
        <f t="shared" si="2"/>
        <v>0</v>
      </c>
      <c r="Q11" s="48"/>
    </row>
    <row r="12" spans="1:20" ht="13.5" hidden="1" thickBot="1" x14ac:dyDescent="0.25">
      <c r="A12" s="51"/>
      <c r="B12" s="51"/>
      <c r="C12" s="43" t="s">
        <v>364</v>
      </c>
      <c r="D12" s="663"/>
      <c r="E12" s="663" t="s">
        <v>26</v>
      </c>
      <c r="F12" s="664" t="s">
        <v>21</v>
      </c>
      <c r="G12" s="665"/>
      <c r="H12" s="666">
        <f t="shared" si="0"/>
        <v>0</v>
      </c>
      <c r="I12" s="294"/>
      <c r="J12" s="298"/>
      <c r="K12" s="47">
        <v>0</v>
      </c>
      <c r="L12" s="48"/>
      <c r="M12" s="48">
        <v>0</v>
      </c>
      <c r="N12" s="48"/>
      <c r="O12" s="48">
        <f t="shared" si="1"/>
        <v>0</v>
      </c>
      <c r="P12" s="48">
        <f t="shared" si="2"/>
        <v>0</v>
      </c>
      <c r="Q12" s="48"/>
    </row>
    <row r="13" spans="1:20" ht="13.5" hidden="1" thickBot="1" x14ac:dyDescent="0.25">
      <c r="A13" s="51"/>
      <c r="B13" s="51"/>
      <c r="C13" s="43" t="s">
        <v>365</v>
      </c>
      <c r="D13" s="663"/>
      <c r="E13" s="663" t="s">
        <v>26</v>
      </c>
      <c r="F13" s="664" t="s">
        <v>21</v>
      </c>
      <c r="G13" s="665"/>
      <c r="H13" s="666">
        <f t="shared" si="0"/>
        <v>0</v>
      </c>
      <c r="I13" s="294"/>
      <c r="J13" s="298"/>
      <c r="K13" s="47">
        <v>0</v>
      </c>
      <c r="L13" s="48"/>
      <c r="M13" s="48">
        <v>0</v>
      </c>
      <c r="N13" s="48"/>
      <c r="O13" s="48">
        <f t="shared" si="1"/>
        <v>0</v>
      </c>
      <c r="P13" s="48">
        <f t="shared" si="2"/>
        <v>0</v>
      </c>
      <c r="Q13" s="48"/>
    </row>
    <row r="14" spans="1:20" ht="13.5" hidden="1" thickBot="1" x14ac:dyDescent="0.25">
      <c r="A14" s="51"/>
      <c r="B14" s="51"/>
      <c r="C14" s="43" t="s">
        <v>366</v>
      </c>
      <c r="D14" s="663"/>
      <c r="E14" s="663" t="s">
        <v>26</v>
      </c>
      <c r="F14" s="664" t="s">
        <v>21</v>
      </c>
      <c r="G14" s="665"/>
      <c r="H14" s="666">
        <f t="shared" si="0"/>
        <v>0</v>
      </c>
      <c r="I14" s="294"/>
      <c r="J14" s="298"/>
      <c r="K14" s="47">
        <v>0</v>
      </c>
      <c r="L14" s="48"/>
      <c r="M14" s="48">
        <v>0</v>
      </c>
      <c r="N14" s="48"/>
      <c r="O14" s="48">
        <f t="shared" si="1"/>
        <v>0</v>
      </c>
      <c r="P14" s="48">
        <f t="shared" si="2"/>
        <v>0</v>
      </c>
      <c r="Q14" s="48"/>
    </row>
    <row r="15" spans="1:20" ht="19.5" hidden="1" customHeight="1" x14ac:dyDescent="0.2">
      <c r="A15" s="51"/>
      <c r="B15" s="51"/>
      <c r="C15" s="43" t="s">
        <v>367</v>
      </c>
      <c r="D15" s="663"/>
      <c r="E15" s="663" t="s">
        <v>26</v>
      </c>
      <c r="F15" s="664" t="s">
        <v>21</v>
      </c>
      <c r="G15" s="665"/>
      <c r="H15" s="666">
        <f t="shared" si="0"/>
        <v>0</v>
      </c>
      <c r="I15" s="294"/>
      <c r="J15" s="298"/>
      <c r="K15" s="47">
        <v>0</v>
      </c>
      <c r="L15" s="48"/>
      <c r="M15" s="48">
        <v>0</v>
      </c>
      <c r="N15" s="48"/>
      <c r="O15" s="48">
        <f t="shared" si="1"/>
        <v>0</v>
      </c>
      <c r="P15" s="48">
        <f t="shared" si="2"/>
        <v>0</v>
      </c>
      <c r="Q15" s="48"/>
    </row>
    <row r="16" spans="1:20" ht="13.5" hidden="1" thickBot="1" x14ac:dyDescent="0.25">
      <c r="A16" s="51"/>
      <c r="B16" s="51"/>
      <c r="C16" s="43" t="s">
        <v>369</v>
      </c>
      <c r="D16" s="663"/>
      <c r="E16" s="663" t="s">
        <v>26</v>
      </c>
      <c r="F16" s="664" t="s">
        <v>21</v>
      </c>
      <c r="G16" s="665"/>
      <c r="H16" s="666">
        <f t="shared" si="0"/>
        <v>0</v>
      </c>
      <c r="I16" s="294"/>
      <c r="J16" s="298"/>
      <c r="K16" s="47">
        <v>0</v>
      </c>
      <c r="L16" s="48"/>
      <c r="M16" s="48">
        <v>0</v>
      </c>
      <c r="N16" s="48"/>
      <c r="O16" s="48">
        <f t="shared" si="1"/>
        <v>0</v>
      </c>
      <c r="P16" s="48">
        <f t="shared" si="2"/>
        <v>0</v>
      </c>
      <c r="Q16" s="48"/>
    </row>
    <row r="17" spans="1:17" ht="13.5" hidden="1" thickBot="1" x14ac:dyDescent="0.25">
      <c r="A17" s="51"/>
      <c r="B17" s="51"/>
      <c r="C17" s="43" t="s">
        <v>371</v>
      </c>
      <c r="D17" s="663"/>
      <c r="E17" s="663" t="s">
        <v>26</v>
      </c>
      <c r="F17" s="664" t="s">
        <v>21</v>
      </c>
      <c r="G17" s="665"/>
      <c r="H17" s="666">
        <f t="shared" si="0"/>
        <v>0</v>
      </c>
      <c r="I17" s="294"/>
      <c r="J17" s="298"/>
      <c r="K17" s="47">
        <v>0</v>
      </c>
      <c r="L17" s="48"/>
      <c r="M17" s="48">
        <v>0</v>
      </c>
      <c r="N17" s="48"/>
      <c r="O17" s="48">
        <f t="shared" si="1"/>
        <v>0</v>
      </c>
      <c r="P17" s="48">
        <f t="shared" si="2"/>
        <v>0</v>
      </c>
      <c r="Q17" s="48"/>
    </row>
    <row r="18" spans="1:17" ht="13.5" hidden="1" thickBot="1" x14ac:dyDescent="0.25">
      <c r="A18" s="1218" t="s">
        <v>372</v>
      </c>
      <c r="B18" s="1219"/>
      <c r="C18" s="1219"/>
      <c r="D18" s="1219"/>
      <c r="E18" s="1219"/>
      <c r="F18" s="1219"/>
      <c r="G18" s="667">
        <f t="shared" ref="G18:Q18" si="3">SUM(G10:G17)</f>
        <v>0</v>
      </c>
      <c r="H18" s="668">
        <f t="shared" si="3"/>
        <v>0</v>
      </c>
      <c r="I18" s="295">
        <f t="shared" si="3"/>
        <v>0</v>
      </c>
      <c r="J18" s="299">
        <f t="shared" si="3"/>
        <v>0</v>
      </c>
      <c r="K18" s="50">
        <f t="shared" si="3"/>
        <v>0</v>
      </c>
      <c r="L18" s="49">
        <f t="shared" si="3"/>
        <v>0</v>
      </c>
      <c r="M18" s="49">
        <f t="shared" si="3"/>
        <v>0</v>
      </c>
      <c r="N18" s="49">
        <f t="shared" si="3"/>
        <v>0</v>
      </c>
      <c r="O18" s="49">
        <f t="shared" si="3"/>
        <v>0</v>
      </c>
      <c r="P18" s="49">
        <f t="shared" si="3"/>
        <v>0</v>
      </c>
      <c r="Q18" s="49">
        <f t="shared" si="3"/>
        <v>0</v>
      </c>
    </row>
    <row r="19" spans="1:17" ht="26.25" hidden="1" thickBot="1" x14ac:dyDescent="0.25">
      <c r="A19" s="51"/>
      <c r="B19" s="51"/>
      <c r="C19" s="43" t="s">
        <v>373</v>
      </c>
      <c r="D19" s="663"/>
      <c r="E19" s="663" t="s">
        <v>26</v>
      </c>
      <c r="F19" s="664" t="s">
        <v>24</v>
      </c>
      <c r="G19" s="665"/>
      <c r="H19" s="666">
        <f>G19*12</f>
        <v>0</v>
      </c>
      <c r="I19" s="294"/>
      <c r="J19" s="298"/>
      <c r="K19" s="47">
        <v>0</v>
      </c>
      <c r="L19" s="48"/>
      <c r="M19" s="48">
        <v>0</v>
      </c>
      <c r="N19" s="48"/>
      <c r="O19" s="48">
        <f>SUM(L19:N19)</f>
        <v>0</v>
      </c>
      <c r="P19" s="48">
        <f>H19*0.01</f>
        <v>0</v>
      </c>
      <c r="Q19" s="48"/>
    </row>
    <row r="20" spans="1:17" ht="13.5" hidden="1" thickBot="1" x14ac:dyDescent="0.25">
      <c r="A20" s="1218" t="s">
        <v>374</v>
      </c>
      <c r="B20" s="1219"/>
      <c r="C20" s="1219"/>
      <c r="D20" s="1219"/>
      <c r="E20" s="1219"/>
      <c r="F20" s="1219"/>
      <c r="G20" s="667">
        <f>SUM(G19)</f>
        <v>0</v>
      </c>
      <c r="H20" s="669">
        <f>SUM(H19)</f>
        <v>0</v>
      </c>
      <c r="I20" s="295">
        <f>SUM(I19)</f>
        <v>0</v>
      </c>
      <c r="J20" s="299">
        <f>SUM(J19)</f>
        <v>0</v>
      </c>
      <c r="K20" s="50">
        <f t="shared" ref="K20:Q20" si="4">SUM(K19)</f>
        <v>0</v>
      </c>
      <c r="L20" s="49">
        <f t="shared" si="4"/>
        <v>0</v>
      </c>
      <c r="M20" s="49">
        <f t="shared" si="4"/>
        <v>0</v>
      </c>
      <c r="N20" s="49">
        <f t="shared" si="4"/>
        <v>0</v>
      </c>
      <c r="O20" s="49">
        <f t="shared" si="4"/>
        <v>0</v>
      </c>
      <c r="P20" s="49">
        <f t="shared" si="4"/>
        <v>0</v>
      </c>
      <c r="Q20" s="49">
        <f t="shared" si="4"/>
        <v>0</v>
      </c>
    </row>
    <row r="21" spans="1:17" ht="26.25" hidden="1" thickBot="1" x14ac:dyDescent="0.25">
      <c r="A21" s="51"/>
      <c r="B21" s="51"/>
      <c r="C21" s="43" t="s">
        <v>375</v>
      </c>
      <c r="D21" s="663"/>
      <c r="E21" s="663" t="s">
        <v>26</v>
      </c>
      <c r="F21" s="664" t="s">
        <v>253</v>
      </c>
      <c r="G21" s="665"/>
      <c r="H21" s="666">
        <f>G21*12</f>
        <v>0</v>
      </c>
      <c r="I21" s="294"/>
      <c r="J21" s="298"/>
      <c r="K21" s="47">
        <v>0</v>
      </c>
      <c r="L21" s="48"/>
      <c r="M21" s="48">
        <v>0</v>
      </c>
      <c r="N21" s="48"/>
      <c r="O21" s="48">
        <f>SUM(L21:N21)</f>
        <v>0</v>
      </c>
      <c r="P21" s="48">
        <f>H21*0.01</f>
        <v>0</v>
      </c>
      <c r="Q21" s="48"/>
    </row>
    <row r="22" spans="1:17" ht="13.5" hidden="1" thickBot="1" x14ac:dyDescent="0.25">
      <c r="A22" s="51"/>
      <c r="B22" s="51"/>
      <c r="C22" s="43" t="s">
        <v>23</v>
      </c>
      <c r="D22" s="663"/>
      <c r="E22" s="663" t="s">
        <v>26</v>
      </c>
      <c r="F22" s="664" t="s">
        <v>253</v>
      </c>
      <c r="G22" s="665"/>
      <c r="H22" s="666">
        <f>G22*12</f>
        <v>0</v>
      </c>
      <c r="I22" s="294"/>
      <c r="J22" s="298"/>
      <c r="K22" s="47">
        <v>0</v>
      </c>
      <c r="L22" s="48"/>
      <c r="M22" s="48">
        <v>0</v>
      </c>
      <c r="N22" s="48"/>
      <c r="O22" s="48">
        <f>SUM(L22:N22)</f>
        <v>0</v>
      </c>
      <c r="P22" s="48">
        <f>H22*0.01</f>
        <v>0</v>
      </c>
      <c r="Q22" s="48"/>
    </row>
    <row r="23" spans="1:17" ht="13.5" hidden="1" thickBot="1" x14ac:dyDescent="0.25">
      <c r="A23" s="51"/>
      <c r="B23" s="51"/>
      <c r="C23" s="43" t="s">
        <v>376</v>
      </c>
      <c r="D23" s="663"/>
      <c r="E23" s="663" t="s">
        <v>26</v>
      </c>
      <c r="F23" s="664" t="s">
        <v>253</v>
      </c>
      <c r="G23" s="665"/>
      <c r="H23" s="666">
        <f>G23*12</f>
        <v>0</v>
      </c>
      <c r="I23" s="294"/>
      <c r="J23" s="298"/>
      <c r="K23" s="47">
        <v>0</v>
      </c>
      <c r="L23" s="48"/>
      <c r="M23" s="48">
        <v>0</v>
      </c>
      <c r="N23" s="48"/>
      <c r="O23" s="48">
        <f>SUM(L23:N23)</f>
        <v>0</v>
      </c>
      <c r="P23" s="48">
        <f>H23*0.01</f>
        <v>0</v>
      </c>
      <c r="Q23" s="48"/>
    </row>
    <row r="24" spans="1:17" ht="13.5" hidden="1" thickBot="1" x14ac:dyDescent="0.25">
      <c r="A24" s="51"/>
      <c r="B24" s="51"/>
      <c r="C24" s="43" t="s">
        <v>377</v>
      </c>
      <c r="D24" s="663"/>
      <c r="E24" s="663" t="s">
        <v>26</v>
      </c>
      <c r="F24" s="664" t="s">
        <v>253</v>
      </c>
      <c r="G24" s="665"/>
      <c r="H24" s="666">
        <f>G24*12</f>
        <v>0</v>
      </c>
      <c r="I24" s="294"/>
      <c r="J24" s="298"/>
      <c r="K24" s="47">
        <v>0</v>
      </c>
      <c r="L24" s="48"/>
      <c r="M24" s="48">
        <v>0</v>
      </c>
      <c r="N24" s="48"/>
      <c r="O24" s="48">
        <f>SUM(L24:N24)</f>
        <v>0</v>
      </c>
      <c r="P24" s="48">
        <f>H24*0.01</f>
        <v>0</v>
      </c>
      <c r="Q24" s="48"/>
    </row>
    <row r="25" spans="1:17" ht="15" hidden="1" customHeight="1" thickBot="1" x14ac:dyDescent="0.25">
      <c r="A25" s="1223" t="s">
        <v>361</v>
      </c>
      <c r="B25" s="1224"/>
      <c r="C25" s="1224"/>
      <c r="D25" s="1224"/>
      <c r="E25" s="1224"/>
      <c r="F25" s="1224"/>
      <c r="G25" s="670">
        <f>SUM(G24)</f>
        <v>0</v>
      </c>
      <c r="H25" s="671">
        <f>SUM(H24)</f>
        <v>0</v>
      </c>
      <c r="I25" s="296">
        <f>SUM(I24)</f>
        <v>0</v>
      </c>
      <c r="J25" s="300">
        <f>SUM(J24)</f>
        <v>0</v>
      </c>
      <c r="K25" s="53">
        <f t="shared" ref="K25:Q25" si="5">SUM(K21:K24)</f>
        <v>0</v>
      </c>
      <c r="L25" s="52">
        <f t="shared" si="5"/>
        <v>0</v>
      </c>
      <c r="M25" s="52">
        <f t="shared" si="5"/>
        <v>0</v>
      </c>
      <c r="N25" s="52">
        <f t="shared" si="5"/>
        <v>0</v>
      </c>
      <c r="O25" s="52">
        <f t="shared" si="5"/>
        <v>0</v>
      </c>
      <c r="P25" s="52">
        <f t="shared" si="5"/>
        <v>0</v>
      </c>
      <c r="Q25" s="52">
        <f t="shared" si="5"/>
        <v>0</v>
      </c>
    </row>
    <row r="26" spans="1:17" ht="13.5" thickBot="1" x14ac:dyDescent="0.25">
      <c r="A26" s="1214" t="s">
        <v>378</v>
      </c>
      <c r="B26" s="1214"/>
      <c r="C26" s="1214"/>
      <c r="D26" s="1214"/>
      <c r="E26" s="1214"/>
      <c r="F26" s="1215"/>
      <c r="G26" s="672">
        <f>G9+G18+G20+G25</f>
        <v>611.11</v>
      </c>
      <c r="H26" s="672">
        <f t="shared" ref="H26:J26" si="6">H9+H18+H20+H25</f>
        <v>7333.32</v>
      </c>
      <c r="I26" s="291">
        <f t="shared" si="6"/>
        <v>0</v>
      </c>
      <c r="J26" s="54">
        <f t="shared" si="6"/>
        <v>7333.32</v>
      </c>
      <c r="K26" s="55" t="e">
        <f t="shared" ref="K26:Q26" si="7">K25+K20+K18+K9</f>
        <v>#REF!</v>
      </c>
      <c r="L26" s="54" t="e">
        <f t="shared" si="7"/>
        <v>#REF!</v>
      </c>
      <c r="M26" s="54" t="e">
        <f t="shared" si="7"/>
        <v>#REF!</v>
      </c>
      <c r="N26" s="54" t="e">
        <f t="shared" si="7"/>
        <v>#REF!</v>
      </c>
      <c r="O26" s="54" t="e">
        <f t="shared" si="7"/>
        <v>#REF!</v>
      </c>
      <c r="P26" s="54" t="e">
        <f t="shared" si="7"/>
        <v>#REF!</v>
      </c>
      <c r="Q26" s="54" t="e">
        <f t="shared" si="7"/>
        <v>#REF!</v>
      </c>
    </row>
    <row r="28" spans="1:17" ht="15.75" x14ac:dyDescent="0.25">
      <c r="A28" s="218"/>
      <c r="B28" s="218"/>
    </row>
    <row r="30" spans="1:17" x14ac:dyDescent="0.2">
      <c r="K30" s="36"/>
      <c r="L30" s="36"/>
      <c r="M30" s="36"/>
      <c r="N30" s="36"/>
      <c r="O30" s="36"/>
      <c r="P30" s="36"/>
      <c r="Q30" s="36"/>
    </row>
  </sheetData>
  <mergeCells count="21">
    <mergeCell ref="A2:K3"/>
    <mergeCell ref="A26:F26"/>
    <mergeCell ref="Q4:Q6"/>
    <mergeCell ref="A9:F9"/>
    <mergeCell ref="A18:F18"/>
    <mergeCell ref="A20:F20"/>
    <mergeCell ref="I5:I6"/>
    <mergeCell ref="F4:F6"/>
    <mergeCell ref="A4:A6"/>
    <mergeCell ref="A25:F25"/>
    <mergeCell ref="P4:P6"/>
    <mergeCell ref="L5:O5"/>
    <mergeCell ref="K4:O4"/>
    <mergeCell ref="B4:B6"/>
    <mergeCell ref="J4:J6"/>
    <mergeCell ref="G4:H4"/>
    <mergeCell ref="G5:G6"/>
    <mergeCell ref="C4:C6"/>
    <mergeCell ref="D4:D6"/>
    <mergeCell ref="E4:E6"/>
    <mergeCell ref="H5:H6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8" tint="0.59999389629810485"/>
  </sheetPr>
  <dimension ref="A3:AS108"/>
  <sheetViews>
    <sheetView showGridLines="0" topLeftCell="A19" zoomScale="89" zoomScaleNormal="89" workbookViewId="0">
      <selection activeCell="C70" sqref="C70"/>
    </sheetView>
  </sheetViews>
  <sheetFormatPr baseColWidth="10" defaultRowHeight="12.75" x14ac:dyDescent="0.2"/>
  <cols>
    <col min="1" max="1" width="3.28515625" customWidth="1"/>
    <col min="2" max="2" width="27.42578125" customWidth="1"/>
    <col min="3" max="3" width="15.5703125" customWidth="1"/>
    <col min="4" max="4" width="6" customWidth="1"/>
    <col min="5" max="5" width="7.42578125" style="32" customWidth="1"/>
    <col min="6" max="6" width="7.28515625" style="32" customWidth="1"/>
    <col min="7" max="7" width="10.28515625" style="32" customWidth="1"/>
    <col min="8" max="8" width="10.7109375" style="32" customWidth="1"/>
    <col min="9" max="9" width="11.7109375" customWidth="1"/>
    <col min="10" max="10" width="9.7109375" style="242" customWidth="1"/>
    <col min="11" max="11" width="10.28515625" customWidth="1"/>
    <col min="12" max="12" width="10.85546875" customWidth="1"/>
    <col min="13" max="13" width="11.85546875" customWidth="1"/>
    <col min="14" max="14" width="8.28515625" customWidth="1"/>
    <col min="15" max="15" width="10.85546875" customWidth="1"/>
    <col min="16" max="16" width="11" style="271" customWidth="1"/>
    <col min="17" max="17" width="10.85546875" customWidth="1"/>
    <col min="18" max="18" width="11.85546875" customWidth="1"/>
    <col min="19" max="21" width="11.42578125" customWidth="1"/>
    <col min="22" max="22" width="8" style="449" customWidth="1"/>
    <col min="23" max="25" width="12.7109375" customWidth="1"/>
    <col min="26" max="28" width="11.42578125" customWidth="1"/>
    <col min="29" max="30" width="12.28515625" customWidth="1"/>
    <col min="31" max="31" width="12.5703125" style="242" customWidth="1"/>
    <col min="32" max="32" width="11.42578125" customWidth="1"/>
    <col min="33" max="33" width="8" style="449" customWidth="1"/>
    <col min="34" max="36" width="12.28515625" customWidth="1"/>
    <col min="37" max="39" width="11.42578125" customWidth="1"/>
    <col min="40" max="41" width="12.28515625" customWidth="1"/>
    <col min="42" max="42" width="12.5703125" style="242" customWidth="1"/>
    <col min="43" max="43" width="12.28515625" customWidth="1"/>
    <col min="44" max="44" width="12.7109375" style="242" customWidth="1"/>
    <col min="45" max="45" width="11.42578125" customWidth="1"/>
  </cols>
  <sheetData>
    <row r="3" spans="1:44" x14ac:dyDescent="0.2">
      <c r="A3" s="1240" t="s">
        <v>441</v>
      </c>
      <c r="B3" s="1240"/>
      <c r="C3" s="1240"/>
      <c r="D3" s="1240"/>
      <c r="E3" s="1240"/>
      <c r="F3" s="1240"/>
      <c r="G3" s="1240"/>
      <c r="H3" s="1240"/>
      <c r="I3" s="1240"/>
      <c r="J3" s="1240"/>
      <c r="K3" s="1240"/>
      <c r="L3" s="1240"/>
      <c r="M3" s="1240"/>
      <c r="N3" s="1240"/>
      <c r="O3" s="1240"/>
      <c r="P3" s="1240"/>
      <c r="Q3" s="1240"/>
      <c r="R3" s="1240"/>
    </row>
    <row r="4" spans="1:44" x14ac:dyDescent="0.2">
      <c r="A4" s="1240" t="s">
        <v>732</v>
      </c>
      <c r="B4" s="1240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0"/>
      <c r="P4" s="1240"/>
      <c r="Q4" s="1240"/>
      <c r="R4" s="1240"/>
    </row>
    <row r="5" spans="1:44" x14ac:dyDescent="0.2">
      <c r="A5" s="1240" t="s">
        <v>454</v>
      </c>
      <c r="B5" s="1240"/>
      <c r="C5" s="1240"/>
      <c r="D5" s="1240"/>
      <c r="E5" s="1240"/>
      <c r="F5" s="1240"/>
      <c r="G5" s="1240"/>
      <c r="H5" s="1240"/>
      <c r="I5" s="1240"/>
      <c r="J5" s="1240"/>
      <c r="K5" s="1240"/>
      <c r="L5" s="1240"/>
      <c r="M5" s="1240"/>
      <c r="N5" s="1240"/>
      <c r="O5" s="1240"/>
      <c r="P5" s="1240"/>
      <c r="Q5" s="1240"/>
      <c r="R5" s="1240"/>
    </row>
    <row r="6" spans="1:44" ht="6.75" customHeight="1" thickBot="1" x14ac:dyDescent="0.25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88"/>
      <c r="Q6" s="211"/>
      <c r="R6" s="211"/>
    </row>
    <row r="7" spans="1:44" ht="13.5" thickBot="1" x14ac:dyDescent="0.25">
      <c r="A7" s="1241" t="s">
        <v>382</v>
      </c>
      <c r="B7" s="1244" t="s">
        <v>15</v>
      </c>
      <c r="C7" s="1237" t="s">
        <v>383</v>
      </c>
      <c r="D7" s="1244" t="s">
        <v>384</v>
      </c>
      <c r="E7" s="1244" t="s">
        <v>385</v>
      </c>
      <c r="F7" s="1244" t="s">
        <v>386</v>
      </c>
      <c r="G7" s="1251" t="s">
        <v>387</v>
      </c>
      <c r="H7" s="1252"/>
      <c r="I7" s="1253"/>
      <c r="J7" s="1257" t="s">
        <v>581</v>
      </c>
      <c r="K7" s="1258"/>
      <c r="L7" s="1259"/>
      <c r="M7" s="1249" t="s">
        <v>388</v>
      </c>
      <c r="N7" s="1249"/>
      <c r="O7" s="1249"/>
      <c r="P7" s="1249"/>
      <c r="Q7" s="1250"/>
      <c r="R7" s="1237" t="s">
        <v>25</v>
      </c>
      <c r="V7" s="1234" t="s">
        <v>648</v>
      </c>
      <c r="W7" s="1235"/>
      <c r="X7" s="1235"/>
      <c r="Y7" s="1235"/>
      <c r="Z7" s="1235"/>
      <c r="AA7" s="1235"/>
      <c r="AB7" s="1235"/>
      <c r="AC7" s="1235"/>
      <c r="AD7" s="1235"/>
      <c r="AE7" s="1236"/>
      <c r="AG7" s="1234" t="s">
        <v>648</v>
      </c>
      <c r="AH7" s="1235"/>
      <c r="AI7" s="1235"/>
      <c r="AJ7" s="1235"/>
      <c r="AK7" s="1235"/>
      <c r="AL7" s="1235"/>
      <c r="AM7" s="1235"/>
      <c r="AN7" s="1235"/>
      <c r="AO7" s="1235"/>
      <c r="AP7" s="1236"/>
    </row>
    <row r="8" spans="1:44" ht="13.5" thickBot="1" x14ac:dyDescent="0.25">
      <c r="A8" s="1242"/>
      <c r="B8" s="1245"/>
      <c r="C8" s="1247"/>
      <c r="D8" s="1245"/>
      <c r="E8" s="1245"/>
      <c r="F8" s="1245"/>
      <c r="G8" s="1254"/>
      <c r="H8" s="1255"/>
      <c r="I8" s="1256"/>
      <c r="J8" s="1260"/>
      <c r="K8" s="1261"/>
      <c r="L8" s="1262"/>
      <c r="M8" s="306" t="s">
        <v>389</v>
      </c>
      <c r="N8" s="1269" t="s">
        <v>637</v>
      </c>
      <c r="O8" s="1270"/>
      <c r="P8" s="309" t="s">
        <v>616</v>
      </c>
      <c r="Q8" s="307"/>
      <c r="R8" s="1238"/>
      <c r="V8" s="1231" t="s">
        <v>629</v>
      </c>
      <c r="W8" s="1232"/>
      <c r="X8" s="1232"/>
      <c r="Y8" s="1232"/>
      <c r="Z8" s="1232"/>
      <c r="AA8" s="1232"/>
      <c r="AB8" s="1232"/>
      <c r="AC8" s="1232"/>
      <c r="AD8" s="1232"/>
      <c r="AE8" s="1233"/>
      <c r="AG8" s="1231" t="s">
        <v>630</v>
      </c>
      <c r="AH8" s="1232"/>
      <c r="AI8" s="1232"/>
      <c r="AJ8" s="1232"/>
      <c r="AK8" s="1232"/>
      <c r="AL8" s="1232"/>
      <c r="AM8" s="1232"/>
      <c r="AN8" s="1232"/>
      <c r="AO8" s="1232"/>
      <c r="AP8" s="1233"/>
    </row>
    <row r="9" spans="1:44" x14ac:dyDescent="0.2">
      <c r="A9" s="1242"/>
      <c r="B9" s="1245"/>
      <c r="C9" s="1247"/>
      <c r="D9" s="1245"/>
      <c r="E9" s="1245"/>
      <c r="F9" s="1245"/>
      <c r="G9" s="1267" t="s">
        <v>613</v>
      </c>
      <c r="H9" s="1237" t="s">
        <v>390</v>
      </c>
      <c r="I9" s="1237" t="s">
        <v>16</v>
      </c>
      <c r="J9" s="1263" t="s">
        <v>618</v>
      </c>
      <c r="K9" s="1263" t="s">
        <v>720</v>
      </c>
      <c r="L9" s="1237" t="s">
        <v>18</v>
      </c>
      <c r="M9" s="199" t="s">
        <v>391</v>
      </c>
      <c r="N9" s="200" t="s">
        <v>358</v>
      </c>
      <c r="O9" s="200" t="s">
        <v>19</v>
      </c>
      <c r="P9" s="201" t="s">
        <v>628</v>
      </c>
      <c r="Q9" s="308" t="s">
        <v>4</v>
      </c>
      <c r="R9" s="1238"/>
      <c r="V9" s="456"/>
      <c r="W9" s="457"/>
      <c r="X9" s="457"/>
      <c r="Y9" s="457"/>
      <c r="Z9" s="457"/>
      <c r="AA9" s="457"/>
      <c r="AB9" s="457"/>
      <c r="AC9" s="457"/>
      <c r="AD9" s="457"/>
      <c r="AE9" s="458"/>
      <c r="AG9" s="456"/>
      <c r="AH9" s="457"/>
      <c r="AI9" s="457"/>
      <c r="AJ9" s="457"/>
      <c r="AK9" s="457"/>
      <c r="AL9" s="457"/>
      <c r="AM9" s="457"/>
      <c r="AN9" s="457"/>
      <c r="AO9" s="457"/>
      <c r="AP9" s="458"/>
    </row>
    <row r="10" spans="1:44" ht="39" customHeight="1" thickBot="1" x14ac:dyDescent="0.25">
      <c r="A10" s="1243"/>
      <c r="B10" s="1246"/>
      <c r="C10" s="1248"/>
      <c r="D10" s="1246"/>
      <c r="E10" s="1246"/>
      <c r="F10" s="1246"/>
      <c r="G10" s="1268"/>
      <c r="H10" s="1239"/>
      <c r="I10" s="1239"/>
      <c r="J10" s="1264"/>
      <c r="K10" s="1266"/>
      <c r="L10" s="1239"/>
      <c r="M10" s="202">
        <v>7.7499999999999999E-2</v>
      </c>
      <c r="N10" s="56">
        <v>0.06</v>
      </c>
      <c r="O10" s="56">
        <v>7.4999999999999997E-2</v>
      </c>
      <c r="P10" s="286">
        <v>0.01</v>
      </c>
      <c r="Q10" s="154"/>
      <c r="R10" s="1239"/>
      <c r="S10" s="450"/>
      <c r="T10" s="450"/>
      <c r="U10" s="450"/>
      <c r="V10" s="459" t="s">
        <v>632</v>
      </c>
      <c r="W10" s="469" t="s">
        <v>387</v>
      </c>
      <c r="X10" s="472" t="s">
        <v>651</v>
      </c>
      <c r="Y10" s="472" t="s">
        <v>651</v>
      </c>
      <c r="Z10" s="469" t="s">
        <v>19</v>
      </c>
      <c r="AA10" s="469" t="s">
        <v>358</v>
      </c>
      <c r="AB10" s="469" t="s">
        <v>631</v>
      </c>
      <c r="AC10" s="469" t="s">
        <v>628</v>
      </c>
      <c r="AD10" s="483" t="s">
        <v>643</v>
      </c>
      <c r="AE10" s="470" t="s">
        <v>25</v>
      </c>
      <c r="AG10" s="459" t="s">
        <v>632</v>
      </c>
      <c r="AH10" s="469" t="s">
        <v>387</v>
      </c>
      <c r="AI10" s="472" t="s">
        <v>651</v>
      </c>
      <c r="AJ10" s="472" t="s">
        <v>651</v>
      </c>
      <c r="AK10" s="469" t="s">
        <v>19</v>
      </c>
      <c r="AL10" s="469" t="s">
        <v>358</v>
      </c>
      <c r="AM10" s="469" t="s">
        <v>631</v>
      </c>
      <c r="AN10" s="469" t="s">
        <v>628</v>
      </c>
      <c r="AO10" s="483" t="s">
        <v>643</v>
      </c>
      <c r="AP10" s="470" t="s">
        <v>25</v>
      </c>
    </row>
    <row r="11" spans="1:44" x14ac:dyDescent="0.2">
      <c r="A11" s="57">
        <v>1</v>
      </c>
      <c r="B11" s="37" t="s">
        <v>392</v>
      </c>
      <c r="C11" s="165" t="s">
        <v>560</v>
      </c>
      <c r="D11" s="166">
        <v>1</v>
      </c>
      <c r="E11" s="167" t="s">
        <v>20</v>
      </c>
      <c r="F11" s="167" t="s">
        <v>20</v>
      </c>
      <c r="G11" s="303">
        <v>2700</v>
      </c>
      <c r="H11" s="313">
        <f>D11*G11</f>
        <v>2700</v>
      </c>
      <c r="I11" s="168">
        <f>H11*D11*12</f>
        <v>32400</v>
      </c>
      <c r="J11" s="168">
        <f>100*D11</f>
        <v>100</v>
      </c>
      <c r="K11" s="168">
        <v>0</v>
      </c>
      <c r="L11" s="168">
        <f>H11</f>
        <v>2700</v>
      </c>
      <c r="M11" s="501">
        <f>ROUND(I11*$M$10,2)</f>
        <v>2511</v>
      </c>
      <c r="N11" s="168">
        <v>0</v>
      </c>
      <c r="O11" s="168">
        <f>ROUND((IF(H11&gt;1000,1000*$O$10*12,H11*$O$10*12)),2)*D11</f>
        <v>900</v>
      </c>
      <c r="P11" s="168">
        <f>ROUND((IF(H11&gt;1000,1000*$P$10*12,H11*$P$10*12)),2)</f>
        <v>120</v>
      </c>
      <c r="Q11" s="168">
        <f>SUM(M11:P11)</f>
        <v>3531</v>
      </c>
      <c r="R11" s="158">
        <f>I11+J11+K11+L11+Q11</f>
        <v>38731</v>
      </c>
      <c r="S11" s="450"/>
      <c r="T11" s="12"/>
      <c r="U11" s="12"/>
      <c r="V11" s="471" t="s">
        <v>313</v>
      </c>
      <c r="W11" s="168">
        <f>H11*V11</f>
        <v>13500</v>
      </c>
      <c r="X11" s="168"/>
      <c r="Y11" s="168"/>
      <c r="Z11" s="168">
        <f>ROUND(((O11/12)*V11),2)</f>
        <v>375</v>
      </c>
      <c r="AA11" s="168">
        <f>(N11/12)*V11</f>
        <v>0</v>
      </c>
      <c r="AB11" s="168">
        <f>ROUND(((M11/12)*V11),2)</f>
        <v>1046.25</v>
      </c>
      <c r="AC11" s="168">
        <f t="shared" ref="AC11:AC18" si="0">ROUND(((P11/12)*V11),2)</f>
        <v>50</v>
      </c>
      <c r="AD11" s="168">
        <f>L11</f>
        <v>2700</v>
      </c>
      <c r="AE11" s="168">
        <f>SUM(W11:AD11)</f>
        <v>17671.25</v>
      </c>
      <c r="AG11" s="452">
        <f>12-V11</f>
        <v>7</v>
      </c>
      <c r="AH11" s="168">
        <f>H11*AG11</f>
        <v>18900</v>
      </c>
      <c r="AI11" s="168">
        <f>J11</f>
        <v>100</v>
      </c>
      <c r="AJ11" s="168"/>
      <c r="AK11" s="168">
        <f t="shared" ref="AK11:AK18" si="1">ROUND(((O11/12)*AG11),2)</f>
        <v>525</v>
      </c>
      <c r="AL11" s="168">
        <f>(N11/12)*AG11</f>
        <v>0</v>
      </c>
      <c r="AM11" s="168">
        <f>ROUND(((M11/12)*AG11),2)</f>
        <v>1464.75</v>
      </c>
      <c r="AN11" s="168">
        <f t="shared" ref="AN11:AN18" si="2">ROUND(((P11/12)*AG11),2)</f>
        <v>70</v>
      </c>
      <c r="AO11" s="168"/>
      <c r="AP11" s="168">
        <f t="shared" ref="AP11:AP27" si="3">SUM(AH11:AN11)</f>
        <v>21059.75</v>
      </c>
      <c r="AR11" s="310">
        <f t="shared" ref="AR11:AR45" si="4">AB11+AM11-M11</f>
        <v>0</v>
      </c>
    </row>
    <row r="12" spans="1:44" x14ac:dyDescent="0.2">
      <c r="A12" s="57">
        <v>2</v>
      </c>
      <c r="B12" s="37" t="s">
        <v>393</v>
      </c>
      <c r="C12" s="169" t="s">
        <v>561</v>
      </c>
      <c r="D12" s="170">
        <v>1</v>
      </c>
      <c r="E12" s="171" t="s">
        <v>20</v>
      </c>
      <c r="F12" s="171" t="s">
        <v>20</v>
      </c>
      <c r="G12" s="304">
        <v>1050</v>
      </c>
      <c r="H12" s="314">
        <f t="shared" ref="H12:H27" si="5">D12*G12</f>
        <v>1050</v>
      </c>
      <c r="I12" s="173">
        <f t="shared" ref="I12:I18" si="6">H12*D12*12</f>
        <v>12600</v>
      </c>
      <c r="J12" s="173">
        <f t="shared" ref="J12:J15" si="7">100*D12</f>
        <v>100</v>
      </c>
      <c r="K12" s="173">
        <v>0</v>
      </c>
      <c r="L12" s="173">
        <f t="shared" ref="L12:L18" si="8">H12</f>
        <v>1050</v>
      </c>
      <c r="M12" s="502">
        <f t="shared" ref="M12:M18" si="9">ROUND(I12*$M$10,2)</f>
        <v>976.5</v>
      </c>
      <c r="N12" s="173">
        <v>0</v>
      </c>
      <c r="O12" s="173">
        <f t="shared" ref="O12:O18" si="10">ROUND((IF(H12&gt;1000,1000*$O$10*12,H12*$O$10*12)),2)*D12</f>
        <v>900</v>
      </c>
      <c r="P12" s="173">
        <f>ROUND((IF(H12&gt;1000,1000*$P$10*12,H12*$P$10*12)),2)</f>
        <v>120</v>
      </c>
      <c r="Q12" s="173">
        <f>SUM(M12:P12)</f>
        <v>1996.5</v>
      </c>
      <c r="R12" s="158">
        <f t="shared" ref="R12:R18" si="11">I12+J12+K12+L12+Q12</f>
        <v>15746.5</v>
      </c>
      <c r="S12" s="450"/>
      <c r="T12" s="12"/>
      <c r="U12" s="12"/>
      <c r="V12" s="454" t="s">
        <v>313</v>
      </c>
      <c r="W12" s="173">
        <f t="shared" ref="W12:W27" si="12">H12*V12</f>
        <v>5250</v>
      </c>
      <c r="X12" s="173"/>
      <c r="Y12" s="173"/>
      <c r="Z12" s="173">
        <f t="shared" ref="Z12:Z18" si="13">ROUND(((O12/12)*V12),2)</f>
        <v>375</v>
      </c>
      <c r="AA12" s="173">
        <f t="shared" ref="AA12:AA78" si="14">(N12/12)*V12</f>
        <v>0</v>
      </c>
      <c r="AB12" s="173">
        <f>ROUND(((M12/12)*V12),2)</f>
        <v>406.88</v>
      </c>
      <c r="AC12" s="173">
        <f t="shared" si="0"/>
        <v>50</v>
      </c>
      <c r="AD12" s="173">
        <f t="shared" ref="AD12:AD27" si="15">L12</f>
        <v>1050</v>
      </c>
      <c r="AE12" s="173">
        <f t="shared" ref="AE12:AE27" si="16">SUM(W12:AD12)</f>
        <v>7131.88</v>
      </c>
      <c r="AG12" s="453">
        <f t="shared" ref="AG12:AG27" si="17">12-V12</f>
        <v>7</v>
      </c>
      <c r="AH12" s="173">
        <f t="shared" ref="AH12:AH27" si="18">H12*AG12</f>
        <v>7350</v>
      </c>
      <c r="AI12" s="173">
        <f t="shared" ref="AI12:AI27" si="19">J12</f>
        <v>100</v>
      </c>
      <c r="AJ12" s="173"/>
      <c r="AK12" s="173">
        <f t="shared" si="1"/>
        <v>525</v>
      </c>
      <c r="AL12" s="173">
        <f t="shared" ref="AL12:AL27" si="20">(N12/12)*AG12</f>
        <v>0</v>
      </c>
      <c r="AM12" s="173">
        <f t="shared" ref="AM12:AM27" si="21">ROUND(((M12/12)*AG12),2)</f>
        <v>569.63</v>
      </c>
      <c r="AN12" s="173">
        <f t="shared" si="2"/>
        <v>70</v>
      </c>
      <c r="AO12" s="173"/>
      <c r="AP12" s="173">
        <f t="shared" si="3"/>
        <v>8614.6299999999992</v>
      </c>
      <c r="AR12" s="310">
        <f t="shared" si="4"/>
        <v>9.9999999999909051E-3</v>
      </c>
    </row>
    <row r="13" spans="1:44" s="59" customFormat="1" x14ac:dyDescent="0.2">
      <c r="A13" s="57">
        <v>3</v>
      </c>
      <c r="B13" s="37" t="s">
        <v>360</v>
      </c>
      <c r="C13" s="169" t="s">
        <v>562</v>
      </c>
      <c r="D13" s="170">
        <v>1</v>
      </c>
      <c r="E13" s="171" t="s">
        <v>20</v>
      </c>
      <c r="F13" s="171" t="s">
        <v>20</v>
      </c>
      <c r="G13" s="304">
        <v>600</v>
      </c>
      <c r="H13" s="314">
        <f t="shared" si="5"/>
        <v>600</v>
      </c>
      <c r="I13" s="173">
        <f t="shared" si="6"/>
        <v>7200</v>
      </c>
      <c r="J13" s="173">
        <f t="shared" si="7"/>
        <v>100</v>
      </c>
      <c r="K13" s="173">
        <v>0</v>
      </c>
      <c r="L13" s="173">
        <f t="shared" si="8"/>
        <v>600</v>
      </c>
      <c r="M13" s="502">
        <f t="shared" si="9"/>
        <v>558</v>
      </c>
      <c r="N13" s="173">
        <v>0</v>
      </c>
      <c r="O13" s="173">
        <f t="shared" si="10"/>
        <v>540</v>
      </c>
      <c r="P13" s="173">
        <f t="shared" ref="P13:P27" si="22">ROUND((IF(H13&gt;1000,1000*$P$10*12,H13*$P$10*12)),2)</f>
        <v>72</v>
      </c>
      <c r="Q13" s="173">
        <f t="shared" ref="Q13:Q18" si="23">SUM(M13:P13)</f>
        <v>1170</v>
      </c>
      <c r="R13" s="158">
        <f t="shared" si="11"/>
        <v>9070</v>
      </c>
      <c r="S13" s="450"/>
      <c r="T13" s="12"/>
      <c r="U13" s="12"/>
      <c r="V13" s="454" t="s">
        <v>313</v>
      </c>
      <c r="W13" s="173">
        <f t="shared" si="12"/>
        <v>3000</v>
      </c>
      <c r="X13" s="173"/>
      <c r="Y13" s="173"/>
      <c r="Z13" s="173">
        <f t="shared" si="13"/>
        <v>225</v>
      </c>
      <c r="AA13" s="173">
        <f t="shared" si="14"/>
        <v>0</v>
      </c>
      <c r="AB13" s="173">
        <f t="shared" ref="AB13:AB27" si="24">ROUND(((M13/12)*V13),2)</f>
        <v>232.5</v>
      </c>
      <c r="AC13" s="173">
        <f t="shared" si="0"/>
        <v>30</v>
      </c>
      <c r="AD13" s="173">
        <f t="shared" si="15"/>
        <v>600</v>
      </c>
      <c r="AE13" s="173">
        <f t="shared" si="16"/>
        <v>4087.5</v>
      </c>
      <c r="AG13" s="453">
        <f t="shared" si="17"/>
        <v>7</v>
      </c>
      <c r="AH13" s="173">
        <f t="shared" si="18"/>
        <v>4200</v>
      </c>
      <c r="AI13" s="173">
        <f t="shared" si="19"/>
        <v>100</v>
      </c>
      <c r="AJ13" s="173"/>
      <c r="AK13" s="173">
        <f t="shared" si="1"/>
        <v>315</v>
      </c>
      <c r="AL13" s="173">
        <f t="shared" si="20"/>
        <v>0</v>
      </c>
      <c r="AM13" s="173">
        <f t="shared" si="21"/>
        <v>325.5</v>
      </c>
      <c r="AN13" s="173">
        <f t="shared" si="2"/>
        <v>42</v>
      </c>
      <c r="AO13" s="173"/>
      <c r="AP13" s="173">
        <f t="shared" si="3"/>
        <v>4982.5</v>
      </c>
      <c r="AR13" s="310">
        <f>AB13+AM13-M13</f>
        <v>0</v>
      </c>
    </row>
    <row r="14" spans="1:44" x14ac:dyDescent="0.2">
      <c r="A14" s="57">
        <v>4</v>
      </c>
      <c r="B14" s="37" t="s">
        <v>437</v>
      </c>
      <c r="C14" s="169" t="s">
        <v>563</v>
      </c>
      <c r="D14" s="170">
        <v>1</v>
      </c>
      <c r="E14" s="171" t="s">
        <v>20</v>
      </c>
      <c r="F14" s="171" t="s">
        <v>20</v>
      </c>
      <c r="G14" s="304">
        <v>850</v>
      </c>
      <c r="H14" s="314">
        <f t="shared" si="5"/>
        <v>850</v>
      </c>
      <c r="I14" s="173">
        <f t="shared" si="6"/>
        <v>10200</v>
      </c>
      <c r="J14" s="173">
        <f t="shared" si="7"/>
        <v>100</v>
      </c>
      <c r="K14" s="173">
        <v>0</v>
      </c>
      <c r="L14" s="173">
        <f t="shared" si="8"/>
        <v>850</v>
      </c>
      <c r="M14" s="502">
        <f t="shared" si="9"/>
        <v>790.5</v>
      </c>
      <c r="N14" s="173">
        <v>0</v>
      </c>
      <c r="O14" s="173">
        <f t="shared" si="10"/>
        <v>765</v>
      </c>
      <c r="P14" s="173">
        <f t="shared" si="22"/>
        <v>102</v>
      </c>
      <c r="Q14" s="173">
        <f t="shared" si="23"/>
        <v>1657.5</v>
      </c>
      <c r="R14" s="158">
        <f t="shared" si="11"/>
        <v>12807.5</v>
      </c>
      <c r="S14" s="450"/>
      <c r="T14" s="12"/>
      <c r="U14" s="12"/>
      <c r="V14" s="454" t="s">
        <v>313</v>
      </c>
      <c r="W14" s="173">
        <f t="shared" si="12"/>
        <v>4250</v>
      </c>
      <c r="X14" s="173"/>
      <c r="Y14" s="173"/>
      <c r="Z14" s="173">
        <f t="shared" si="13"/>
        <v>318.75</v>
      </c>
      <c r="AA14" s="173">
        <f t="shared" si="14"/>
        <v>0</v>
      </c>
      <c r="AB14" s="173">
        <f t="shared" si="24"/>
        <v>329.38</v>
      </c>
      <c r="AC14" s="173">
        <f t="shared" si="0"/>
        <v>42.5</v>
      </c>
      <c r="AD14" s="173">
        <f t="shared" si="15"/>
        <v>850</v>
      </c>
      <c r="AE14" s="173">
        <f t="shared" si="16"/>
        <v>5790.63</v>
      </c>
      <c r="AG14" s="453">
        <f t="shared" si="17"/>
        <v>7</v>
      </c>
      <c r="AH14" s="173">
        <f t="shared" si="18"/>
        <v>5950</v>
      </c>
      <c r="AI14" s="173">
        <f t="shared" si="19"/>
        <v>100</v>
      </c>
      <c r="AJ14" s="173"/>
      <c r="AK14" s="173">
        <f t="shared" si="1"/>
        <v>446.25</v>
      </c>
      <c r="AL14" s="173">
        <f t="shared" si="20"/>
        <v>0</v>
      </c>
      <c r="AM14" s="173">
        <f t="shared" si="21"/>
        <v>461.13</v>
      </c>
      <c r="AN14" s="173">
        <f t="shared" si="2"/>
        <v>59.5</v>
      </c>
      <c r="AO14" s="173"/>
      <c r="AP14" s="173">
        <f t="shared" si="3"/>
        <v>7016.88</v>
      </c>
      <c r="AR14" s="310">
        <f t="shared" si="4"/>
        <v>9.9999999999909051E-3</v>
      </c>
    </row>
    <row r="15" spans="1:44" s="59" customFormat="1" ht="12.75" customHeight="1" x14ac:dyDescent="0.2">
      <c r="A15" s="57">
        <v>5</v>
      </c>
      <c r="B15" s="111" t="s">
        <v>609</v>
      </c>
      <c r="C15" s="169" t="s">
        <v>593</v>
      </c>
      <c r="D15" s="170">
        <v>1</v>
      </c>
      <c r="E15" s="171" t="s">
        <v>20</v>
      </c>
      <c r="F15" s="171" t="s">
        <v>20</v>
      </c>
      <c r="G15" s="304">
        <v>600</v>
      </c>
      <c r="H15" s="314">
        <f t="shared" si="5"/>
        <v>600</v>
      </c>
      <c r="I15" s="172">
        <f>H15*D15*12</f>
        <v>7200</v>
      </c>
      <c r="J15" s="172">
        <f t="shared" si="7"/>
        <v>100</v>
      </c>
      <c r="K15" s="172">
        <v>0</v>
      </c>
      <c r="L15" s="173">
        <f t="shared" ref="L15" si="25">H15</f>
        <v>600</v>
      </c>
      <c r="M15" s="502">
        <f>ROUND(I15*$M$10,2)</f>
        <v>558</v>
      </c>
      <c r="N15" s="174">
        <v>0</v>
      </c>
      <c r="O15" s="173">
        <f>ROUND((IF(H15&gt;1000,1000*$O$10*12,H15*$O$10*12)),2)*D15</f>
        <v>540</v>
      </c>
      <c r="P15" s="173">
        <f t="shared" si="22"/>
        <v>72</v>
      </c>
      <c r="Q15" s="173">
        <f t="shared" si="23"/>
        <v>1170</v>
      </c>
      <c r="R15" s="158">
        <f t="shared" si="11"/>
        <v>9070</v>
      </c>
      <c r="S15" s="450"/>
      <c r="T15" s="12"/>
      <c r="U15" s="12"/>
      <c r="V15" s="454" t="s">
        <v>313</v>
      </c>
      <c r="W15" s="173">
        <f t="shared" si="12"/>
        <v>3000</v>
      </c>
      <c r="X15" s="173"/>
      <c r="Y15" s="173"/>
      <c r="Z15" s="173">
        <f t="shared" si="13"/>
        <v>225</v>
      </c>
      <c r="AA15" s="173">
        <f t="shared" si="14"/>
        <v>0</v>
      </c>
      <c r="AB15" s="173">
        <f t="shared" si="24"/>
        <v>232.5</v>
      </c>
      <c r="AC15" s="173">
        <f t="shared" si="0"/>
        <v>30</v>
      </c>
      <c r="AD15" s="173">
        <f t="shared" si="15"/>
        <v>600</v>
      </c>
      <c r="AE15" s="173">
        <f t="shared" si="16"/>
        <v>4087.5</v>
      </c>
      <c r="AG15" s="453">
        <f t="shared" si="17"/>
        <v>7</v>
      </c>
      <c r="AH15" s="173">
        <f t="shared" si="18"/>
        <v>4200</v>
      </c>
      <c r="AI15" s="173">
        <f t="shared" si="19"/>
        <v>100</v>
      </c>
      <c r="AJ15" s="173"/>
      <c r="AK15" s="173">
        <f t="shared" si="1"/>
        <v>315</v>
      </c>
      <c r="AL15" s="173">
        <f t="shared" si="20"/>
        <v>0</v>
      </c>
      <c r="AM15" s="173">
        <f t="shared" si="21"/>
        <v>325.5</v>
      </c>
      <c r="AN15" s="173">
        <f t="shared" si="2"/>
        <v>42</v>
      </c>
      <c r="AO15" s="173"/>
      <c r="AP15" s="173">
        <f>SUM(AH15:AN15)</f>
        <v>4982.5</v>
      </c>
      <c r="AR15" s="310">
        <f t="shared" si="4"/>
        <v>0</v>
      </c>
    </row>
    <row r="16" spans="1:44" s="59" customFormat="1" ht="12.75" customHeight="1" x14ac:dyDescent="0.2">
      <c r="A16" s="57">
        <v>6</v>
      </c>
      <c r="B16" s="111" t="s">
        <v>427</v>
      </c>
      <c r="C16" s="169" t="s">
        <v>427</v>
      </c>
      <c r="D16" s="170">
        <v>1</v>
      </c>
      <c r="E16" s="171" t="s">
        <v>20</v>
      </c>
      <c r="F16" s="171" t="s">
        <v>20</v>
      </c>
      <c r="G16" s="304">
        <v>450</v>
      </c>
      <c r="H16" s="314">
        <f t="shared" ref="H16:H17" si="26">D16*G16</f>
        <v>450</v>
      </c>
      <c r="I16" s="172">
        <f>H16*D16*12</f>
        <v>5400</v>
      </c>
      <c r="J16" s="172">
        <f t="shared" ref="J16:J17" si="27">100*D16</f>
        <v>100</v>
      </c>
      <c r="K16" s="172">
        <v>450</v>
      </c>
      <c r="L16" s="173">
        <f t="shared" ref="L16:L17" si="28">H16</f>
        <v>450</v>
      </c>
      <c r="M16" s="502">
        <f>ROUND(I16*$M$10,2)</f>
        <v>418.5</v>
      </c>
      <c r="N16" s="174">
        <v>0</v>
      </c>
      <c r="O16" s="173">
        <f>ROUND((IF(H16&gt;1000,1000*$O$10*12,H16*$O$10*12)),2)*D16</f>
        <v>405</v>
      </c>
      <c r="P16" s="173">
        <f t="shared" ref="P16:P17" si="29">ROUND((IF(H16&gt;1000,1000*$P$10*12,H16*$P$10*12)),2)</f>
        <v>54</v>
      </c>
      <c r="Q16" s="173">
        <f t="shared" ref="Q16:Q17" si="30">SUM(M16:P16)</f>
        <v>877.5</v>
      </c>
      <c r="R16" s="158">
        <f t="shared" ref="R16:R17" si="31">I16+J16+K16+L16+Q16</f>
        <v>7277.5</v>
      </c>
      <c r="S16" s="450"/>
      <c r="T16" s="12"/>
      <c r="U16" s="12"/>
      <c r="V16" s="454" t="s">
        <v>313</v>
      </c>
      <c r="W16" s="173">
        <f t="shared" ref="W16:W17" si="32">H16*V16</f>
        <v>2250</v>
      </c>
      <c r="X16" s="173"/>
      <c r="Y16" s="173"/>
      <c r="Z16" s="173">
        <f t="shared" ref="Z16:Z17" si="33">ROUND(((O16/12)*V16),2)</f>
        <v>168.75</v>
      </c>
      <c r="AA16" s="173">
        <f t="shared" ref="AA16:AA17" si="34">(N16/12)*V16</f>
        <v>0</v>
      </c>
      <c r="AB16" s="173">
        <f t="shared" ref="AB16:AB17" si="35">ROUND(((M16/12)*V16),2)</f>
        <v>174.38</v>
      </c>
      <c r="AC16" s="173">
        <f t="shared" ref="AC16:AC17" si="36">ROUND(((P16/12)*V16),2)</f>
        <v>22.5</v>
      </c>
      <c r="AD16" s="173">
        <f t="shared" ref="AD16:AD17" si="37">L16</f>
        <v>450</v>
      </c>
      <c r="AE16" s="173">
        <f t="shared" ref="AE16:AE17" si="38">SUM(W16:AD16)</f>
        <v>3065.63</v>
      </c>
      <c r="AG16" s="453">
        <f t="shared" ref="AG16:AG17" si="39">12-V16</f>
        <v>7</v>
      </c>
      <c r="AH16" s="173">
        <f t="shared" ref="AH16:AH17" si="40">H16*AG16</f>
        <v>3150</v>
      </c>
      <c r="AI16" s="173">
        <f t="shared" ref="AI16:AI17" si="41">J16</f>
        <v>100</v>
      </c>
      <c r="AJ16" s="173">
        <f>K16</f>
        <v>450</v>
      </c>
      <c r="AK16" s="173">
        <f t="shared" ref="AK16:AK17" si="42">ROUND(((O16/12)*AG16),2)</f>
        <v>236.25</v>
      </c>
      <c r="AL16" s="173">
        <f t="shared" ref="AL16:AL17" si="43">(N16/12)*AG16</f>
        <v>0</v>
      </c>
      <c r="AM16" s="173">
        <f t="shared" ref="AM16:AM17" si="44">ROUND(((M16/12)*AG16),2)</f>
        <v>244.13</v>
      </c>
      <c r="AN16" s="173">
        <f t="shared" ref="AN16:AN17" si="45">ROUND(((P16/12)*AG16),2)</f>
        <v>31.5</v>
      </c>
      <c r="AO16" s="173"/>
      <c r="AP16" s="173">
        <f>SUM(AH16:AN16)</f>
        <v>4211.88</v>
      </c>
      <c r="AR16" s="310">
        <f t="shared" ref="AR16:AR17" si="46">AB16+AM16-M16</f>
        <v>9.9999999999909051E-3</v>
      </c>
    </row>
    <row r="17" spans="1:44" s="59" customFormat="1" ht="12.75" customHeight="1" x14ac:dyDescent="0.2">
      <c r="A17" s="57">
        <v>7</v>
      </c>
      <c r="B17" s="111" t="s">
        <v>438</v>
      </c>
      <c r="C17" s="169" t="s">
        <v>564</v>
      </c>
      <c r="D17" s="170">
        <v>1</v>
      </c>
      <c r="E17" s="171" t="s">
        <v>20</v>
      </c>
      <c r="F17" s="171" t="s">
        <v>20</v>
      </c>
      <c r="G17" s="304">
        <v>400</v>
      </c>
      <c r="H17" s="314">
        <f t="shared" si="26"/>
        <v>400</v>
      </c>
      <c r="I17" s="185">
        <f t="shared" ref="I17" si="47">H17*D17*12</f>
        <v>4800</v>
      </c>
      <c r="J17" s="173">
        <f t="shared" si="27"/>
        <v>100</v>
      </c>
      <c r="K17" s="173">
        <v>0</v>
      </c>
      <c r="L17" s="173">
        <f t="shared" si="28"/>
        <v>400</v>
      </c>
      <c r="M17" s="502">
        <f t="shared" ref="M17" si="48">ROUND(I17*$M$10,2)</f>
        <v>372</v>
      </c>
      <c r="N17" s="174">
        <v>0</v>
      </c>
      <c r="O17" s="173">
        <f t="shared" ref="O17" si="49">ROUND((IF(H17&gt;1000,1000*$O$10*12,H17*$O$10*12)),2)*D17</f>
        <v>360</v>
      </c>
      <c r="P17" s="173">
        <f t="shared" si="29"/>
        <v>48</v>
      </c>
      <c r="Q17" s="173">
        <f t="shared" si="30"/>
        <v>780</v>
      </c>
      <c r="R17" s="158">
        <f t="shared" si="31"/>
        <v>6080</v>
      </c>
      <c r="S17" s="450"/>
      <c r="T17" s="12"/>
      <c r="U17" s="12"/>
      <c r="V17" s="454" t="s">
        <v>313</v>
      </c>
      <c r="W17" s="173">
        <f t="shared" si="32"/>
        <v>2000</v>
      </c>
      <c r="X17" s="173"/>
      <c r="Y17" s="173"/>
      <c r="Z17" s="173">
        <f t="shared" si="33"/>
        <v>150</v>
      </c>
      <c r="AA17" s="173">
        <f t="shared" si="34"/>
        <v>0</v>
      </c>
      <c r="AB17" s="173">
        <f t="shared" si="35"/>
        <v>155</v>
      </c>
      <c r="AC17" s="173">
        <f t="shared" si="36"/>
        <v>20</v>
      </c>
      <c r="AD17" s="173">
        <f t="shared" si="37"/>
        <v>400</v>
      </c>
      <c r="AE17" s="173">
        <f t="shared" si="38"/>
        <v>2725</v>
      </c>
      <c r="AG17" s="453">
        <f t="shared" si="39"/>
        <v>7</v>
      </c>
      <c r="AH17" s="173">
        <f t="shared" si="40"/>
        <v>2800</v>
      </c>
      <c r="AI17" s="173">
        <f t="shared" si="41"/>
        <v>100</v>
      </c>
      <c r="AJ17" s="173"/>
      <c r="AK17" s="173">
        <f t="shared" si="42"/>
        <v>210</v>
      </c>
      <c r="AL17" s="173">
        <f t="shared" si="43"/>
        <v>0</v>
      </c>
      <c r="AM17" s="173">
        <f t="shared" si="44"/>
        <v>217</v>
      </c>
      <c r="AN17" s="173">
        <f t="shared" si="45"/>
        <v>28</v>
      </c>
      <c r="AO17" s="173"/>
      <c r="AP17" s="173">
        <f t="shared" ref="AP17" si="50">SUM(AH17:AN17)</f>
        <v>3355</v>
      </c>
      <c r="AR17" s="310">
        <f t="shared" si="46"/>
        <v>0</v>
      </c>
    </row>
    <row r="18" spans="1:44" s="59" customFormat="1" ht="12.75" customHeight="1" x14ac:dyDescent="0.2">
      <c r="A18" s="57">
        <v>8</v>
      </c>
      <c r="B18" s="111" t="s">
        <v>739</v>
      </c>
      <c r="C18" s="169" t="s">
        <v>740</v>
      </c>
      <c r="D18" s="170">
        <v>1</v>
      </c>
      <c r="E18" s="171" t="s">
        <v>20</v>
      </c>
      <c r="F18" s="171" t="s">
        <v>20</v>
      </c>
      <c r="G18" s="304">
        <v>0</v>
      </c>
      <c r="H18" s="314">
        <f t="shared" si="5"/>
        <v>0</v>
      </c>
      <c r="I18" s="185">
        <f t="shared" si="6"/>
        <v>0</v>
      </c>
      <c r="J18" s="173">
        <v>0</v>
      </c>
      <c r="K18" s="173">
        <v>0</v>
      </c>
      <c r="L18" s="173">
        <f t="shared" si="8"/>
        <v>0</v>
      </c>
      <c r="M18" s="502">
        <f t="shared" si="9"/>
        <v>0</v>
      </c>
      <c r="N18" s="174">
        <v>0</v>
      </c>
      <c r="O18" s="173">
        <f t="shared" si="10"/>
        <v>0</v>
      </c>
      <c r="P18" s="173">
        <f t="shared" si="22"/>
        <v>0</v>
      </c>
      <c r="Q18" s="173">
        <f t="shared" si="23"/>
        <v>0</v>
      </c>
      <c r="R18" s="158">
        <f t="shared" si="11"/>
        <v>0</v>
      </c>
      <c r="S18" s="450"/>
      <c r="T18" s="12"/>
      <c r="U18" s="12"/>
      <c r="V18" s="454" t="s">
        <v>313</v>
      </c>
      <c r="W18" s="173">
        <f t="shared" si="12"/>
        <v>0</v>
      </c>
      <c r="X18" s="173"/>
      <c r="Y18" s="173"/>
      <c r="Z18" s="173">
        <f t="shared" si="13"/>
        <v>0</v>
      </c>
      <c r="AA18" s="173">
        <f t="shared" si="14"/>
        <v>0</v>
      </c>
      <c r="AB18" s="173">
        <f t="shared" si="24"/>
        <v>0</v>
      </c>
      <c r="AC18" s="173">
        <f t="shared" si="0"/>
        <v>0</v>
      </c>
      <c r="AD18" s="173">
        <f t="shared" si="15"/>
        <v>0</v>
      </c>
      <c r="AE18" s="173">
        <f t="shared" si="16"/>
        <v>0</v>
      </c>
      <c r="AG18" s="453">
        <f t="shared" si="17"/>
        <v>7</v>
      </c>
      <c r="AH18" s="173">
        <f t="shared" si="18"/>
        <v>0</v>
      </c>
      <c r="AI18" s="173">
        <f t="shared" si="19"/>
        <v>0</v>
      </c>
      <c r="AJ18" s="173"/>
      <c r="AK18" s="173">
        <f t="shared" si="1"/>
        <v>0</v>
      </c>
      <c r="AL18" s="173">
        <f t="shared" si="20"/>
        <v>0</v>
      </c>
      <c r="AM18" s="173">
        <f t="shared" si="21"/>
        <v>0</v>
      </c>
      <c r="AN18" s="173">
        <f t="shared" si="2"/>
        <v>0</v>
      </c>
      <c r="AO18" s="173"/>
      <c r="AP18" s="173">
        <f t="shared" si="3"/>
        <v>0</v>
      </c>
      <c r="AR18" s="310">
        <f t="shared" si="4"/>
        <v>0</v>
      </c>
    </row>
    <row r="19" spans="1:44" ht="13.5" thickBot="1" x14ac:dyDescent="0.25">
      <c r="A19" s="60"/>
      <c r="B19" s="70" t="s">
        <v>394</v>
      </c>
      <c r="C19" s="175"/>
      <c r="D19" s="176">
        <f>SUM(D11:D18)</f>
        <v>8</v>
      </c>
      <c r="E19" s="177"/>
      <c r="F19" s="177"/>
      <c r="G19" s="177"/>
      <c r="H19" s="178">
        <f t="shared" ref="H19:M19" si="51">SUM(H11:H18)</f>
        <v>6650</v>
      </c>
      <c r="I19" s="178">
        <f t="shared" si="51"/>
        <v>79800</v>
      </c>
      <c r="J19" s="178">
        <f t="shared" si="51"/>
        <v>700</v>
      </c>
      <c r="K19" s="178">
        <f t="shared" si="51"/>
        <v>450</v>
      </c>
      <c r="L19" s="178">
        <f t="shared" si="51"/>
        <v>6650</v>
      </c>
      <c r="M19" s="503">
        <f t="shared" si="51"/>
        <v>6184.5</v>
      </c>
      <c r="N19" s="178">
        <f>SUM(N11:N14)</f>
        <v>0</v>
      </c>
      <c r="O19" s="178">
        <f>SUM(O11:O18)</f>
        <v>4410</v>
      </c>
      <c r="P19" s="178">
        <f>SUM(P11:P18)</f>
        <v>588</v>
      </c>
      <c r="Q19" s="178">
        <f>SUM(Q11:Q18)</f>
        <v>11182.5</v>
      </c>
      <c r="R19" s="62">
        <f>SUM(R11:R18)</f>
        <v>98782.5</v>
      </c>
      <c r="S19" s="450"/>
      <c r="T19" s="12"/>
      <c r="U19" s="12"/>
      <c r="V19" s="463"/>
      <c r="W19" s="463">
        <f>SUM(W11:W18)</f>
        <v>33250</v>
      </c>
      <c r="X19" s="463"/>
      <c r="Y19" s="463"/>
      <c r="Z19" s="463">
        <f t="shared" ref="Z19:AE19" si="52">SUM(Z11:Z18)</f>
        <v>1837.5</v>
      </c>
      <c r="AA19" s="463">
        <f t="shared" si="52"/>
        <v>0</v>
      </c>
      <c r="AB19" s="463">
        <f t="shared" si="52"/>
        <v>2576.8900000000003</v>
      </c>
      <c r="AC19" s="463">
        <f t="shared" si="52"/>
        <v>245</v>
      </c>
      <c r="AD19" s="463">
        <f t="shared" si="52"/>
        <v>6650</v>
      </c>
      <c r="AE19" s="463">
        <f t="shared" si="52"/>
        <v>44559.39</v>
      </c>
      <c r="AG19" s="463"/>
      <c r="AH19" s="463">
        <f>SUM(AH11:AH18)</f>
        <v>46550</v>
      </c>
      <c r="AI19" s="463">
        <f>SUM(AI11:AI18)</f>
        <v>700</v>
      </c>
      <c r="AJ19" s="463"/>
      <c r="AK19" s="463">
        <f>SUM(AK11:AK18)</f>
        <v>2572.5</v>
      </c>
      <c r="AL19" s="463">
        <f>SUM(AL11:AL18)</f>
        <v>0</v>
      </c>
      <c r="AM19" s="463">
        <f>SUM(AM11:AM18)</f>
        <v>3607.6400000000003</v>
      </c>
      <c r="AN19" s="463">
        <f>SUM(AN11:AN18)</f>
        <v>343</v>
      </c>
      <c r="AO19" s="463"/>
      <c r="AP19" s="463">
        <f>SUM(AP11:AP18)</f>
        <v>54223.139999999992</v>
      </c>
      <c r="AR19" s="310">
        <f t="shared" si="4"/>
        <v>3.0000000000654836E-2</v>
      </c>
    </row>
    <row r="20" spans="1:44" ht="13.5" thickTop="1" x14ac:dyDescent="0.2">
      <c r="A20" s="57">
        <v>7</v>
      </c>
      <c r="B20" s="37" t="s">
        <v>362</v>
      </c>
      <c r="C20" s="169" t="s">
        <v>565</v>
      </c>
      <c r="D20" s="170">
        <v>1</v>
      </c>
      <c r="E20" s="171" t="s">
        <v>21</v>
      </c>
      <c r="F20" s="171" t="s">
        <v>21</v>
      </c>
      <c r="G20" s="304">
        <v>0</v>
      </c>
      <c r="H20" s="314">
        <f>D20*G20</f>
        <v>0</v>
      </c>
      <c r="I20" s="173">
        <f>H20*12</f>
        <v>0</v>
      </c>
      <c r="J20" s="173">
        <f t="shared" ref="J20:J27" si="53">100*D20</f>
        <v>100</v>
      </c>
      <c r="K20" s="173">
        <v>0</v>
      </c>
      <c r="L20" s="173">
        <f>H20</f>
        <v>0</v>
      </c>
      <c r="M20" s="502">
        <f>ROUND(I20*$M$10,2)</f>
        <v>0</v>
      </c>
      <c r="N20" s="173">
        <v>0</v>
      </c>
      <c r="O20" s="173">
        <f t="shared" ref="O20:O27" si="54">ROUND((IF(H20&gt;1000,1000*$O$10*12,H20*$O$10*12)),2)</f>
        <v>0</v>
      </c>
      <c r="P20" s="173">
        <f t="shared" si="22"/>
        <v>0</v>
      </c>
      <c r="Q20" s="173">
        <f t="shared" ref="Q20:Q27" si="55">SUM(M20:P20)</f>
        <v>0</v>
      </c>
      <c r="R20" s="158">
        <f t="shared" ref="R20:R27" si="56">I20+J20+K20+L20+Q20</f>
        <v>100</v>
      </c>
      <c r="S20" s="450"/>
      <c r="T20" s="12"/>
      <c r="U20" s="12"/>
      <c r="V20" s="454" t="s">
        <v>312</v>
      </c>
      <c r="W20" s="173">
        <f t="shared" si="12"/>
        <v>0</v>
      </c>
      <c r="X20" s="173"/>
      <c r="Y20" s="173"/>
      <c r="Z20" s="173">
        <f t="shared" ref="Z20:Z27" si="57">ROUND(((O20/12)*V20),2)</f>
        <v>0</v>
      </c>
      <c r="AA20" s="173">
        <f t="shared" si="14"/>
        <v>0</v>
      </c>
      <c r="AB20" s="173">
        <f t="shared" si="24"/>
        <v>0</v>
      </c>
      <c r="AC20" s="173">
        <f t="shared" ref="AC20:AC27" si="58">ROUND(((P20/12)*V20),2)</f>
        <v>0</v>
      </c>
      <c r="AD20" s="173">
        <f t="shared" si="15"/>
        <v>0</v>
      </c>
      <c r="AE20" s="173">
        <f t="shared" si="16"/>
        <v>0</v>
      </c>
      <c r="AG20" s="454">
        <f t="shared" si="17"/>
        <v>8</v>
      </c>
      <c r="AH20" s="173">
        <f t="shared" si="18"/>
        <v>0</v>
      </c>
      <c r="AI20" s="173">
        <f t="shared" si="19"/>
        <v>100</v>
      </c>
      <c r="AJ20" s="173"/>
      <c r="AK20" s="173">
        <f t="shared" ref="AK20:AK27" si="59">ROUND(((O20/12)*AG20),2)</f>
        <v>0</v>
      </c>
      <c r="AL20" s="173">
        <f t="shared" si="20"/>
        <v>0</v>
      </c>
      <c r="AM20" s="173">
        <f t="shared" si="21"/>
        <v>0</v>
      </c>
      <c r="AN20" s="173">
        <f t="shared" ref="AN20:AN27" si="60">ROUND(((P20/12)*AG20),2)</f>
        <v>0</v>
      </c>
      <c r="AO20" s="173"/>
      <c r="AP20" s="173">
        <f t="shared" si="3"/>
        <v>100</v>
      </c>
      <c r="AR20" s="310">
        <f t="shared" si="4"/>
        <v>0</v>
      </c>
    </row>
    <row r="21" spans="1:44" x14ac:dyDescent="0.2">
      <c r="A21" s="57">
        <v>8</v>
      </c>
      <c r="B21" s="37" t="s">
        <v>686</v>
      </c>
      <c r="C21" s="169" t="s">
        <v>565</v>
      </c>
      <c r="D21" s="170">
        <v>1</v>
      </c>
      <c r="E21" s="171" t="s">
        <v>21</v>
      </c>
      <c r="F21" s="171" t="s">
        <v>21</v>
      </c>
      <c r="G21" s="304">
        <v>500</v>
      </c>
      <c r="H21" s="314">
        <f t="shared" ref="H21" si="61">D21*G21</f>
        <v>500</v>
      </c>
      <c r="I21" s="173">
        <f t="shared" ref="I21" si="62">H21*12</f>
        <v>6000</v>
      </c>
      <c r="J21" s="173">
        <f t="shared" ref="J21" si="63">100*D21</f>
        <v>100</v>
      </c>
      <c r="K21" s="173">
        <v>0</v>
      </c>
      <c r="L21" s="173">
        <f t="shared" ref="L21" si="64">H21</f>
        <v>500</v>
      </c>
      <c r="M21" s="502">
        <f>ROUND(I21*$M$10,2)</f>
        <v>465</v>
      </c>
      <c r="N21" s="173">
        <v>0</v>
      </c>
      <c r="O21" s="173">
        <f t="shared" ref="O21" si="65">ROUND((IF(H21&gt;1000,1000*$O$10*12,H21*$O$10*12)),2)</f>
        <v>450</v>
      </c>
      <c r="P21" s="173">
        <f t="shared" si="22"/>
        <v>60</v>
      </c>
      <c r="Q21" s="173">
        <f t="shared" ref="Q21" si="66">SUM(M21:P21)</f>
        <v>975</v>
      </c>
      <c r="R21" s="158">
        <f t="shared" ref="R21" si="67">I21+J21+K21+L21+Q21</f>
        <v>7575</v>
      </c>
      <c r="S21" s="12"/>
      <c r="T21" s="12"/>
      <c r="U21" s="12"/>
      <c r="V21" s="454" t="s">
        <v>312</v>
      </c>
      <c r="W21" s="173">
        <f t="shared" ref="W21" si="68">H21*V21</f>
        <v>2000</v>
      </c>
      <c r="X21" s="173"/>
      <c r="Y21" s="173"/>
      <c r="Z21" s="173">
        <f t="shared" ref="Z21" si="69">ROUND(((O21/12)*V21),2)</f>
        <v>150</v>
      </c>
      <c r="AA21" s="173">
        <f t="shared" ref="AA21" si="70">(N21/12)*V21</f>
        <v>0</v>
      </c>
      <c r="AB21" s="173">
        <f t="shared" ref="AB21" si="71">ROUND(((M21/12)*V21),2)</f>
        <v>155</v>
      </c>
      <c r="AC21" s="173">
        <f t="shared" ref="AC21" si="72">ROUND(((P21/12)*V21),2)</f>
        <v>20</v>
      </c>
      <c r="AD21" s="173">
        <f t="shared" ref="AD21" si="73">L21</f>
        <v>500</v>
      </c>
      <c r="AE21" s="173">
        <f t="shared" ref="AE21" si="74">SUM(W21:AD21)</f>
        <v>2825</v>
      </c>
      <c r="AG21" s="454">
        <f t="shared" ref="AG21" si="75">12-V21</f>
        <v>8</v>
      </c>
      <c r="AH21" s="173">
        <f t="shared" ref="AH21" si="76">H21*AG21</f>
        <v>4000</v>
      </c>
      <c r="AI21" s="173">
        <f t="shared" ref="AI21" si="77">J21</f>
        <v>100</v>
      </c>
      <c r="AJ21" s="173"/>
      <c r="AK21" s="173">
        <f t="shared" ref="AK21" si="78">ROUND(((O21/12)*AG21),2)</f>
        <v>300</v>
      </c>
      <c r="AL21" s="173">
        <f t="shared" ref="AL21" si="79">(N21/12)*AG21</f>
        <v>0</v>
      </c>
      <c r="AM21" s="173">
        <f t="shared" ref="AM21" si="80">ROUND(((M21/12)*AG21),2)</f>
        <v>310</v>
      </c>
      <c r="AN21" s="173">
        <f t="shared" ref="AN21" si="81">ROUND(((P21/12)*AG21),2)</f>
        <v>40</v>
      </c>
      <c r="AO21" s="173"/>
      <c r="AP21" s="173">
        <f t="shared" ref="AP21" si="82">SUM(AH21:AN21)</f>
        <v>4750</v>
      </c>
      <c r="AR21" s="310">
        <f t="shared" ref="AR21" si="83">AB21+AM21-M21</f>
        <v>0</v>
      </c>
    </row>
    <row r="22" spans="1:44" x14ac:dyDescent="0.2">
      <c r="A22" s="57">
        <v>8</v>
      </c>
      <c r="B22" s="37" t="s">
        <v>734</v>
      </c>
      <c r="C22" s="169" t="s">
        <v>735</v>
      </c>
      <c r="D22" s="170">
        <v>1</v>
      </c>
      <c r="E22" s="171" t="s">
        <v>21</v>
      </c>
      <c r="F22" s="171" t="s">
        <v>21</v>
      </c>
      <c r="G22" s="304">
        <v>800</v>
      </c>
      <c r="H22" s="314">
        <f t="shared" ref="H22" si="84">D22*G22</f>
        <v>800</v>
      </c>
      <c r="I22" s="173">
        <f t="shared" ref="I22" si="85">H22*12</f>
        <v>9600</v>
      </c>
      <c r="J22" s="173">
        <f t="shared" ref="J22" si="86">100*D22</f>
        <v>100</v>
      </c>
      <c r="K22" s="173">
        <v>0</v>
      </c>
      <c r="L22" s="173">
        <f t="shared" ref="L22" si="87">H22</f>
        <v>800</v>
      </c>
      <c r="M22" s="502">
        <f>ROUND(I22*$M$10,2)</f>
        <v>744</v>
      </c>
      <c r="N22" s="173">
        <v>0</v>
      </c>
      <c r="O22" s="173">
        <f t="shared" ref="O22" si="88">ROUND((IF(H22&gt;1000,1000*$O$10*12,H22*$O$10*12)),2)</f>
        <v>720</v>
      </c>
      <c r="P22" s="173">
        <f t="shared" ref="P22" si="89">ROUND((IF(H22&gt;1000,1000*$P$10*12,H22*$P$10*12)),2)</f>
        <v>96</v>
      </c>
      <c r="Q22" s="173">
        <f t="shared" ref="Q22" si="90">SUM(M22:P22)</f>
        <v>1560</v>
      </c>
      <c r="R22" s="158">
        <f t="shared" ref="R22" si="91">I22+J22+K22+L22+Q22</f>
        <v>12060</v>
      </c>
      <c r="S22" s="12"/>
      <c r="T22" s="12"/>
      <c r="U22" s="12"/>
      <c r="V22" s="454" t="s">
        <v>312</v>
      </c>
      <c r="W22" s="173">
        <f t="shared" ref="W22" si="92">H22*V22</f>
        <v>3200</v>
      </c>
      <c r="X22" s="173"/>
      <c r="Y22" s="173"/>
      <c r="Z22" s="173">
        <f t="shared" ref="Z22" si="93">ROUND(((O22/12)*V22),2)</f>
        <v>240</v>
      </c>
      <c r="AA22" s="173">
        <f t="shared" ref="AA22" si="94">(N22/12)*V22</f>
        <v>0</v>
      </c>
      <c r="AB22" s="173">
        <f t="shared" ref="AB22" si="95">ROUND(((M22/12)*V22),2)</f>
        <v>248</v>
      </c>
      <c r="AC22" s="173">
        <f t="shared" ref="AC22" si="96">ROUND(((P22/12)*V22),2)</f>
        <v>32</v>
      </c>
      <c r="AD22" s="173">
        <f t="shared" ref="AD22" si="97">L22</f>
        <v>800</v>
      </c>
      <c r="AE22" s="173">
        <f t="shared" ref="AE22" si="98">SUM(W22:AD22)</f>
        <v>4520</v>
      </c>
      <c r="AG22" s="454">
        <f t="shared" ref="AG22" si="99">12-V22</f>
        <v>8</v>
      </c>
      <c r="AH22" s="173">
        <f t="shared" ref="AH22" si="100">H22*AG22</f>
        <v>6400</v>
      </c>
      <c r="AI22" s="173">
        <f t="shared" ref="AI22" si="101">J22</f>
        <v>100</v>
      </c>
      <c r="AJ22" s="173"/>
      <c r="AK22" s="173">
        <f t="shared" ref="AK22" si="102">ROUND(((O22/12)*AG22),2)</f>
        <v>480</v>
      </c>
      <c r="AL22" s="173">
        <f t="shared" ref="AL22" si="103">(N22/12)*AG22</f>
        <v>0</v>
      </c>
      <c r="AM22" s="173">
        <f t="shared" ref="AM22" si="104">ROUND(((M22/12)*AG22),2)</f>
        <v>496</v>
      </c>
      <c r="AN22" s="173">
        <f t="shared" ref="AN22" si="105">ROUND(((P22/12)*AG22),2)</f>
        <v>64</v>
      </c>
      <c r="AO22" s="173"/>
      <c r="AP22" s="173">
        <f t="shared" ref="AP22" si="106">SUM(AH22:AN22)</f>
        <v>7540</v>
      </c>
      <c r="AR22" s="310">
        <f t="shared" ref="AR22" si="107">AB22+AM22-M22</f>
        <v>0</v>
      </c>
    </row>
    <row r="23" spans="1:44" x14ac:dyDescent="0.2">
      <c r="A23" s="57">
        <v>9</v>
      </c>
      <c r="B23" s="37" t="s">
        <v>363</v>
      </c>
      <c r="C23" s="169" t="s">
        <v>566</v>
      </c>
      <c r="D23" s="170">
        <v>1</v>
      </c>
      <c r="E23" s="171" t="s">
        <v>21</v>
      </c>
      <c r="F23" s="171" t="s">
        <v>21</v>
      </c>
      <c r="G23" s="304">
        <v>800</v>
      </c>
      <c r="H23" s="314">
        <f t="shared" si="5"/>
        <v>800</v>
      </c>
      <c r="I23" s="173">
        <f t="shared" ref="I23:I27" si="108">H23*12</f>
        <v>9600</v>
      </c>
      <c r="J23" s="173">
        <f t="shared" si="53"/>
        <v>100</v>
      </c>
      <c r="K23" s="173">
        <v>0</v>
      </c>
      <c r="L23" s="173">
        <f t="shared" ref="L23:L27" si="109">H23</f>
        <v>800</v>
      </c>
      <c r="M23" s="502">
        <f>ROUND(I23*$M$10,2)</f>
        <v>744</v>
      </c>
      <c r="N23" s="173">
        <v>0</v>
      </c>
      <c r="O23" s="173">
        <f t="shared" si="54"/>
        <v>720</v>
      </c>
      <c r="P23" s="173">
        <f t="shared" si="22"/>
        <v>96</v>
      </c>
      <c r="Q23" s="173">
        <f t="shared" si="55"/>
        <v>1560</v>
      </c>
      <c r="R23" s="158">
        <f t="shared" si="56"/>
        <v>12060</v>
      </c>
      <c r="S23" s="12"/>
      <c r="T23" s="12"/>
      <c r="U23" s="12"/>
      <c r="V23" s="454" t="s">
        <v>312</v>
      </c>
      <c r="W23" s="173">
        <f t="shared" si="12"/>
        <v>3200</v>
      </c>
      <c r="X23" s="173"/>
      <c r="Y23" s="173"/>
      <c r="Z23" s="173">
        <f t="shared" si="57"/>
        <v>240</v>
      </c>
      <c r="AA23" s="173">
        <f t="shared" si="14"/>
        <v>0</v>
      </c>
      <c r="AB23" s="173">
        <f t="shared" si="24"/>
        <v>248</v>
      </c>
      <c r="AC23" s="173">
        <f t="shared" si="58"/>
        <v>32</v>
      </c>
      <c r="AD23" s="173">
        <f t="shared" si="15"/>
        <v>800</v>
      </c>
      <c r="AE23" s="173">
        <f t="shared" si="16"/>
        <v>4520</v>
      </c>
      <c r="AG23" s="454">
        <f t="shared" si="17"/>
        <v>8</v>
      </c>
      <c r="AH23" s="173">
        <f t="shared" si="18"/>
        <v>6400</v>
      </c>
      <c r="AI23" s="173">
        <f t="shared" si="19"/>
        <v>100</v>
      </c>
      <c r="AJ23" s="173"/>
      <c r="AK23" s="173">
        <f t="shared" si="59"/>
        <v>480</v>
      </c>
      <c r="AL23" s="173">
        <f t="shared" si="20"/>
        <v>0</v>
      </c>
      <c r="AM23" s="173">
        <f t="shared" si="21"/>
        <v>496</v>
      </c>
      <c r="AN23" s="173">
        <f t="shared" si="60"/>
        <v>64</v>
      </c>
      <c r="AO23" s="173"/>
      <c r="AP23" s="173">
        <f t="shared" si="3"/>
        <v>7540</v>
      </c>
      <c r="AR23" s="310">
        <f t="shared" si="4"/>
        <v>0</v>
      </c>
    </row>
    <row r="24" spans="1:44" s="64" customFormat="1" x14ac:dyDescent="0.2">
      <c r="A24" s="57">
        <v>10</v>
      </c>
      <c r="B24" s="311" t="s">
        <v>595</v>
      </c>
      <c r="C24" s="243" t="s">
        <v>370</v>
      </c>
      <c r="D24" s="244">
        <v>1</v>
      </c>
      <c r="E24" s="245" t="s">
        <v>21</v>
      </c>
      <c r="F24" s="245" t="s">
        <v>21</v>
      </c>
      <c r="G24" s="305">
        <v>500</v>
      </c>
      <c r="H24" s="315">
        <f t="shared" si="5"/>
        <v>500</v>
      </c>
      <c r="I24" s="246">
        <f t="shared" si="108"/>
        <v>6000</v>
      </c>
      <c r="J24" s="246">
        <f t="shared" si="53"/>
        <v>100</v>
      </c>
      <c r="K24" s="246">
        <v>0</v>
      </c>
      <c r="L24" s="246">
        <f t="shared" si="109"/>
        <v>500</v>
      </c>
      <c r="M24" s="504">
        <f t="shared" ref="M24:M27" si="110">ROUND(I24*$M$10,2)</f>
        <v>465</v>
      </c>
      <c r="N24" s="246">
        <v>0</v>
      </c>
      <c r="O24" s="246">
        <f t="shared" si="54"/>
        <v>450</v>
      </c>
      <c r="P24" s="246">
        <f t="shared" si="22"/>
        <v>60</v>
      </c>
      <c r="Q24" s="246">
        <f t="shared" si="55"/>
        <v>975</v>
      </c>
      <c r="R24" s="247">
        <f t="shared" si="56"/>
        <v>7575</v>
      </c>
      <c r="S24" s="63"/>
      <c r="T24" s="63"/>
      <c r="U24" s="63"/>
      <c r="V24" s="454" t="s">
        <v>312</v>
      </c>
      <c r="W24" s="246">
        <f t="shared" si="12"/>
        <v>2000</v>
      </c>
      <c r="X24" s="246"/>
      <c r="Y24" s="246"/>
      <c r="Z24" s="246">
        <f t="shared" si="57"/>
        <v>150</v>
      </c>
      <c r="AA24" s="246">
        <f t="shared" si="14"/>
        <v>0</v>
      </c>
      <c r="AB24" s="246">
        <f t="shared" si="24"/>
        <v>155</v>
      </c>
      <c r="AC24" s="246">
        <f t="shared" si="58"/>
        <v>20</v>
      </c>
      <c r="AD24" s="246">
        <f t="shared" si="15"/>
        <v>500</v>
      </c>
      <c r="AE24" s="246">
        <f t="shared" si="16"/>
        <v>2825</v>
      </c>
      <c r="AG24" s="454">
        <f t="shared" si="17"/>
        <v>8</v>
      </c>
      <c r="AH24" s="246">
        <f t="shared" si="18"/>
        <v>4000</v>
      </c>
      <c r="AI24" s="246">
        <f t="shared" si="19"/>
        <v>100</v>
      </c>
      <c r="AJ24" s="246"/>
      <c r="AK24" s="246">
        <f t="shared" si="59"/>
        <v>300</v>
      </c>
      <c r="AL24" s="246">
        <f t="shared" si="20"/>
        <v>0</v>
      </c>
      <c r="AM24" s="246">
        <f t="shared" si="21"/>
        <v>310</v>
      </c>
      <c r="AN24" s="246">
        <f t="shared" si="60"/>
        <v>40</v>
      </c>
      <c r="AO24" s="246"/>
      <c r="AP24" s="246">
        <f t="shared" si="3"/>
        <v>4750</v>
      </c>
      <c r="AR24" s="310">
        <f t="shared" si="4"/>
        <v>0</v>
      </c>
    </row>
    <row r="25" spans="1:44" s="64" customFormat="1" x14ac:dyDescent="0.2">
      <c r="A25" s="57">
        <v>11</v>
      </c>
      <c r="B25" s="37" t="s">
        <v>434</v>
      </c>
      <c r="C25" s="169" t="s">
        <v>567</v>
      </c>
      <c r="D25" s="170">
        <v>1</v>
      </c>
      <c r="E25" s="171" t="s">
        <v>21</v>
      </c>
      <c r="F25" s="171" t="s">
        <v>21</v>
      </c>
      <c r="G25" s="304">
        <v>1900</v>
      </c>
      <c r="H25" s="314">
        <f t="shared" si="5"/>
        <v>1900</v>
      </c>
      <c r="I25" s="173">
        <f t="shared" si="108"/>
        <v>22800</v>
      </c>
      <c r="J25" s="173">
        <f t="shared" si="53"/>
        <v>100</v>
      </c>
      <c r="K25" s="173">
        <v>0</v>
      </c>
      <c r="L25" s="173">
        <f t="shared" si="109"/>
        <v>1900</v>
      </c>
      <c r="M25" s="502">
        <f t="shared" si="110"/>
        <v>1767</v>
      </c>
      <c r="N25" s="173">
        <v>0</v>
      </c>
      <c r="O25" s="173">
        <f t="shared" si="54"/>
        <v>900</v>
      </c>
      <c r="P25" s="173">
        <f t="shared" si="22"/>
        <v>120</v>
      </c>
      <c r="Q25" s="173">
        <f t="shared" si="55"/>
        <v>2787</v>
      </c>
      <c r="R25" s="158">
        <f t="shared" si="56"/>
        <v>27587</v>
      </c>
      <c r="S25" s="63"/>
      <c r="T25" s="63"/>
      <c r="U25" s="63"/>
      <c r="V25" s="454" t="s">
        <v>312</v>
      </c>
      <c r="W25" s="173">
        <f t="shared" si="12"/>
        <v>7600</v>
      </c>
      <c r="X25" s="173"/>
      <c r="Y25" s="173"/>
      <c r="Z25" s="173">
        <f t="shared" si="57"/>
        <v>300</v>
      </c>
      <c r="AA25" s="173">
        <f t="shared" si="14"/>
        <v>0</v>
      </c>
      <c r="AB25" s="173">
        <f t="shared" si="24"/>
        <v>589</v>
      </c>
      <c r="AC25" s="173">
        <f t="shared" si="58"/>
        <v>40</v>
      </c>
      <c r="AD25" s="173">
        <f t="shared" si="15"/>
        <v>1900</v>
      </c>
      <c r="AE25" s="173">
        <f t="shared" si="16"/>
        <v>10429</v>
      </c>
      <c r="AG25" s="454">
        <f t="shared" si="17"/>
        <v>8</v>
      </c>
      <c r="AH25" s="173">
        <f t="shared" si="18"/>
        <v>15200</v>
      </c>
      <c r="AI25" s="173">
        <f t="shared" si="19"/>
        <v>100</v>
      </c>
      <c r="AJ25" s="173"/>
      <c r="AK25" s="173">
        <f t="shared" si="59"/>
        <v>600</v>
      </c>
      <c r="AL25" s="173">
        <f t="shared" si="20"/>
        <v>0</v>
      </c>
      <c r="AM25" s="173">
        <f t="shared" si="21"/>
        <v>1178</v>
      </c>
      <c r="AN25" s="173">
        <f t="shared" si="60"/>
        <v>80</v>
      </c>
      <c r="AO25" s="173"/>
      <c r="AP25" s="173">
        <f t="shared" si="3"/>
        <v>17158</v>
      </c>
      <c r="AR25" s="310">
        <f t="shared" si="4"/>
        <v>0</v>
      </c>
    </row>
    <row r="26" spans="1:44" s="64" customFormat="1" ht="12.75" customHeight="1" x14ac:dyDescent="0.2">
      <c r="A26" s="57">
        <v>12</v>
      </c>
      <c r="B26" s="312" t="s">
        <v>395</v>
      </c>
      <c r="C26" s="169" t="s">
        <v>368</v>
      </c>
      <c r="D26" s="170">
        <v>1</v>
      </c>
      <c r="E26" s="171" t="s">
        <v>21</v>
      </c>
      <c r="F26" s="171" t="s">
        <v>21</v>
      </c>
      <c r="G26" s="304">
        <v>650</v>
      </c>
      <c r="H26" s="314">
        <f t="shared" si="5"/>
        <v>650</v>
      </c>
      <c r="I26" s="173">
        <f t="shared" si="108"/>
        <v>7800</v>
      </c>
      <c r="J26" s="173">
        <f t="shared" si="53"/>
        <v>100</v>
      </c>
      <c r="K26" s="173">
        <v>0</v>
      </c>
      <c r="L26" s="173">
        <f t="shared" si="109"/>
        <v>650</v>
      </c>
      <c r="M26" s="502">
        <f t="shared" si="110"/>
        <v>604.5</v>
      </c>
      <c r="N26" s="173">
        <v>0</v>
      </c>
      <c r="O26" s="173">
        <f t="shared" si="54"/>
        <v>585</v>
      </c>
      <c r="P26" s="173">
        <f t="shared" si="22"/>
        <v>78</v>
      </c>
      <c r="Q26" s="173">
        <f t="shared" si="55"/>
        <v>1267.5</v>
      </c>
      <c r="R26" s="158">
        <f t="shared" si="56"/>
        <v>9817.5</v>
      </c>
      <c r="S26" s="63"/>
      <c r="T26" s="63"/>
      <c r="U26" s="63"/>
      <c r="V26" s="454" t="s">
        <v>312</v>
      </c>
      <c r="W26" s="173">
        <f t="shared" si="12"/>
        <v>2600</v>
      </c>
      <c r="X26" s="173"/>
      <c r="Y26" s="173"/>
      <c r="Z26" s="173">
        <f t="shared" si="57"/>
        <v>195</v>
      </c>
      <c r="AA26" s="173">
        <f t="shared" si="14"/>
        <v>0</v>
      </c>
      <c r="AB26" s="173">
        <f t="shared" si="24"/>
        <v>201.5</v>
      </c>
      <c r="AC26" s="173">
        <f t="shared" si="58"/>
        <v>26</v>
      </c>
      <c r="AD26" s="173">
        <f t="shared" si="15"/>
        <v>650</v>
      </c>
      <c r="AE26" s="173">
        <f t="shared" si="16"/>
        <v>3672.5</v>
      </c>
      <c r="AG26" s="454">
        <f t="shared" si="17"/>
        <v>8</v>
      </c>
      <c r="AH26" s="173">
        <f t="shared" si="18"/>
        <v>5200</v>
      </c>
      <c r="AI26" s="173">
        <f t="shared" si="19"/>
        <v>100</v>
      </c>
      <c r="AJ26" s="173"/>
      <c r="AK26" s="173">
        <f t="shared" si="59"/>
        <v>390</v>
      </c>
      <c r="AL26" s="173">
        <f t="shared" si="20"/>
        <v>0</v>
      </c>
      <c r="AM26" s="173">
        <f t="shared" si="21"/>
        <v>403</v>
      </c>
      <c r="AN26" s="173">
        <f t="shared" si="60"/>
        <v>52</v>
      </c>
      <c r="AO26" s="173"/>
      <c r="AP26" s="173">
        <f t="shared" si="3"/>
        <v>6145</v>
      </c>
      <c r="AR26" s="310">
        <f t="shared" si="4"/>
        <v>0</v>
      </c>
    </row>
    <row r="27" spans="1:44" s="64" customFormat="1" x14ac:dyDescent="0.2">
      <c r="A27" s="57">
        <v>13</v>
      </c>
      <c r="B27" s="312" t="s">
        <v>610</v>
      </c>
      <c r="C27" s="169" t="s">
        <v>22</v>
      </c>
      <c r="D27" s="170">
        <v>1</v>
      </c>
      <c r="E27" s="171" t="s">
        <v>21</v>
      </c>
      <c r="F27" s="171" t="s">
        <v>21</v>
      </c>
      <c r="G27" s="304">
        <v>700</v>
      </c>
      <c r="H27" s="314">
        <f t="shared" si="5"/>
        <v>700</v>
      </c>
      <c r="I27" s="173">
        <f t="shared" si="108"/>
        <v>8400</v>
      </c>
      <c r="J27" s="173">
        <f t="shared" si="53"/>
        <v>100</v>
      </c>
      <c r="K27" s="173">
        <v>0</v>
      </c>
      <c r="L27" s="173">
        <f t="shared" si="109"/>
        <v>700</v>
      </c>
      <c r="M27" s="502">
        <f t="shared" si="110"/>
        <v>651</v>
      </c>
      <c r="N27" s="173">
        <v>0</v>
      </c>
      <c r="O27" s="173">
        <f t="shared" si="54"/>
        <v>630</v>
      </c>
      <c r="P27" s="173">
        <f t="shared" si="22"/>
        <v>84</v>
      </c>
      <c r="Q27" s="173">
        <f t="shared" si="55"/>
        <v>1365</v>
      </c>
      <c r="R27" s="158">
        <f t="shared" si="56"/>
        <v>10565</v>
      </c>
      <c r="S27" s="63"/>
      <c r="T27" s="63"/>
      <c r="U27" s="63"/>
      <c r="V27" s="454" t="s">
        <v>312</v>
      </c>
      <c r="W27" s="173">
        <f t="shared" si="12"/>
        <v>2800</v>
      </c>
      <c r="X27" s="173"/>
      <c r="Y27" s="173"/>
      <c r="Z27" s="173">
        <f t="shared" si="57"/>
        <v>210</v>
      </c>
      <c r="AA27" s="173">
        <f t="shared" si="14"/>
        <v>0</v>
      </c>
      <c r="AB27" s="173">
        <f t="shared" si="24"/>
        <v>217</v>
      </c>
      <c r="AC27" s="173">
        <f t="shared" si="58"/>
        <v>28</v>
      </c>
      <c r="AD27" s="173">
        <f t="shared" si="15"/>
        <v>700</v>
      </c>
      <c r="AE27" s="173">
        <f t="shared" si="16"/>
        <v>3955</v>
      </c>
      <c r="AG27" s="454">
        <f t="shared" si="17"/>
        <v>8</v>
      </c>
      <c r="AH27" s="173">
        <f t="shared" si="18"/>
        <v>5600</v>
      </c>
      <c r="AI27" s="173">
        <f t="shared" si="19"/>
        <v>100</v>
      </c>
      <c r="AJ27" s="173"/>
      <c r="AK27" s="173">
        <f t="shared" si="59"/>
        <v>420</v>
      </c>
      <c r="AL27" s="173">
        <f t="shared" si="20"/>
        <v>0</v>
      </c>
      <c r="AM27" s="173">
        <f t="shared" si="21"/>
        <v>434</v>
      </c>
      <c r="AN27" s="173">
        <f t="shared" si="60"/>
        <v>56</v>
      </c>
      <c r="AO27" s="173"/>
      <c r="AP27" s="173">
        <f t="shared" si="3"/>
        <v>6610</v>
      </c>
      <c r="AR27" s="310">
        <f t="shared" si="4"/>
        <v>0</v>
      </c>
    </row>
    <row r="28" spans="1:44" ht="13.5" thickBot="1" x14ac:dyDescent="0.25">
      <c r="A28" s="60"/>
      <c r="B28" s="70" t="s">
        <v>396</v>
      </c>
      <c r="C28" s="175"/>
      <c r="D28" s="176">
        <f>SUM(D20:D27)</f>
        <v>8</v>
      </c>
      <c r="E28" s="177"/>
      <c r="F28" s="177"/>
      <c r="G28" s="177"/>
      <c r="H28" s="178">
        <f t="shared" ref="H28:O28" si="111">SUM(H20:H27)</f>
        <v>5850</v>
      </c>
      <c r="I28" s="179">
        <f t="shared" si="111"/>
        <v>70200</v>
      </c>
      <c r="J28" s="179">
        <f>SUM(J20:J27)</f>
        <v>800</v>
      </c>
      <c r="K28" s="179">
        <f t="shared" ref="K28" si="112">SUM(K20:K27)</f>
        <v>0</v>
      </c>
      <c r="L28" s="179">
        <f t="shared" si="111"/>
        <v>5850</v>
      </c>
      <c r="M28" s="505">
        <f t="shared" si="111"/>
        <v>5440.5</v>
      </c>
      <c r="N28" s="179">
        <f t="shared" si="111"/>
        <v>0</v>
      </c>
      <c r="O28" s="179">
        <f t="shared" si="111"/>
        <v>4455</v>
      </c>
      <c r="P28" s="179">
        <f>SUM(P20:P27)</f>
        <v>594</v>
      </c>
      <c r="Q28" s="179">
        <f>SUM(Q20:Q27)</f>
        <v>10489.5</v>
      </c>
      <c r="R28" s="159">
        <f>SUM(R20:R27)</f>
        <v>87339.5</v>
      </c>
      <c r="S28" s="12"/>
      <c r="T28" s="12"/>
      <c r="U28" s="12"/>
      <c r="V28" s="464"/>
      <c r="W28" s="464">
        <f t="shared" ref="W28:AC28" si="113">SUM(W20:W27)</f>
        <v>23400</v>
      </c>
      <c r="X28" s="464"/>
      <c r="Y28" s="464"/>
      <c r="Z28" s="464">
        <f t="shared" si="113"/>
        <v>1485</v>
      </c>
      <c r="AA28" s="464">
        <f t="shared" si="113"/>
        <v>0</v>
      </c>
      <c r="AB28" s="464">
        <f t="shared" si="113"/>
        <v>1813.5</v>
      </c>
      <c r="AC28" s="464">
        <f t="shared" si="113"/>
        <v>198</v>
      </c>
      <c r="AD28" s="464">
        <f t="shared" ref="AD28" si="114">SUM(AD20:AD27)</f>
        <v>5850</v>
      </c>
      <c r="AE28" s="464">
        <f>SUM(AE20:AE27)</f>
        <v>32746.5</v>
      </c>
      <c r="AG28" s="464"/>
      <c r="AH28" s="464">
        <f t="shared" ref="AH28:AI28" si="115">SUM(AH20:AH27)</f>
        <v>46800</v>
      </c>
      <c r="AI28" s="464">
        <f t="shared" si="115"/>
        <v>800</v>
      </c>
      <c r="AJ28" s="464"/>
      <c r="AK28" s="464">
        <f t="shared" ref="AK28" si="116">SUM(AK20:AK27)</f>
        <v>2970</v>
      </c>
      <c r="AL28" s="464">
        <f t="shared" ref="AL28" si="117">SUM(AL20:AL27)</f>
        <v>0</v>
      </c>
      <c r="AM28" s="464">
        <f t="shared" ref="AM28" si="118">SUM(AM20:AM27)</f>
        <v>3627</v>
      </c>
      <c r="AN28" s="464">
        <f t="shared" ref="AN28" si="119">SUM(AN20:AN27)</f>
        <v>396</v>
      </c>
      <c r="AO28" s="464"/>
      <c r="AP28" s="464">
        <f>SUM(AP20:AP27)</f>
        <v>54593</v>
      </c>
      <c r="AR28" s="310">
        <f t="shared" si="4"/>
        <v>0</v>
      </c>
    </row>
    <row r="29" spans="1:44" ht="13.5" hidden="1" thickTop="1" x14ac:dyDescent="0.2">
      <c r="A29" s="57"/>
      <c r="B29" s="37"/>
      <c r="C29" s="169"/>
      <c r="D29" s="170"/>
      <c r="E29" s="171"/>
      <c r="F29" s="171"/>
      <c r="G29" s="171"/>
      <c r="H29" s="314"/>
      <c r="I29" s="173"/>
      <c r="J29" s="173"/>
      <c r="K29" s="173"/>
      <c r="L29" s="173"/>
      <c r="M29" s="502"/>
      <c r="N29" s="173"/>
      <c r="O29" s="173"/>
      <c r="P29" s="173"/>
      <c r="Q29" s="173"/>
      <c r="R29" s="158"/>
      <c r="S29" s="12"/>
      <c r="T29" s="12"/>
      <c r="U29" s="12"/>
      <c r="V29" s="465"/>
      <c r="W29" s="466"/>
      <c r="X29" s="466"/>
      <c r="Y29" s="466"/>
      <c r="Z29" s="466"/>
      <c r="AA29" s="466">
        <f t="shared" si="14"/>
        <v>0</v>
      </c>
      <c r="AB29" s="466">
        <f t="shared" ref="AB29:AB78" si="120">(M29/12)*V29</f>
        <v>0</v>
      </c>
      <c r="AC29" s="466">
        <f t="shared" ref="AC29:AD66" si="121">(P29/12)*V29</f>
        <v>0</v>
      </c>
      <c r="AD29" s="466">
        <f t="shared" si="121"/>
        <v>0</v>
      </c>
      <c r="AE29" s="466"/>
      <c r="AG29" s="465"/>
      <c r="AH29" s="466"/>
      <c r="AI29" s="466"/>
      <c r="AJ29" s="466"/>
      <c r="AK29" s="466"/>
      <c r="AL29" s="466">
        <f t="shared" ref="AL29:AL37" si="122">(Z29/12)*AG29</f>
        <v>0</v>
      </c>
      <c r="AM29" s="466">
        <f t="shared" ref="AM29:AM37" si="123">(W29/12)*AG29</f>
        <v>0</v>
      </c>
      <c r="AN29" s="466">
        <f t="shared" ref="AN29:AN37" si="124">(AB29/12)*AG29</f>
        <v>0</v>
      </c>
      <c r="AO29" s="466"/>
      <c r="AP29" s="466"/>
      <c r="AR29" s="310">
        <f t="shared" si="4"/>
        <v>0</v>
      </c>
    </row>
    <row r="30" spans="1:44" ht="13.5" hidden="1" thickTop="1" x14ac:dyDescent="0.2">
      <c r="A30" s="57">
        <v>15</v>
      </c>
      <c r="B30" s="65"/>
      <c r="C30" s="169" t="s">
        <v>22</v>
      </c>
      <c r="D30" s="170"/>
      <c r="E30" s="171" t="s">
        <v>20</v>
      </c>
      <c r="F30" s="171" t="s">
        <v>397</v>
      </c>
      <c r="G30" s="171"/>
      <c r="H30" s="314"/>
      <c r="I30" s="173">
        <f t="shared" ref="I30:J35" si="125">+H30*12*D30</f>
        <v>0</v>
      </c>
      <c r="J30" s="173">
        <f t="shared" si="125"/>
        <v>0</v>
      </c>
      <c r="K30" s="173">
        <f t="shared" ref="K30:K35" si="126">+I30*12*E30</f>
        <v>0</v>
      </c>
      <c r="L30" s="173">
        <f t="shared" ref="L30:L35" si="127">+H30*D30</f>
        <v>0</v>
      </c>
      <c r="M30" s="502">
        <f t="shared" ref="M30:M35" si="128">+I30*$M$10</f>
        <v>0</v>
      </c>
      <c r="N30" s="173"/>
      <c r="O30" s="173">
        <f t="shared" ref="O30:O35" si="129">IF(H30&gt;685.71,685.71*$O$10*12,H30*$O$10*12)</f>
        <v>0</v>
      </c>
      <c r="P30" s="173"/>
      <c r="Q30" s="173">
        <f t="shared" ref="Q30:Q35" si="130">SUM(N30:P30)</f>
        <v>0</v>
      </c>
      <c r="R30" s="158">
        <f t="shared" ref="R30:R35" si="131">SUM(I30:P30)</f>
        <v>0</v>
      </c>
      <c r="S30" s="12"/>
      <c r="T30" s="12"/>
      <c r="U30" s="12"/>
      <c r="V30" s="465"/>
      <c r="W30" s="466"/>
      <c r="X30" s="466"/>
      <c r="Y30" s="466"/>
      <c r="Z30" s="466"/>
      <c r="AA30" s="466">
        <f t="shared" si="14"/>
        <v>0</v>
      </c>
      <c r="AB30" s="466">
        <f t="shared" si="120"/>
        <v>0</v>
      </c>
      <c r="AC30" s="466">
        <f t="shared" si="121"/>
        <v>0</v>
      </c>
      <c r="AD30" s="466">
        <f t="shared" si="121"/>
        <v>0</v>
      </c>
      <c r="AE30" s="466">
        <f t="shared" ref="AE30:AE35" si="132">SUM(Q30:AB30)</f>
        <v>0</v>
      </c>
      <c r="AG30" s="465"/>
      <c r="AH30" s="466"/>
      <c r="AI30" s="466"/>
      <c r="AJ30" s="466"/>
      <c r="AK30" s="466"/>
      <c r="AL30" s="466">
        <f t="shared" si="122"/>
        <v>0</v>
      </c>
      <c r="AM30" s="466">
        <f t="shared" si="123"/>
        <v>0</v>
      </c>
      <c r="AN30" s="466">
        <f t="shared" si="124"/>
        <v>0</v>
      </c>
      <c r="AO30" s="466"/>
      <c r="AP30" s="466">
        <f t="shared" ref="AP30:AP35" si="133">SUM(AC30:AM30)</f>
        <v>0</v>
      </c>
      <c r="AR30" s="310">
        <f t="shared" si="4"/>
        <v>0</v>
      </c>
    </row>
    <row r="31" spans="1:44" ht="13.5" hidden="1" thickTop="1" x14ac:dyDescent="0.2">
      <c r="A31" s="57">
        <v>16</v>
      </c>
      <c r="B31" s="37"/>
      <c r="C31" s="169"/>
      <c r="D31" s="170"/>
      <c r="E31" s="171" t="s">
        <v>20</v>
      </c>
      <c r="F31" s="171" t="s">
        <v>397</v>
      </c>
      <c r="G31" s="171"/>
      <c r="H31" s="314"/>
      <c r="I31" s="173">
        <f t="shared" si="125"/>
        <v>0</v>
      </c>
      <c r="J31" s="173">
        <f t="shared" si="125"/>
        <v>0</v>
      </c>
      <c r="K31" s="173">
        <f t="shared" si="126"/>
        <v>0</v>
      </c>
      <c r="L31" s="173">
        <f t="shared" si="127"/>
        <v>0</v>
      </c>
      <c r="M31" s="502">
        <f t="shared" si="128"/>
        <v>0</v>
      </c>
      <c r="N31" s="173"/>
      <c r="O31" s="173">
        <f t="shared" si="129"/>
        <v>0</v>
      </c>
      <c r="P31" s="173"/>
      <c r="Q31" s="173">
        <f t="shared" si="130"/>
        <v>0</v>
      </c>
      <c r="R31" s="158">
        <f t="shared" si="131"/>
        <v>0</v>
      </c>
      <c r="S31" s="12"/>
      <c r="T31" s="12"/>
      <c r="U31" s="12"/>
      <c r="V31" s="465"/>
      <c r="W31" s="466"/>
      <c r="X31" s="466"/>
      <c r="Y31" s="466"/>
      <c r="Z31" s="466"/>
      <c r="AA31" s="466">
        <f t="shared" si="14"/>
        <v>0</v>
      </c>
      <c r="AB31" s="466">
        <f t="shared" si="120"/>
        <v>0</v>
      </c>
      <c r="AC31" s="466">
        <f t="shared" si="121"/>
        <v>0</v>
      </c>
      <c r="AD31" s="466">
        <f t="shared" si="121"/>
        <v>0</v>
      </c>
      <c r="AE31" s="466">
        <f t="shared" si="132"/>
        <v>0</v>
      </c>
      <c r="AG31" s="465"/>
      <c r="AH31" s="466"/>
      <c r="AI31" s="466"/>
      <c r="AJ31" s="466"/>
      <c r="AK31" s="466"/>
      <c r="AL31" s="466">
        <f t="shared" si="122"/>
        <v>0</v>
      </c>
      <c r="AM31" s="466">
        <f t="shared" si="123"/>
        <v>0</v>
      </c>
      <c r="AN31" s="466">
        <f t="shared" si="124"/>
        <v>0</v>
      </c>
      <c r="AO31" s="466"/>
      <c r="AP31" s="466">
        <f t="shared" si="133"/>
        <v>0</v>
      </c>
      <c r="AR31" s="310">
        <f t="shared" si="4"/>
        <v>0</v>
      </c>
    </row>
    <row r="32" spans="1:44" ht="13.5" hidden="1" thickTop="1" x14ac:dyDescent="0.2">
      <c r="A32" s="57">
        <v>17</v>
      </c>
      <c r="B32" s="37"/>
      <c r="C32" s="169"/>
      <c r="D32" s="170"/>
      <c r="E32" s="171" t="s">
        <v>20</v>
      </c>
      <c r="F32" s="171" t="s">
        <v>397</v>
      </c>
      <c r="G32" s="171"/>
      <c r="H32" s="314"/>
      <c r="I32" s="173">
        <f t="shared" si="125"/>
        <v>0</v>
      </c>
      <c r="J32" s="173">
        <f t="shared" si="125"/>
        <v>0</v>
      </c>
      <c r="K32" s="173">
        <f t="shared" si="126"/>
        <v>0</v>
      </c>
      <c r="L32" s="173">
        <f t="shared" si="127"/>
        <v>0</v>
      </c>
      <c r="M32" s="502">
        <f t="shared" si="128"/>
        <v>0</v>
      </c>
      <c r="N32" s="173"/>
      <c r="O32" s="173">
        <f t="shared" si="129"/>
        <v>0</v>
      </c>
      <c r="P32" s="173"/>
      <c r="Q32" s="173">
        <f t="shared" si="130"/>
        <v>0</v>
      </c>
      <c r="R32" s="158">
        <f t="shared" si="131"/>
        <v>0</v>
      </c>
      <c r="S32" s="12"/>
      <c r="T32" s="12"/>
      <c r="U32" s="12"/>
      <c r="V32" s="465"/>
      <c r="W32" s="466"/>
      <c r="X32" s="466"/>
      <c r="Y32" s="466"/>
      <c r="Z32" s="466"/>
      <c r="AA32" s="466">
        <f t="shared" si="14"/>
        <v>0</v>
      </c>
      <c r="AB32" s="466">
        <f t="shared" si="120"/>
        <v>0</v>
      </c>
      <c r="AC32" s="466">
        <f t="shared" si="121"/>
        <v>0</v>
      </c>
      <c r="AD32" s="466">
        <f t="shared" si="121"/>
        <v>0</v>
      </c>
      <c r="AE32" s="466">
        <f t="shared" si="132"/>
        <v>0</v>
      </c>
      <c r="AG32" s="465"/>
      <c r="AH32" s="466"/>
      <c r="AI32" s="466"/>
      <c r="AJ32" s="466"/>
      <c r="AK32" s="466"/>
      <c r="AL32" s="466">
        <f t="shared" si="122"/>
        <v>0</v>
      </c>
      <c r="AM32" s="466">
        <f t="shared" si="123"/>
        <v>0</v>
      </c>
      <c r="AN32" s="466">
        <f t="shared" si="124"/>
        <v>0</v>
      </c>
      <c r="AO32" s="466"/>
      <c r="AP32" s="466">
        <f t="shared" si="133"/>
        <v>0</v>
      </c>
      <c r="AR32" s="310">
        <f t="shared" si="4"/>
        <v>0</v>
      </c>
    </row>
    <row r="33" spans="1:45" ht="13.5" hidden="1" thickTop="1" x14ac:dyDescent="0.2">
      <c r="A33" s="57">
        <v>18</v>
      </c>
      <c r="B33" s="37"/>
      <c r="C33" s="169"/>
      <c r="D33" s="170"/>
      <c r="E33" s="171" t="s">
        <v>20</v>
      </c>
      <c r="F33" s="171" t="s">
        <v>397</v>
      </c>
      <c r="G33" s="171"/>
      <c r="H33" s="314"/>
      <c r="I33" s="173">
        <f t="shared" si="125"/>
        <v>0</v>
      </c>
      <c r="J33" s="173">
        <f t="shared" si="125"/>
        <v>0</v>
      </c>
      <c r="K33" s="173">
        <f t="shared" si="126"/>
        <v>0</v>
      </c>
      <c r="L33" s="173">
        <f t="shared" si="127"/>
        <v>0</v>
      </c>
      <c r="M33" s="502">
        <f t="shared" si="128"/>
        <v>0</v>
      </c>
      <c r="N33" s="173"/>
      <c r="O33" s="173">
        <f t="shared" si="129"/>
        <v>0</v>
      </c>
      <c r="P33" s="173"/>
      <c r="Q33" s="173">
        <f t="shared" si="130"/>
        <v>0</v>
      </c>
      <c r="R33" s="158">
        <f t="shared" si="131"/>
        <v>0</v>
      </c>
      <c r="S33" s="12"/>
      <c r="T33" s="12"/>
      <c r="U33" s="12"/>
      <c r="V33" s="465"/>
      <c r="W33" s="466"/>
      <c r="X33" s="466"/>
      <c r="Y33" s="466"/>
      <c r="Z33" s="466"/>
      <c r="AA33" s="466">
        <f t="shared" si="14"/>
        <v>0</v>
      </c>
      <c r="AB33" s="466">
        <f t="shared" si="120"/>
        <v>0</v>
      </c>
      <c r="AC33" s="466">
        <f t="shared" si="121"/>
        <v>0</v>
      </c>
      <c r="AD33" s="466">
        <f t="shared" si="121"/>
        <v>0</v>
      </c>
      <c r="AE33" s="466">
        <f t="shared" si="132"/>
        <v>0</v>
      </c>
      <c r="AG33" s="465"/>
      <c r="AH33" s="466"/>
      <c r="AI33" s="466"/>
      <c r="AJ33" s="466"/>
      <c r="AK33" s="466"/>
      <c r="AL33" s="466">
        <f t="shared" si="122"/>
        <v>0</v>
      </c>
      <c r="AM33" s="466">
        <f t="shared" si="123"/>
        <v>0</v>
      </c>
      <c r="AN33" s="466">
        <f t="shared" si="124"/>
        <v>0</v>
      </c>
      <c r="AO33" s="466"/>
      <c r="AP33" s="466">
        <f t="shared" si="133"/>
        <v>0</v>
      </c>
      <c r="AR33" s="310">
        <f t="shared" si="4"/>
        <v>0</v>
      </c>
    </row>
    <row r="34" spans="1:45" ht="13.5" hidden="1" thickTop="1" x14ac:dyDescent="0.2">
      <c r="A34" s="57">
        <v>19</v>
      </c>
      <c r="B34" s="37"/>
      <c r="C34" s="169"/>
      <c r="D34" s="170"/>
      <c r="E34" s="171" t="s">
        <v>20</v>
      </c>
      <c r="F34" s="171" t="s">
        <v>397</v>
      </c>
      <c r="G34" s="171"/>
      <c r="H34" s="314"/>
      <c r="I34" s="173">
        <f t="shared" si="125"/>
        <v>0</v>
      </c>
      <c r="J34" s="173">
        <f t="shared" si="125"/>
        <v>0</v>
      </c>
      <c r="K34" s="173">
        <f t="shared" si="126"/>
        <v>0</v>
      </c>
      <c r="L34" s="173">
        <f t="shared" si="127"/>
        <v>0</v>
      </c>
      <c r="M34" s="502">
        <f t="shared" si="128"/>
        <v>0</v>
      </c>
      <c r="N34" s="173"/>
      <c r="O34" s="173">
        <f t="shared" si="129"/>
        <v>0</v>
      </c>
      <c r="P34" s="173"/>
      <c r="Q34" s="173">
        <f t="shared" si="130"/>
        <v>0</v>
      </c>
      <c r="R34" s="158">
        <f t="shared" si="131"/>
        <v>0</v>
      </c>
      <c r="S34" s="12"/>
      <c r="T34" s="12"/>
      <c r="U34" s="12"/>
      <c r="V34" s="465"/>
      <c r="W34" s="466"/>
      <c r="X34" s="466"/>
      <c r="Y34" s="466"/>
      <c r="Z34" s="466"/>
      <c r="AA34" s="466">
        <f t="shared" si="14"/>
        <v>0</v>
      </c>
      <c r="AB34" s="466">
        <f t="shared" si="120"/>
        <v>0</v>
      </c>
      <c r="AC34" s="466">
        <f t="shared" si="121"/>
        <v>0</v>
      </c>
      <c r="AD34" s="466">
        <f t="shared" si="121"/>
        <v>0</v>
      </c>
      <c r="AE34" s="466">
        <f t="shared" si="132"/>
        <v>0</v>
      </c>
      <c r="AG34" s="465"/>
      <c r="AH34" s="466"/>
      <c r="AI34" s="466"/>
      <c r="AJ34" s="466"/>
      <c r="AK34" s="466"/>
      <c r="AL34" s="466">
        <f t="shared" si="122"/>
        <v>0</v>
      </c>
      <c r="AM34" s="466">
        <f t="shared" si="123"/>
        <v>0</v>
      </c>
      <c r="AN34" s="466">
        <f t="shared" si="124"/>
        <v>0</v>
      </c>
      <c r="AO34" s="466"/>
      <c r="AP34" s="466">
        <f t="shared" si="133"/>
        <v>0</v>
      </c>
      <c r="AR34" s="310">
        <f t="shared" si="4"/>
        <v>0</v>
      </c>
    </row>
    <row r="35" spans="1:45" ht="13.5" hidden="1" thickTop="1" x14ac:dyDescent="0.2">
      <c r="A35" s="57">
        <v>20</v>
      </c>
      <c r="B35" s="37"/>
      <c r="C35" s="169"/>
      <c r="D35" s="170"/>
      <c r="E35" s="171" t="s">
        <v>20</v>
      </c>
      <c r="F35" s="171" t="s">
        <v>397</v>
      </c>
      <c r="G35" s="171"/>
      <c r="H35" s="314"/>
      <c r="I35" s="173">
        <f t="shared" si="125"/>
        <v>0</v>
      </c>
      <c r="J35" s="173">
        <f t="shared" si="125"/>
        <v>0</v>
      </c>
      <c r="K35" s="173">
        <f t="shared" si="126"/>
        <v>0</v>
      </c>
      <c r="L35" s="173">
        <f t="shared" si="127"/>
        <v>0</v>
      </c>
      <c r="M35" s="502">
        <f t="shared" si="128"/>
        <v>0</v>
      </c>
      <c r="N35" s="173"/>
      <c r="O35" s="173">
        <f t="shared" si="129"/>
        <v>0</v>
      </c>
      <c r="P35" s="173"/>
      <c r="Q35" s="173">
        <f t="shared" si="130"/>
        <v>0</v>
      </c>
      <c r="R35" s="158">
        <f t="shared" si="131"/>
        <v>0</v>
      </c>
      <c r="S35" s="12"/>
      <c r="T35" s="12"/>
      <c r="U35" s="12"/>
      <c r="V35" s="465"/>
      <c r="W35" s="466"/>
      <c r="X35" s="466"/>
      <c r="Y35" s="466"/>
      <c r="Z35" s="466"/>
      <c r="AA35" s="466">
        <f t="shared" si="14"/>
        <v>0</v>
      </c>
      <c r="AB35" s="466">
        <f t="shared" si="120"/>
        <v>0</v>
      </c>
      <c r="AC35" s="466">
        <f t="shared" si="121"/>
        <v>0</v>
      </c>
      <c r="AD35" s="466">
        <f t="shared" si="121"/>
        <v>0</v>
      </c>
      <c r="AE35" s="466">
        <f t="shared" si="132"/>
        <v>0</v>
      </c>
      <c r="AG35" s="465"/>
      <c r="AH35" s="466"/>
      <c r="AI35" s="466"/>
      <c r="AJ35" s="466"/>
      <c r="AK35" s="466"/>
      <c r="AL35" s="466">
        <f t="shared" si="122"/>
        <v>0</v>
      </c>
      <c r="AM35" s="466">
        <f t="shared" si="123"/>
        <v>0</v>
      </c>
      <c r="AN35" s="466">
        <f t="shared" si="124"/>
        <v>0</v>
      </c>
      <c r="AO35" s="466"/>
      <c r="AP35" s="466">
        <f t="shared" si="133"/>
        <v>0</v>
      </c>
      <c r="AR35" s="310">
        <f t="shared" si="4"/>
        <v>0</v>
      </c>
    </row>
    <row r="36" spans="1:45" ht="14.25" hidden="1" thickTop="1" thickBot="1" x14ac:dyDescent="0.25">
      <c r="A36" s="60"/>
      <c r="B36" s="61" t="s">
        <v>398</v>
      </c>
      <c r="C36" s="175"/>
      <c r="D36" s="180">
        <f>SUM(D30:D35)</f>
        <v>0</v>
      </c>
      <c r="E36" s="177"/>
      <c r="F36" s="177"/>
      <c r="G36" s="177"/>
      <c r="H36" s="181">
        <f t="shared" ref="H36:R36" si="134">SUM(H30:H35)</f>
        <v>0</v>
      </c>
      <c r="I36" s="181">
        <f t="shared" si="134"/>
        <v>0</v>
      </c>
      <c r="J36" s="181">
        <f t="shared" ref="J36" si="135">SUM(J30:J35)</f>
        <v>0</v>
      </c>
      <c r="K36" s="181">
        <f t="shared" ref="K36" si="136">SUM(K30:K35)</f>
        <v>0</v>
      </c>
      <c r="L36" s="181">
        <f t="shared" si="134"/>
        <v>0</v>
      </c>
      <c r="M36" s="506">
        <f t="shared" si="134"/>
        <v>0</v>
      </c>
      <c r="N36" s="181">
        <f t="shared" si="134"/>
        <v>0</v>
      </c>
      <c r="O36" s="181">
        <f t="shared" si="134"/>
        <v>0</v>
      </c>
      <c r="P36" s="181">
        <f t="shared" si="134"/>
        <v>0</v>
      </c>
      <c r="Q36" s="181">
        <f t="shared" si="134"/>
        <v>0</v>
      </c>
      <c r="R36" s="160">
        <f t="shared" si="134"/>
        <v>0</v>
      </c>
      <c r="S36" s="12"/>
      <c r="T36" s="12"/>
      <c r="U36" s="12"/>
      <c r="V36" s="465"/>
      <c r="W36" s="467"/>
      <c r="X36" s="467"/>
      <c r="Y36" s="467"/>
      <c r="Z36" s="467"/>
      <c r="AA36" s="467">
        <f t="shared" si="14"/>
        <v>0</v>
      </c>
      <c r="AB36" s="467">
        <f t="shared" si="120"/>
        <v>0</v>
      </c>
      <c r="AC36" s="467">
        <f t="shared" si="121"/>
        <v>0</v>
      </c>
      <c r="AD36" s="467">
        <f t="shared" si="121"/>
        <v>0</v>
      </c>
      <c r="AE36" s="467">
        <f t="shared" ref="AE36" si="137">SUM(AE30:AE35)</f>
        <v>0</v>
      </c>
      <c r="AG36" s="465"/>
      <c r="AH36" s="467"/>
      <c r="AI36" s="467"/>
      <c r="AJ36" s="467"/>
      <c r="AK36" s="467"/>
      <c r="AL36" s="467">
        <f t="shared" si="122"/>
        <v>0</v>
      </c>
      <c r="AM36" s="467">
        <f t="shared" si="123"/>
        <v>0</v>
      </c>
      <c r="AN36" s="467">
        <f t="shared" si="124"/>
        <v>0</v>
      </c>
      <c r="AO36" s="467"/>
      <c r="AP36" s="467">
        <f t="shared" ref="AP36" si="138">SUM(AP30:AP35)</f>
        <v>0</v>
      </c>
      <c r="AR36" s="310">
        <f t="shared" si="4"/>
        <v>0</v>
      </c>
    </row>
    <row r="37" spans="1:45" ht="6.75" hidden="1" customHeight="1" thickTop="1" x14ac:dyDescent="0.2">
      <c r="A37" s="66"/>
      <c r="B37" s="67"/>
      <c r="C37" s="182"/>
      <c r="D37" s="183"/>
      <c r="E37" s="184"/>
      <c r="F37" s="184"/>
      <c r="G37" s="184"/>
      <c r="H37" s="316"/>
      <c r="I37" s="185"/>
      <c r="J37" s="185"/>
      <c r="K37" s="185"/>
      <c r="L37" s="185"/>
      <c r="M37" s="507"/>
      <c r="N37" s="185"/>
      <c r="O37" s="185"/>
      <c r="P37" s="185"/>
      <c r="Q37" s="185"/>
      <c r="R37" s="161"/>
      <c r="S37" s="12"/>
      <c r="T37" s="12"/>
      <c r="U37" s="12"/>
      <c r="V37" s="465"/>
      <c r="W37" s="468"/>
      <c r="X37" s="468"/>
      <c r="Y37" s="468"/>
      <c r="Z37" s="468"/>
      <c r="AA37" s="468">
        <f t="shared" si="14"/>
        <v>0</v>
      </c>
      <c r="AB37" s="468">
        <f t="shared" si="120"/>
        <v>0</v>
      </c>
      <c r="AC37" s="468">
        <f t="shared" si="121"/>
        <v>0</v>
      </c>
      <c r="AD37" s="468">
        <f t="shared" si="121"/>
        <v>0</v>
      </c>
      <c r="AE37" s="468"/>
      <c r="AG37" s="465"/>
      <c r="AH37" s="468"/>
      <c r="AI37" s="468"/>
      <c r="AJ37" s="468"/>
      <c r="AK37" s="468"/>
      <c r="AL37" s="468">
        <f t="shared" si="122"/>
        <v>0</v>
      </c>
      <c r="AM37" s="468">
        <f t="shared" si="123"/>
        <v>0</v>
      </c>
      <c r="AN37" s="468">
        <f t="shared" si="124"/>
        <v>0</v>
      </c>
      <c r="AO37" s="468"/>
      <c r="AP37" s="468"/>
      <c r="AR37" s="310">
        <f t="shared" si="4"/>
        <v>0</v>
      </c>
    </row>
    <row r="38" spans="1:45" s="59" customFormat="1" ht="14.25" thickTop="1" thickBot="1" x14ac:dyDescent="0.25">
      <c r="A38" s="68"/>
      <c r="B38" s="69" t="s">
        <v>614</v>
      </c>
      <c r="C38" s="186"/>
      <c r="D38" s="187">
        <f>+D19+D28</f>
        <v>16</v>
      </c>
      <c r="E38" s="188"/>
      <c r="F38" s="188"/>
      <c r="G38" s="188"/>
      <c r="H38" s="189">
        <f>+H36+H28+H19</f>
        <v>12500</v>
      </c>
      <c r="I38" s="189">
        <f t="shared" ref="I38:Q38" si="139">+I36+I28+I19</f>
        <v>150000</v>
      </c>
      <c r="J38" s="189">
        <f>+J36+J28+J19</f>
        <v>1500</v>
      </c>
      <c r="K38" s="189">
        <f t="shared" ref="K38" si="140">+K36+K28+K19</f>
        <v>450</v>
      </c>
      <c r="L38" s="189">
        <f>L28+L19</f>
        <v>12500</v>
      </c>
      <c r="M38" s="508">
        <f t="shared" si="139"/>
        <v>11625</v>
      </c>
      <c r="N38" s="189">
        <f t="shared" si="139"/>
        <v>0</v>
      </c>
      <c r="O38" s="189">
        <f t="shared" si="139"/>
        <v>8865</v>
      </c>
      <c r="P38" s="189">
        <f>P28+P19</f>
        <v>1182</v>
      </c>
      <c r="Q38" s="189">
        <f t="shared" si="139"/>
        <v>21672</v>
      </c>
      <c r="R38" s="71">
        <f>+R36+R28+R19</f>
        <v>186122</v>
      </c>
      <c r="S38" s="12"/>
      <c r="T38" s="12"/>
      <c r="U38" s="12"/>
      <c r="V38" s="463"/>
      <c r="W38" s="460">
        <f t="shared" ref="W38:AC38" si="141">W28+W19</f>
        <v>56650</v>
      </c>
      <c r="X38" s="460"/>
      <c r="Y38" s="460"/>
      <c r="Z38" s="460">
        <f t="shared" si="141"/>
        <v>3322.5</v>
      </c>
      <c r="AA38" s="460">
        <f t="shared" si="141"/>
        <v>0</v>
      </c>
      <c r="AB38" s="460">
        <f t="shared" si="141"/>
        <v>4390.3900000000003</v>
      </c>
      <c r="AC38" s="460">
        <f t="shared" si="141"/>
        <v>443</v>
      </c>
      <c r="AD38" s="460">
        <f t="shared" ref="AD38" si="142">AD28+AD19</f>
        <v>12500</v>
      </c>
      <c r="AE38" s="460">
        <f t="shared" ref="AE38" si="143">+AE36+AE28+AE19</f>
        <v>77305.89</v>
      </c>
      <c r="AG38" s="463"/>
      <c r="AH38" s="460">
        <f t="shared" ref="AH38:AN38" si="144">AH28+AH19</f>
        <v>93350</v>
      </c>
      <c r="AI38" s="460">
        <f t="shared" ref="AI38" si="145">AI28+AI19</f>
        <v>1500</v>
      </c>
      <c r="AJ38" s="460"/>
      <c r="AK38" s="460">
        <f t="shared" si="144"/>
        <v>5542.5</v>
      </c>
      <c r="AL38" s="460">
        <f t="shared" si="144"/>
        <v>0</v>
      </c>
      <c r="AM38" s="460">
        <f t="shared" si="144"/>
        <v>7234.64</v>
      </c>
      <c r="AN38" s="460">
        <f t="shared" si="144"/>
        <v>739</v>
      </c>
      <c r="AO38" s="460"/>
      <c r="AP38" s="460">
        <f t="shared" ref="AP38" si="146">+AP36+AP28+AP19</f>
        <v>108816.13999999998</v>
      </c>
      <c r="AR38" s="310">
        <f t="shared" si="4"/>
        <v>3.0000000000654836E-2</v>
      </c>
      <c r="AS38"/>
    </row>
    <row r="39" spans="1:45" s="59" customFormat="1" hidden="1" x14ac:dyDescent="0.2">
      <c r="A39" s="57"/>
      <c r="B39" s="37"/>
      <c r="C39" s="169"/>
      <c r="D39" s="170"/>
      <c r="E39" s="171"/>
      <c r="F39" s="171"/>
      <c r="G39" s="171"/>
      <c r="H39" s="314"/>
      <c r="I39" s="173"/>
      <c r="J39" s="173"/>
      <c r="K39" s="173"/>
      <c r="L39" s="173"/>
      <c r="M39" s="512"/>
      <c r="N39" s="173"/>
      <c r="O39" s="173"/>
      <c r="P39" s="173"/>
      <c r="Q39" s="173"/>
      <c r="R39" s="158"/>
      <c r="S39" s="12"/>
      <c r="T39" s="12"/>
      <c r="U39" s="12"/>
      <c r="V39" s="453"/>
      <c r="W39" s="19"/>
      <c r="X39" s="19"/>
      <c r="Y39" s="19"/>
      <c r="Z39" s="19"/>
      <c r="AA39" s="19">
        <f t="shared" si="14"/>
        <v>0</v>
      </c>
      <c r="AB39" s="19">
        <f t="shared" si="120"/>
        <v>0</v>
      </c>
      <c r="AC39" s="19">
        <f t="shared" si="121"/>
        <v>0</v>
      </c>
      <c r="AD39" s="19"/>
      <c r="AE39" s="251"/>
      <c r="AG39" s="453"/>
      <c r="AH39" s="19"/>
      <c r="AI39" s="19"/>
      <c r="AJ39" s="19"/>
      <c r="AK39" s="19"/>
      <c r="AL39" s="19">
        <f t="shared" ref="AL39:AL52" si="147">(Z39/12)*AG39</f>
        <v>0</v>
      </c>
      <c r="AM39" s="19">
        <f t="shared" ref="AM39:AM52" si="148">(W39/12)*AG39</f>
        <v>0</v>
      </c>
      <c r="AN39" s="19">
        <f t="shared" ref="AN39:AN52" si="149">(AB39/12)*AG39</f>
        <v>0</v>
      </c>
      <c r="AO39" s="19"/>
      <c r="AP39" s="251"/>
      <c r="AR39" s="310">
        <f t="shared" si="4"/>
        <v>0</v>
      </c>
      <c r="AS39"/>
    </row>
    <row r="40" spans="1:45" s="59" customFormat="1" hidden="1" x14ac:dyDescent="0.2">
      <c r="A40" s="57">
        <v>30</v>
      </c>
      <c r="B40" s="37" t="s">
        <v>399</v>
      </c>
      <c r="C40" s="169" t="s">
        <v>400</v>
      </c>
      <c r="D40" s="170">
        <v>1</v>
      </c>
      <c r="E40" s="171" t="s">
        <v>21</v>
      </c>
      <c r="F40" s="171" t="s">
        <v>401</v>
      </c>
      <c r="G40" s="171"/>
      <c r="H40" s="314">
        <v>0</v>
      </c>
      <c r="I40" s="173">
        <f>+H40*12*D40</f>
        <v>0</v>
      </c>
      <c r="J40" s="173"/>
      <c r="K40" s="173"/>
      <c r="L40" s="173">
        <f>+H40*D40</f>
        <v>0</v>
      </c>
      <c r="M40" s="502">
        <f>+I40*$M$10</f>
        <v>0</v>
      </c>
      <c r="N40" s="173"/>
      <c r="O40" s="173">
        <f>IF(H40&gt;685.71,685.71*$O$10*12,H40*$O$10*12)</f>
        <v>0</v>
      </c>
      <c r="P40" s="173"/>
      <c r="Q40" s="173">
        <f>SUM(N40:P40)</f>
        <v>0</v>
      </c>
      <c r="R40" s="158">
        <f>SUM(I40:P40)</f>
        <v>0</v>
      </c>
      <c r="S40" s="12"/>
      <c r="T40" s="12"/>
      <c r="U40" s="12"/>
      <c r="V40" s="453"/>
      <c r="W40" s="19"/>
      <c r="X40" s="19"/>
      <c r="Y40" s="19"/>
      <c r="Z40" s="19"/>
      <c r="AA40" s="19">
        <f t="shared" si="14"/>
        <v>0</v>
      </c>
      <c r="AB40" s="19">
        <f t="shared" si="120"/>
        <v>0</v>
      </c>
      <c r="AC40" s="19">
        <f t="shared" si="121"/>
        <v>0</v>
      </c>
      <c r="AD40" s="19"/>
      <c r="AE40" s="251">
        <f>SUM(Q40:AB40)</f>
        <v>0</v>
      </c>
      <c r="AG40" s="453"/>
      <c r="AH40" s="19"/>
      <c r="AI40" s="19"/>
      <c r="AJ40" s="19"/>
      <c r="AK40" s="19"/>
      <c r="AL40" s="19">
        <f t="shared" si="147"/>
        <v>0</v>
      </c>
      <c r="AM40" s="19">
        <f t="shared" si="148"/>
        <v>0</v>
      </c>
      <c r="AN40" s="19">
        <f t="shared" si="149"/>
        <v>0</v>
      </c>
      <c r="AO40" s="19"/>
      <c r="AP40" s="251">
        <f>SUM(AC40:AM40)</f>
        <v>0</v>
      </c>
      <c r="AR40" s="310">
        <f t="shared" si="4"/>
        <v>0</v>
      </c>
      <c r="AS40"/>
    </row>
    <row r="41" spans="1:45" s="59" customFormat="1" hidden="1" x14ac:dyDescent="0.2">
      <c r="A41" s="57">
        <v>31</v>
      </c>
      <c r="B41" s="37" t="s">
        <v>402</v>
      </c>
      <c r="C41" s="169" t="s">
        <v>400</v>
      </c>
      <c r="D41" s="170"/>
      <c r="E41" s="171" t="s">
        <v>21</v>
      </c>
      <c r="F41" s="171" t="s">
        <v>401</v>
      </c>
      <c r="G41" s="171"/>
      <c r="H41" s="314">
        <v>0</v>
      </c>
      <c r="I41" s="173">
        <f>+H41*12*D41</f>
        <v>0</v>
      </c>
      <c r="J41" s="173"/>
      <c r="K41" s="173"/>
      <c r="L41" s="173">
        <f>+H41*D41</f>
        <v>0</v>
      </c>
      <c r="M41" s="502">
        <f>+I41*$M$10</f>
        <v>0</v>
      </c>
      <c r="N41" s="174"/>
      <c r="O41" s="173">
        <f>IF(H41&gt;685.71,685.71*$O$10*12,H41*$O$10*12)</f>
        <v>0</v>
      </c>
      <c r="P41" s="173"/>
      <c r="Q41" s="173">
        <f>SUM(N41:P41)</f>
        <v>0</v>
      </c>
      <c r="R41" s="158">
        <f>SUM(I41:P41)</f>
        <v>0</v>
      </c>
      <c r="S41" s="12"/>
      <c r="T41" s="12"/>
      <c r="U41" s="12"/>
      <c r="V41" s="453"/>
      <c r="W41" s="19"/>
      <c r="X41" s="19"/>
      <c r="Y41" s="19"/>
      <c r="Z41" s="19"/>
      <c r="AA41" s="19">
        <f t="shared" si="14"/>
        <v>0</v>
      </c>
      <c r="AB41" s="19">
        <f t="shared" si="120"/>
        <v>0</v>
      </c>
      <c r="AC41" s="19">
        <f t="shared" si="121"/>
        <v>0</v>
      </c>
      <c r="AD41" s="19"/>
      <c r="AE41" s="251">
        <f>SUM(Q41:AB41)</f>
        <v>0</v>
      </c>
      <c r="AG41" s="453"/>
      <c r="AH41" s="19"/>
      <c r="AI41" s="19"/>
      <c r="AJ41" s="19"/>
      <c r="AK41" s="19"/>
      <c r="AL41" s="19">
        <f t="shared" si="147"/>
        <v>0</v>
      </c>
      <c r="AM41" s="19">
        <f t="shared" si="148"/>
        <v>0</v>
      </c>
      <c r="AN41" s="19">
        <f t="shared" si="149"/>
        <v>0</v>
      </c>
      <c r="AO41" s="19"/>
      <c r="AP41" s="251">
        <f>SUM(AC41:AM41)</f>
        <v>0</v>
      </c>
      <c r="AR41" s="310">
        <f t="shared" si="4"/>
        <v>0</v>
      </c>
      <c r="AS41"/>
    </row>
    <row r="42" spans="1:45" s="59" customFormat="1" hidden="1" x14ac:dyDescent="0.2">
      <c r="A42" s="57">
        <v>32</v>
      </c>
      <c r="B42" s="37" t="s">
        <v>403</v>
      </c>
      <c r="C42" s="169" t="s">
        <v>400</v>
      </c>
      <c r="D42" s="170"/>
      <c r="E42" s="171" t="s">
        <v>21</v>
      </c>
      <c r="F42" s="171" t="s">
        <v>401</v>
      </c>
      <c r="G42" s="171"/>
      <c r="H42" s="314">
        <v>0</v>
      </c>
      <c r="I42" s="173">
        <f>+H42*12*D42</f>
        <v>0</v>
      </c>
      <c r="J42" s="173"/>
      <c r="K42" s="173"/>
      <c r="L42" s="173">
        <f>+H42*D42</f>
        <v>0</v>
      </c>
      <c r="M42" s="502">
        <f>+I42*$M$10</f>
        <v>0</v>
      </c>
      <c r="N42" s="174"/>
      <c r="O42" s="173">
        <f>IF(H42&gt;685.71,685.71*$O$10*12,H42*$O$10*12)</f>
        <v>0</v>
      </c>
      <c r="P42" s="173"/>
      <c r="Q42" s="173">
        <f>SUM(N42:P42)</f>
        <v>0</v>
      </c>
      <c r="R42" s="158">
        <f>SUM(I42:P42)</f>
        <v>0</v>
      </c>
      <c r="S42" s="12"/>
      <c r="T42" s="12"/>
      <c r="U42" s="12"/>
      <c r="V42" s="453"/>
      <c r="W42" s="19"/>
      <c r="X42" s="19"/>
      <c r="Y42" s="19"/>
      <c r="Z42" s="19"/>
      <c r="AA42" s="19">
        <f t="shared" si="14"/>
        <v>0</v>
      </c>
      <c r="AB42" s="19">
        <f t="shared" si="120"/>
        <v>0</v>
      </c>
      <c r="AC42" s="19">
        <f t="shared" si="121"/>
        <v>0</v>
      </c>
      <c r="AD42" s="19"/>
      <c r="AE42" s="251">
        <f>SUM(Q42:AB42)</f>
        <v>0</v>
      </c>
      <c r="AG42" s="453"/>
      <c r="AH42" s="19"/>
      <c r="AI42" s="19"/>
      <c r="AJ42" s="19"/>
      <c r="AK42" s="19"/>
      <c r="AL42" s="19">
        <f t="shared" si="147"/>
        <v>0</v>
      </c>
      <c r="AM42" s="19">
        <f t="shared" si="148"/>
        <v>0</v>
      </c>
      <c r="AN42" s="19">
        <f t="shared" si="149"/>
        <v>0</v>
      </c>
      <c r="AO42" s="19"/>
      <c r="AP42" s="251">
        <f>SUM(AC42:AM42)</f>
        <v>0</v>
      </c>
      <c r="AR42" s="310">
        <f t="shared" si="4"/>
        <v>0</v>
      </c>
      <c r="AS42"/>
    </row>
    <row r="43" spans="1:45" s="59" customFormat="1" hidden="1" x14ac:dyDescent="0.2">
      <c r="A43" s="57">
        <v>33</v>
      </c>
      <c r="B43" s="37" t="s">
        <v>404</v>
      </c>
      <c r="C43" s="169" t="s">
        <v>400</v>
      </c>
      <c r="D43" s="170"/>
      <c r="E43" s="171" t="s">
        <v>21</v>
      </c>
      <c r="F43" s="171" t="s">
        <v>401</v>
      </c>
      <c r="G43" s="171"/>
      <c r="H43" s="314">
        <v>0</v>
      </c>
      <c r="I43" s="173">
        <f>+H43*12*D43</f>
        <v>0</v>
      </c>
      <c r="J43" s="173"/>
      <c r="K43" s="173"/>
      <c r="L43" s="173">
        <f>+H43*D43</f>
        <v>0</v>
      </c>
      <c r="M43" s="502">
        <f>+I43*$M$10</f>
        <v>0</v>
      </c>
      <c r="N43" s="174"/>
      <c r="O43" s="173">
        <f>IF(H43&gt;685.71,685.71*$O$10*12,H43*$O$10*12)</f>
        <v>0</v>
      </c>
      <c r="P43" s="173"/>
      <c r="Q43" s="173">
        <f>SUM(N43:P43)</f>
        <v>0</v>
      </c>
      <c r="R43" s="158">
        <f>SUM(I43:P43)</f>
        <v>0</v>
      </c>
      <c r="S43" s="12"/>
      <c r="T43" s="12"/>
      <c r="U43" s="12"/>
      <c r="V43" s="453"/>
      <c r="W43" s="19"/>
      <c r="X43" s="19"/>
      <c r="Y43" s="19"/>
      <c r="Z43" s="19"/>
      <c r="AA43" s="19">
        <f t="shared" si="14"/>
        <v>0</v>
      </c>
      <c r="AB43" s="19">
        <f t="shared" si="120"/>
        <v>0</v>
      </c>
      <c r="AC43" s="19">
        <f t="shared" si="121"/>
        <v>0</v>
      </c>
      <c r="AD43" s="19"/>
      <c r="AE43" s="251">
        <f>SUM(Q43:AB43)</f>
        <v>0</v>
      </c>
      <c r="AG43" s="453"/>
      <c r="AH43" s="19"/>
      <c r="AI43" s="19"/>
      <c r="AJ43" s="19"/>
      <c r="AK43" s="19"/>
      <c r="AL43" s="19">
        <f t="shared" si="147"/>
        <v>0</v>
      </c>
      <c r="AM43" s="19">
        <f t="shared" si="148"/>
        <v>0</v>
      </c>
      <c r="AN43" s="19">
        <f t="shared" si="149"/>
        <v>0</v>
      </c>
      <c r="AO43" s="19"/>
      <c r="AP43" s="251">
        <f>SUM(AC43:AM43)</f>
        <v>0</v>
      </c>
      <c r="AR43" s="310">
        <f t="shared" si="4"/>
        <v>0</v>
      </c>
      <c r="AS43"/>
    </row>
    <row r="44" spans="1:45" s="59" customFormat="1" ht="13.5" hidden="1" thickBot="1" x14ac:dyDescent="0.25">
      <c r="A44" s="60"/>
      <c r="B44" s="61" t="s">
        <v>405</v>
      </c>
      <c r="C44" s="175"/>
      <c r="D44" s="180">
        <f>SUM(D40:D43)</f>
        <v>1</v>
      </c>
      <c r="E44" s="177"/>
      <c r="F44" s="177"/>
      <c r="G44" s="177"/>
      <c r="H44" s="181">
        <f t="shared" ref="H44:R44" si="150">SUM(H40:H43)</f>
        <v>0</v>
      </c>
      <c r="I44" s="181">
        <f t="shared" si="150"/>
        <v>0</v>
      </c>
      <c r="J44" s="181"/>
      <c r="K44" s="181"/>
      <c r="L44" s="181">
        <f t="shared" si="150"/>
        <v>0</v>
      </c>
      <c r="M44" s="506">
        <f t="shared" si="150"/>
        <v>0</v>
      </c>
      <c r="N44" s="181">
        <f t="shared" si="150"/>
        <v>0</v>
      </c>
      <c r="O44" s="181">
        <f t="shared" si="150"/>
        <v>0</v>
      </c>
      <c r="P44" s="181">
        <f t="shared" si="150"/>
        <v>0</v>
      </c>
      <c r="Q44" s="181">
        <f t="shared" si="150"/>
        <v>0</v>
      </c>
      <c r="R44" s="162">
        <f t="shared" si="150"/>
        <v>0</v>
      </c>
      <c r="S44" s="12"/>
      <c r="T44" s="12"/>
      <c r="U44" s="12"/>
      <c r="V44" s="453"/>
      <c r="W44" s="19"/>
      <c r="X44" s="19"/>
      <c r="Y44" s="19"/>
      <c r="Z44" s="19"/>
      <c r="AA44" s="19">
        <f t="shared" si="14"/>
        <v>0</v>
      </c>
      <c r="AB44" s="19">
        <f t="shared" si="120"/>
        <v>0</v>
      </c>
      <c r="AC44" s="19">
        <f t="shared" si="121"/>
        <v>0</v>
      </c>
      <c r="AD44" s="19"/>
      <c r="AE44" s="251">
        <f t="shared" ref="AE44" si="151">SUM(AE40:AE43)</f>
        <v>0</v>
      </c>
      <c r="AG44" s="453"/>
      <c r="AH44" s="19"/>
      <c r="AI44" s="19"/>
      <c r="AJ44" s="19"/>
      <c r="AK44" s="19"/>
      <c r="AL44" s="19">
        <f t="shared" si="147"/>
        <v>0</v>
      </c>
      <c r="AM44" s="19">
        <f t="shared" si="148"/>
        <v>0</v>
      </c>
      <c r="AN44" s="19">
        <f t="shared" si="149"/>
        <v>0</v>
      </c>
      <c r="AO44" s="19"/>
      <c r="AP44" s="251">
        <f t="shared" ref="AP44" si="152">SUM(AP40:AP43)</f>
        <v>0</v>
      </c>
      <c r="AR44" s="310">
        <f t="shared" si="4"/>
        <v>0</v>
      </c>
      <c r="AS44"/>
    </row>
    <row r="45" spans="1:45" s="59" customFormat="1" hidden="1" x14ac:dyDescent="0.2">
      <c r="A45" s="57"/>
      <c r="B45" s="37"/>
      <c r="C45" s="169"/>
      <c r="D45" s="170"/>
      <c r="E45" s="171"/>
      <c r="F45" s="171"/>
      <c r="G45" s="171"/>
      <c r="H45" s="314"/>
      <c r="I45" s="173"/>
      <c r="J45" s="173"/>
      <c r="K45" s="173"/>
      <c r="L45" s="173"/>
      <c r="M45" s="502"/>
      <c r="N45" s="174"/>
      <c r="O45" s="173"/>
      <c r="P45" s="173"/>
      <c r="Q45" s="173"/>
      <c r="R45" s="158"/>
      <c r="S45" s="12"/>
      <c r="T45" s="12"/>
      <c r="U45" s="12"/>
      <c r="V45" s="453"/>
      <c r="W45" s="19"/>
      <c r="X45" s="19"/>
      <c r="Y45" s="19"/>
      <c r="Z45" s="19"/>
      <c r="AA45" s="19">
        <f t="shared" si="14"/>
        <v>0</v>
      </c>
      <c r="AB45" s="19">
        <f t="shared" si="120"/>
        <v>0</v>
      </c>
      <c r="AC45" s="19">
        <f t="shared" si="121"/>
        <v>0</v>
      </c>
      <c r="AD45" s="19"/>
      <c r="AE45" s="251"/>
      <c r="AG45" s="453"/>
      <c r="AH45" s="19"/>
      <c r="AI45" s="19"/>
      <c r="AJ45" s="19"/>
      <c r="AK45" s="19"/>
      <c r="AL45" s="19">
        <f t="shared" si="147"/>
        <v>0</v>
      </c>
      <c r="AM45" s="19">
        <f t="shared" si="148"/>
        <v>0</v>
      </c>
      <c r="AN45" s="19">
        <f t="shared" si="149"/>
        <v>0</v>
      </c>
      <c r="AO45" s="19"/>
      <c r="AP45" s="251"/>
      <c r="AR45" s="310">
        <f t="shared" si="4"/>
        <v>0</v>
      </c>
      <c r="AS45"/>
    </row>
    <row r="46" spans="1:45" s="59" customFormat="1" hidden="1" x14ac:dyDescent="0.2">
      <c r="A46" s="57">
        <v>34</v>
      </c>
      <c r="B46" s="37" t="s">
        <v>406</v>
      </c>
      <c r="C46" s="169" t="s">
        <v>407</v>
      </c>
      <c r="D46" s="170">
        <v>1</v>
      </c>
      <c r="E46" s="171" t="s">
        <v>21</v>
      </c>
      <c r="F46" s="171" t="s">
        <v>408</v>
      </c>
      <c r="G46" s="171"/>
      <c r="H46" s="314">
        <v>0</v>
      </c>
      <c r="I46" s="173">
        <f>+H46*12*D46</f>
        <v>0</v>
      </c>
      <c r="J46" s="173"/>
      <c r="K46" s="173"/>
      <c r="L46" s="173">
        <f>+H46*D46</f>
        <v>0</v>
      </c>
      <c r="M46" s="502">
        <f>+I46*$M$10</f>
        <v>0</v>
      </c>
      <c r="N46" s="174"/>
      <c r="O46" s="173">
        <f>IF(H46&gt;685.71,685.71*$O$10*12,H46*$O$10*12)</f>
        <v>0</v>
      </c>
      <c r="P46" s="173"/>
      <c r="Q46" s="173">
        <f>SUM(N46:P46)</f>
        <v>0</v>
      </c>
      <c r="R46" s="158">
        <f>SUM(I46:P46)</f>
        <v>0</v>
      </c>
      <c r="S46" s="12"/>
      <c r="T46" s="12"/>
      <c r="U46" s="12"/>
      <c r="V46" s="453"/>
      <c r="W46" s="19"/>
      <c r="X46" s="19"/>
      <c r="Y46" s="19"/>
      <c r="Z46" s="19"/>
      <c r="AA46" s="19">
        <f t="shared" si="14"/>
        <v>0</v>
      </c>
      <c r="AB46" s="19">
        <f t="shared" si="120"/>
        <v>0</v>
      </c>
      <c r="AC46" s="19">
        <f t="shared" si="121"/>
        <v>0</v>
      </c>
      <c r="AD46" s="19"/>
      <c r="AE46" s="251">
        <f>SUM(Q46:AB46)</f>
        <v>0</v>
      </c>
      <c r="AG46" s="453"/>
      <c r="AH46" s="19"/>
      <c r="AI46" s="19"/>
      <c r="AJ46" s="19"/>
      <c r="AK46" s="19"/>
      <c r="AL46" s="19">
        <f t="shared" si="147"/>
        <v>0</v>
      </c>
      <c r="AM46" s="19">
        <f t="shared" si="148"/>
        <v>0</v>
      </c>
      <c r="AN46" s="19">
        <f t="shared" si="149"/>
        <v>0</v>
      </c>
      <c r="AO46" s="19"/>
      <c r="AP46" s="251">
        <f>SUM(AC46:AM46)</f>
        <v>0</v>
      </c>
      <c r="AR46" s="310">
        <f t="shared" ref="AR46:AR69" si="153">AB46+AM46-M46</f>
        <v>0</v>
      </c>
      <c r="AS46"/>
    </row>
    <row r="47" spans="1:45" s="59" customFormat="1" hidden="1" x14ac:dyDescent="0.2">
      <c r="A47" s="57">
        <v>35</v>
      </c>
      <c r="B47" s="37" t="s">
        <v>409</v>
      </c>
      <c r="C47" s="169" t="s">
        <v>407</v>
      </c>
      <c r="D47" s="170"/>
      <c r="E47" s="171" t="s">
        <v>21</v>
      </c>
      <c r="F47" s="171" t="s">
        <v>408</v>
      </c>
      <c r="G47" s="171"/>
      <c r="H47" s="314">
        <v>0</v>
      </c>
      <c r="I47" s="173">
        <f>+H47*12*D47</f>
        <v>0</v>
      </c>
      <c r="J47" s="173"/>
      <c r="K47" s="173"/>
      <c r="L47" s="173">
        <f>+H47*D47</f>
        <v>0</v>
      </c>
      <c r="M47" s="502">
        <f>+I47*$M$10</f>
        <v>0</v>
      </c>
      <c r="N47" s="174"/>
      <c r="O47" s="173">
        <f>IF(H47&gt;685.71,685.71*$O$10*12,H47*$O$10*12)</f>
        <v>0</v>
      </c>
      <c r="P47" s="173"/>
      <c r="Q47" s="173">
        <f>SUM(N47:P47)</f>
        <v>0</v>
      </c>
      <c r="R47" s="158">
        <f>SUM(I47:P47)</f>
        <v>0</v>
      </c>
      <c r="S47" s="12"/>
      <c r="T47" s="12"/>
      <c r="U47" s="12"/>
      <c r="V47" s="453"/>
      <c r="W47" s="19"/>
      <c r="X47" s="19"/>
      <c r="Y47" s="19"/>
      <c r="Z47" s="19"/>
      <c r="AA47" s="19">
        <f t="shared" si="14"/>
        <v>0</v>
      </c>
      <c r="AB47" s="19">
        <f t="shared" si="120"/>
        <v>0</v>
      </c>
      <c r="AC47" s="19">
        <f t="shared" si="121"/>
        <v>0</v>
      </c>
      <c r="AD47" s="19"/>
      <c r="AE47" s="251">
        <f>SUM(Q47:AB47)</f>
        <v>0</v>
      </c>
      <c r="AG47" s="453"/>
      <c r="AH47" s="19"/>
      <c r="AI47" s="19"/>
      <c r="AJ47" s="19"/>
      <c r="AK47" s="19"/>
      <c r="AL47" s="19">
        <f t="shared" si="147"/>
        <v>0</v>
      </c>
      <c r="AM47" s="19">
        <f t="shared" si="148"/>
        <v>0</v>
      </c>
      <c r="AN47" s="19">
        <f t="shared" si="149"/>
        <v>0</v>
      </c>
      <c r="AO47" s="19"/>
      <c r="AP47" s="251">
        <f>SUM(AC47:AM47)</f>
        <v>0</v>
      </c>
      <c r="AR47" s="310">
        <f t="shared" si="153"/>
        <v>0</v>
      </c>
      <c r="AS47"/>
    </row>
    <row r="48" spans="1:45" s="59" customFormat="1" ht="13.5" hidden="1" thickBot="1" x14ac:dyDescent="0.25">
      <c r="A48" s="60"/>
      <c r="B48" s="61" t="s">
        <v>410</v>
      </c>
      <c r="C48" s="175"/>
      <c r="D48" s="180">
        <f>SUM(D46:D47)</f>
        <v>1</v>
      </c>
      <c r="E48" s="177"/>
      <c r="F48" s="177"/>
      <c r="G48" s="177"/>
      <c r="H48" s="181">
        <f t="shared" ref="H48:R48" si="154">SUM(H46:H47)</f>
        <v>0</v>
      </c>
      <c r="I48" s="181">
        <f t="shared" si="154"/>
        <v>0</v>
      </c>
      <c r="J48" s="181"/>
      <c r="K48" s="181"/>
      <c r="L48" s="181">
        <f t="shared" si="154"/>
        <v>0</v>
      </c>
      <c r="M48" s="506">
        <f t="shared" si="154"/>
        <v>0</v>
      </c>
      <c r="N48" s="181">
        <f t="shared" si="154"/>
        <v>0</v>
      </c>
      <c r="O48" s="181">
        <f t="shared" si="154"/>
        <v>0</v>
      </c>
      <c r="P48" s="181">
        <f t="shared" si="154"/>
        <v>0</v>
      </c>
      <c r="Q48" s="181">
        <f t="shared" si="154"/>
        <v>0</v>
      </c>
      <c r="R48" s="162">
        <f t="shared" si="154"/>
        <v>0</v>
      </c>
      <c r="S48" s="12"/>
      <c r="T48" s="12"/>
      <c r="U48" s="12"/>
      <c r="V48" s="453"/>
      <c r="W48" s="19"/>
      <c r="X48" s="19"/>
      <c r="Y48" s="19"/>
      <c r="Z48" s="19"/>
      <c r="AA48" s="19">
        <f t="shared" si="14"/>
        <v>0</v>
      </c>
      <c r="AB48" s="19">
        <f t="shared" si="120"/>
        <v>0</v>
      </c>
      <c r="AC48" s="19">
        <f t="shared" si="121"/>
        <v>0</v>
      </c>
      <c r="AD48" s="19"/>
      <c r="AE48" s="251">
        <f t="shared" ref="AE48" si="155">SUM(AE46:AE47)</f>
        <v>0</v>
      </c>
      <c r="AG48" s="453"/>
      <c r="AH48" s="19"/>
      <c r="AI48" s="19"/>
      <c r="AJ48" s="19"/>
      <c r="AK48" s="19"/>
      <c r="AL48" s="19">
        <f t="shared" si="147"/>
        <v>0</v>
      </c>
      <c r="AM48" s="19">
        <f t="shared" si="148"/>
        <v>0</v>
      </c>
      <c r="AN48" s="19">
        <f t="shared" si="149"/>
        <v>0</v>
      </c>
      <c r="AO48" s="19"/>
      <c r="AP48" s="251">
        <f t="shared" ref="AP48" si="156">SUM(AP46:AP47)</f>
        <v>0</v>
      </c>
      <c r="AR48" s="310">
        <f t="shared" si="153"/>
        <v>0</v>
      </c>
      <c r="AS48"/>
    </row>
    <row r="49" spans="1:45" s="59" customFormat="1" hidden="1" x14ac:dyDescent="0.2">
      <c r="A49" s="57"/>
      <c r="B49" s="37"/>
      <c r="C49" s="169"/>
      <c r="D49" s="170"/>
      <c r="E49" s="171"/>
      <c r="F49" s="171"/>
      <c r="G49" s="171"/>
      <c r="H49" s="314"/>
      <c r="I49" s="173"/>
      <c r="J49" s="173"/>
      <c r="K49" s="173"/>
      <c r="L49" s="173"/>
      <c r="M49" s="502"/>
      <c r="N49" s="174"/>
      <c r="O49" s="173"/>
      <c r="P49" s="173"/>
      <c r="Q49" s="173"/>
      <c r="R49" s="158"/>
      <c r="S49" s="12"/>
      <c r="T49" s="12"/>
      <c r="U49" s="12"/>
      <c r="V49" s="453"/>
      <c r="W49" s="19"/>
      <c r="X49" s="19"/>
      <c r="Y49" s="19"/>
      <c r="Z49" s="19"/>
      <c r="AA49" s="19">
        <f t="shared" si="14"/>
        <v>0</v>
      </c>
      <c r="AB49" s="19">
        <f t="shared" si="120"/>
        <v>0</v>
      </c>
      <c r="AC49" s="19">
        <f t="shared" si="121"/>
        <v>0</v>
      </c>
      <c r="AD49" s="19"/>
      <c r="AE49" s="251"/>
      <c r="AG49" s="453"/>
      <c r="AH49" s="19"/>
      <c r="AI49" s="19"/>
      <c r="AJ49" s="19"/>
      <c r="AK49" s="19"/>
      <c r="AL49" s="19">
        <f t="shared" si="147"/>
        <v>0</v>
      </c>
      <c r="AM49" s="19">
        <f t="shared" si="148"/>
        <v>0</v>
      </c>
      <c r="AN49" s="19">
        <f t="shared" si="149"/>
        <v>0</v>
      </c>
      <c r="AO49" s="19"/>
      <c r="AP49" s="251"/>
      <c r="AR49" s="310">
        <f t="shared" si="153"/>
        <v>0</v>
      </c>
      <c r="AS49"/>
    </row>
    <row r="50" spans="1:45" s="59" customFormat="1" hidden="1" x14ac:dyDescent="0.2">
      <c r="A50" s="57">
        <v>36</v>
      </c>
      <c r="B50" s="37" t="s">
        <v>411</v>
      </c>
      <c r="C50" s="169" t="s">
        <v>412</v>
      </c>
      <c r="D50" s="170">
        <v>1</v>
      </c>
      <c r="E50" s="171" t="s">
        <v>21</v>
      </c>
      <c r="F50" s="171" t="s">
        <v>413</v>
      </c>
      <c r="G50" s="171"/>
      <c r="H50" s="314">
        <v>0</v>
      </c>
      <c r="I50" s="173">
        <f>+H50*12*D50</f>
        <v>0</v>
      </c>
      <c r="J50" s="173"/>
      <c r="K50" s="173"/>
      <c r="L50" s="173">
        <f>+H50*D50</f>
        <v>0</v>
      </c>
      <c r="M50" s="502">
        <f>+I50*$M$10</f>
        <v>0</v>
      </c>
      <c r="N50" s="174"/>
      <c r="O50" s="173">
        <f>IF(H50&gt;685.71,685.71*$O$10*12,H50*$O$10*12)</f>
        <v>0</v>
      </c>
      <c r="P50" s="173"/>
      <c r="Q50" s="173">
        <f>SUM(N50:P50)</f>
        <v>0</v>
      </c>
      <c r="R50" s="158">
        <f>SUM(I50:P50)</f>
        <v>0</v>
      </c>
      <c r="S50" s="12"/>
      <c r="T50" s="12"/>
      <c r="U50" s="12"/>
      <c r="V50" s="453"/>
      <c r="W50" s="19"/>
      <c r="X50" s="19"/>
      <c r="Y50" s="19"/>
      <c r="Z50" s="19"/>
      <c r="AA50" s="19">
        <f t="shared" si="14"/>
        <v>0</v>
      </c>
      <c r="AB50" s="19">
        <f t="shared" si="120"/>
        <v>0</v>
      </c>
      <c r="AC50" s="19">
        <f t="shared" si="121"/>
        <v>0</v>
      </c>
      <c r="AD50" s="19"/>
      <c r="AE50" s="251">
        <f>SUM(Q50:AB50)</f>
        <v>0</v>
      </c>
      <c r="AG50" s="453"/>
      <c r="AH50" s="19"/>
      <c r="AI50" s="19"/>
      <c r="AJ50" s="19"/>
      <c r="AK50" s="19"/>
      <c r="AL50" s="19">
        <f t="shared" si="147"/>
        <v>0</v>
      </c>
      <c r="AM50" s="19">
        <f t="shared" si="148"/>
        <v>0</v>
      </c>
      <c r="AN50" s="19">
        <f t="shared" si="149"/>
        <v>0</v>
      </c>
      <c r="AO50" s="19"/>
      <c r="AP50" s="251">
        <f>SUM(AC50:AM50)</f>
        <v>0</v>
      </c>
      <c r="AR50" s="310">
        <f t="shared" si="153"/>
        <v>0</v>
      </c>
      <c r="AS50"/>
    </row>
    <row r="51" spans="1:45" s="59" customFormat="1" hidden="1" x14ac:dyDescent="0.2">
      <c r="A51" s="57">
        <v>37</v>
      </c>
      <c r="B51" s="37" t="s">
        <v>409</v>
      </c>
      <c r="C51" s="169" t="s">
        <v>412</v>
      </c>
      <c r="D51" s="170"/>
      <c r="E51" s="171" t="s">
        <v>21</v>
      </c>
      <c r="F51" s="171" t="s">
        <v>413</v>
      </c>
      <c r="G51" s="171"/>
      <c r="H51" s="314">
        <v>0</v>
      </c>
      <c r="I51" s="173">
        <f>+H51*12*D51</f>
        <v>0</v>
      </c>
      <c r="J51" s="173"/>
      <c r="K51" s="173"/>
      <c r="L51" s="173">
        <f>+H51*D51</f>
        <v>0</v>
      </c>
      <c r="M51" s="502">
        <f>+I51*$M$10</f>
        <v>0</v>
      </c>
      <c r="N51" s="174"/>
      <c r="O51" s="173">
        <f>IF(H51&gt;685.71,685.71*$O$10*12,H51*$O$10*12)</f>
        <v>0</v>
      </c>
      <c r="P51" s="173"/>
      <c r="Q51" s="173">
        <f>SUM(N51:P51)</f>
        <v>0</v>
      </c>
      <c r="R51" s="158">
        <f>SUM(I51:P51)</f>
        <v>0</v>
      </c>
      <c r="S51" s="12"/>
      <c r="T51" s="12"/>
      <c r="U51" s="12"/>
      <c r="V51" s="453"/>
      <c r="W51" s="19"/>
      <c r="X51" s="19"/>
      <c r="Y51" s="19"/>
      <c r="Z51" s="19"/>
      <c r="AA51" s="19">
        <f t="shared" si="14"/>
        <v>0</v>
      </c>
      <c r="AB51" s="19">
        <f t="shared" si="120"/>
        <v>0</v>
      </c>
      <c r="AC51" s="19">
        <f t="shared" si="121"/>
        <v>0</v>
      </c>
      <c r="AD51" s="19"/>
      <c r="AE51" s="251">
        <f>SUM(Q51:AB51)</f>
        <v>0</v>
      </c>
      <c r="AG51" s="453"/>
      <c r="AH51" s="19"/>
      <c r="AI51" s="19"/>
      <c r="AJ51" s="19"/>
      <c r="AK51" s="19"/>
      <c r="AL51" s="19">
        <f t="shared" si="147"/>
        <v>0</v>
      </c>
      <c r="AM51" s="19">
        <f t="shared" si="148"/>
        <v>0</v>
      </c>
      <c r="AN51" s="19">
        <f t="shared" si="149"/>
        <v>0</v>
      </c>
      <c r="AO51" s="19"/>
      <c r="AP51" s="251">
        <f>SUM(AC51:AM51)</f>
        <v>0</v>
      </c>
      <c r="AR51" s="310">
        <f t="shared" si="153"/>
        <v>0</v>
      </c>
      <c r="AS51"/>
    </row>
    <row r="52" spans="1:45" s="59" customFormat="1" ht="13.5" hidden="1" thickBot="1" x14ac:dyDescent="0.25">
      <c r="A52" s="60"/>
      <c r="B52" s="61" t="s">
        <v>414</v>
      </c>
      <c r="C52" s="175"/>
      <c r="D52" s="180">
        <f>SUM(D50:D51)</f>
        <v>1</v>
      </c>
      <c r="E52" s="177"/>
      <c r="F52" s="177"/>
      <c r="G52" s="177"/>
      <c r="H52" s="181">
        <f t="shared" ref="H52:R52" si="157">SUM(H50:H51)</f>
        <v>0</v>
      </c>
      <c r="I52" s="181">
        <f t="shared" si="157"/>
        <v>0</v>
      </c>
      <c r="J52" s="181"/>
      <c r="K52" s="181"/>
      <c r="L52" s="181">
        <f t="shared" si="157"/>
        <v>0</v>
      </c>
      <c r="M52" s="506">
        <f t="shared" si="157"/>
        <v>0</v>
      </c>
      <c r="N52" s="181">
        <f t="shared" si="157"/>
        <v>0</v>
      </c>
      <c r="O52" s="181">
        <f t="shared" si="157"/>
        <v>0</v>
      </c>
      <c r="P52" s="181">
        <f t="shared" si="157"/>
        <v>0</v>
      </c>
      <c r="Q52" s="181">
        <f t="shared" si="157"/>
        <v>0</v>
      </c>
      <c r="R52" s="162">
        <f t="shared" si="157"/>
        <v>0</v>
      </c>
      <c r="S52" s="12"/>
      <c r="T52" s="12"/>
      <c r="U52" s="12"/>
      <c r="V52" s="453"/>
      <c r="W52" s="19"/>
      <c r="X52" s="19"/>
      <c r="Y52" s="19"/>
      <c r="Z52" s="19"/>
      <c r="AA52" s="19">
        <f t="shared" si="14"/>
        <v>0</v>
      </c>
      <c r="AB52" s="19">
        <f t="shared" si="120"/>
        <v>0</v>
      </c>
      <c r="AC52" s="19">
        <f t="shared" si="121"/>
        <v>0</v>
      </c>
      <c r="AD52" s="19"/>
      <c r="AE52" s="251">
        <f t="shared" ref="AE52" si="158">SUM(AE50:AE51)</f>
        <v>0</v>
      </c>
      <c r="AG52" s="453"/>
      <c r="AH52" s="19"/>
      <c r="AI52" s="19"/>
      <c r="AJ52" s="19"/>
      <c r="AK52" s="19"/>
      <c r="AL52" s="19">
        <f t="shared" si="147"/>
        <v>0</v>
      </c>
      <c r="AM52" s="19">
        <f t="shared" si="148"/>
        <v>0</v>
      </c>
      <c r="AN52" s="19">
        <f t="shared" si="149"/>
        <v>0</v>
      </c>
      <c r="AO52" s="19"/>
      <c r="AP52" s="251">
        <f t="shared" ref="AP52" si="159">SUM(AP50:AP51)</f>
        <v>0</v>
      </c>
      <c r="AR52" s="310">
        <f t="shared" si="153"/>
        <v>0</v>
      </c>
      <c r="AS52"/>
    </row>
    <row r="53" spans="1:45" s="59" customFormat="1" x14ac:dyDescent="0.2">
      <c r="A53" s="57">
        <v>14</v>
      </c>
      <c r="B53" s="37" t="s">
        <v>415</v>
      </c>
      <c r="C53" s="169" t="s">
        <v>416</v>
      </c>
      <c r="D53" s="170">
        <v>1</v>
      </c>
      <c r="E53" s="171" t="s">
        <v>24</v>
      </c>
      <c r="F53" s="171" t="s">
        <v>24</v>
      </c>
      <c r="G53" s="304">
        <v>750</v>
      </c>
      <c r="H53" s="314">
        <f t="shared" ref="H53:H60" si="160">D53*G53</f>
        <v>750</v>
      </c>
      <c r="I53" s="173">
        <f>H53*12</f>
        <v>9000</v>
      </c>
      <c r="J53" s="173">
        <f t="shared" ref="J53:J60" si="161">100*D53</f>
        <v>100</v>
      </c>
      <c r="K53" s="173">
        <v>0</v>
      </c>
      <c r="L53" s="173">
        <f>H53</f>
        <v>750</v>
      </c>
      <c r="M53" s="502">
        <f>ROUND(I53*$M$10,2)</f>
        <v>697.5</v>
      </c>
      <c r="N53" s="173">
        <v>0</v>
      </c>
      <c r="O53" s="173">
        <f t="shared" ref="O53:O60" si="162">ROUND((IF(H53&gt;1000,1000*$O$10*12,H53*$O$10*12)),2)</f>
        <v>675</v>
      </c>
      <c r="P53" s="173">
        <f t="shared" ref="P53:P60" si="163">ROUND((IF(H53&gt;1000,1000*$P$10*12,H53*$P$10*12)),2)</f>
        <v>90</v>
      </c>
      <c r="Q53" s="173">
        <f t="shared" ref="Q53:Q60" si="164">SUM(M53:P53)</f>
        <v>1462.5</v>
      </c>
      <c r="R53" s="158">
        <f t="shared" ref="R53:R60" si="165">I53+J53+K53+L53+Q53</f>
        <v>11312.5</v>
      </c>
      <c r="S53" s="12"/>
      <c r="T53" s="12"/>
      <c r="U53" s="12"/>
      <c r="V53" s="454" t="s">
        <v>312</v>
      </c>
      <c r="W53" s="173">
        <f t="shared" ref="W53:W60" si="166">H53*V53</f>
        <v>3000</v>
      </c>
      <c r="X53" s="173"/>
      <c r="Y53" s="173"/>
      <c r="Z53" s="173">
        <f t="shared" ref="Z53:Z60" si="167">ROUND(((O53/12)*V53),2)</f>
        <v>225</v>
      </c>
      <c r="AA53" s="173">
        <f t="shared" si="14"/>
        <v>0</v>
      </c>
      <c r="AB53" s="173">
        <f t="shared" ref="AB53:AB60" si="168">ROUND(((M53/12)*V53),2)</f>
        <v>232.5</v>
      </c>
      <c r="AC53" s="173">
        <f t="shared" ref="AC53:AC60" si="169">ROUND(((P53/12)*V53),2)</f>
        <v>30</v>
      </c>
      <c r="AD53" s="173">
        <f t="shared" ref="AD53:AD60" si="170">L53</f>
        <v>750</v>
      </c>
      <c r="AE53" s="173">
        <f t="shared" ref="AE53:AE60" si="171">SUM(W53:AD53)</f>
        <v>4237.5</v>
      </c>
      <c r="AG53" s="975">
        <f t="shared" ref="AG53:AG60" si="172">12-V53</f>
        <v>8</v>
      </c>
      <c r="AH53" s="173">
        <f t="shared" ref="AH53:AH60" si="173">H53*AG53</f>
        <v>6000</v>
      </c>
      <c r="AI53" s="173">
        <f t="shared" ref="AI53:AI60" si="174">J53</f>
        <v>100</v>
      </c>
      <c r="AJ53" s="173"/>
      <c r="AK53" s="173">
        <f t="shared" ref="AK53:AK60" si="175">ROUND(((O53/12)*AG53),2)</f>
        <v>450</v>
      </c>
      <c r="AL53" s="173">
        <f t="shared" ref="AL53:AL60" si="176">(N53/12)*AG53</f>
        <v>0</v>
      </c>
      <c r="AM53" s="173">
        <f t="shared" ref="AM53:AM60" si="177">ROUND(((M53/12)*AG53),2)</f>
        <v>465</v>
      </c>
      <c r="AN53" s="173">
        <f t="shared" ref="AN53:AN60" si="178">ROUND(((P53/12)*AG53),2)</f>
        <v>60</v>
      </c>
      <c r="AO53" s="173"/>
      <c r="AP53" s="173">
        <f t="shared" ref="AP53:AP60" si="179">SUM(AH53:AN53)</f>
        <v>7075</v>
      </c>
      <c r="AR53" s="310">
        <f>AB53+AM53-M53</f>
        <v>0</v>
      </c>
      <c r="AS53"/>
    </row>
    <row r="54" spans="1:45" s="59" customFormat="1" x14ac:dyDescent="0.2">
      <c r="A54" s="57">
        <v>15</v>
      </c>
      <c r="B54" s="37" t="s">
        <v>608</v>
      </c>
      <c r="C54" s="169" t="s">
        <v>435</v>
      </c>
      <c r="D54" s="170">
        <v>1</v>
      </c>
      <c r="E54" s="171" t="s">
        <v>24</v>
      </c>
      <c r="F54" s="171" t="s">
        <v>24</v>
      </c>
      <c r="G54" s="304">
        <v>550</v>
      </c>
      <c r="H54" s="314">
        <f t="shared" si="160"/>
        <v>550</v>
      </c>
      <c r="I54" s="173">
        <f>H54*12</f>
        <v>6600</v>
      </c>
      <c r="J54" s="173">
        <f t="shared" si="161"/>
        <v>100</v>
      </c>
      <c r="K54" s="173">
        <v>0</v>
      </c>
      <c r="L54" s="173">
        <f t="shared" ref="L54:L60" si="180">H54</f>
        <v>550</v>
      </c>
      <c r="M54" s="502">
        <f t="shared" ref="M54:M60" si="181">ROUND(I54*$M$10,2)</f>
        <v>511.5</v>
      </c>
      <c r="N54" s="173">
        <v>0</v>
      </c>
      <c r="O54" s="173">
        <f t="shared" si="162"/>
        <v>495</v>
      </c>
      <c r="P54" s="173">
        <f t="shared" si="163"/>
        <v>66</v>
      </c>
      <c r="Q54" s="173">
        <f t="shared" si="164"/>
        <v>1072.5</v>
      </c>
      <c r="R54" s="158">
        <f t="shared" si="165"/>
        <v>8322.5</v>
      </c>
      <c r="S54" s="12"/>
      <c r="T54" s="12"/>
      <c r="U54" s="12"/>
      <c r="V54" s="454" t="s">
        <v>312</v>
      </c>
      <c r="W54" s="173">
        <f t="shared" si="166"/>
        <v>2200</v>
      </c>
      <c r="X54" s="173"/>
      <c r="Y54" s="173"/>
      <c r="Z54" s="173">
        <f t="shared" si="167"/>
        <v>165</v>
      </c>
      <c r="AA54" s="173">
        <f t="shared" si="14"/>
        <v>0</v>
      </c>
      <c r="AB54" s="173">
        <f t="shared" si="168"/>
        <v>170.5</v>
      </c>
      <c r="AC54" s="173">
        <f t="shared" si="169"/>
        <v>22</v>
      </c>
      <c r="AD54" s="173">
        <f t="shared" si="170"/>
        <v>550</v>
      </c>
      <c r="AE54" s="173">
        <f t="shared" si="171"/>
        <v>3107.5</v>
      </c>
      <c r="AG54" s="975">
        <f t="shared" si="172"/>
        <v>8</v>
      </c>
      <c r="AH54" s="173">
        <f t="shared" si="173"/>
        <v>4400</v>
      </c>
      <c r="AI54" s="173">
        <f t="shared" si="174"/>
        <v>100</v>
      </c>
      <c r="AJ54" s="173"/>
      <c r="AK54" s="173">
        <f t="shared" si="175"/>
        <v>330</v>
      </c>
      <c r="AL54" s="173">
        <f t="shared" si="176"/>
        <v>0</v>
      </c>
      <c r="AM54" s="173">
        <f t="shared" si="177"/>
        <v>341</v>
      </c>
      <c r="AN54" s="173">
        <f t="shared" si="178"/>
        <v>44</v>
      </c>
      <c r="AO54" s="173"/>
      <c r="AP54" s="173">
        <f t="shared" si="179"/>
        <v>5215</v>
      </c>
      <c r="AR54" s="310">
        <f t="shared" si="153"/>
        <v>0</v>
      </c>
      <c r="AS54"/>
    </row>
    <row r="55" spans="1:45" s="59" customFormat="1" ht="36" x14ac:dyDescent="0.2">
      <c r="A55" s="57">
        <v>16</v>
      </c>
      <c r="B55" s="111" t="s">
        <v>633</v>
      </c>
      <c r="C55" s="312" t="s">
        <v>627</v>
      </c>
      <c r="D55" s="170">
        <v>1</v>
      </c>
      <c r="E55" s="171" t="s">
        <v>24</v>
      </c>
      <c r="F55" s="171" t="s">
        <v>24</v>
      </c>
      <c r="G55" s="304">
        <v>500</v>
      </c>
      <c r="H55" s="314">
        <f t="shared" ref="H55" si="182">D55*G55</f>
        <v>500</v>
      </c>
      <c r="I55" s="173">
        <f t="shared" ref="I55" si="183">H55*12</f>
        <v>6000</v>
      </c>
      <c r="J55" s="173">
        <f t="shared" ref="J55" si="184">100*D55</f>
        <v>100</v>
      </c>
      <c r="K55" s="173">
        <v>0</v>
      </c>
      <c r="L55" s="173">
        <f t="shared" ref="L55" si="185">H55</f>
        <v>500</v>
      </c>
      <c r="M55" s="502">
        <f t="shared" si="181"/>
        <v>465</v>
      </c>
      <c r="N55" s="173">
        <f>+I55*$N$10</f>
        <v>360</v>
      </c>
      <c r="O55" s="173">
        <f t="shared" si="162"/>
        <v>450</v>
      </c>
      <c r="P55" s="173">
        <f>ROUND((IF(H55&gt;1000,1000*$P$10*12,H55*$P$10*12)),2)</f>
        <v>60</v>
      </c>
      <c r="Q55" s="173">
        <f t="shared" si="164"/>
        <v>1335</v>
      </c>
      <c r="R55" s="158">
        <f t="shared" ref="R55" si="186">I55+J55+K55+L55+Q55</f>
        <v>7935</v>
      </c>
      <c r="S55" s="12"/>
      <c r="T55" s="12"/>
      <c r="U55" s="12"/>
      <c r="V55" s="454" t="s">
        <v>312</v>
      </c>
      <c r="W55" s="173">
        <f t="shared" si="166"/>
        <v>2000</v>
      </c>
      <c r="X55" s="173"/>
      <c r="Y55" s="173"/>
      <c r="Z55" s="173">
        <f t="shared" si="167"/>
        <v>150</v>
      </c>
      <c r="AA55" s="173">
        <f>ROUND(((N55/12)*V55),2)</f>
        <v>120</v>
      </c>
      <c r="AB55" s="173">
        <f t="shared" si="168"/>
        <v>155</v>
      </c>
      <c r="AC55" s="173">
        <f t="shared" si="169"/>
        <v>20</v>
      </c>
      <c r="AD55" s="173">
        <f t="shared" si="170"/>
        <v>500</v>
      </c>
      <c r="AE55" s="173">
        <f t="shared" si="171"/>
        <v>2945</v>
      </c>
      <c r="AG55" s="975">
        <f t="shared" si="172"/>
        <v>8</v>
      </c>
      <c r="AH55" s="173">
        <f t="shared" si="173"/>
        <v>4000</v>
      </c>
      <c r="AI55" s="173">
        <f t="shared" si="174"/>
        <v>100</v>
      </c>
      <c r="AJ55" s="173"/>
      <c r="AK55" s="173">
        <f t="shared" si="175"/>
        <v>300</v>
      </c>
      <c r="AL55" s="173">
        <f>ROUND(((N55/12)*AG55),2)</f>
        <v>240</v>
      </c>
      <c r="AM55" s="173">
        <f t="shared" si="177"/>
        <v>310</v>
      </c>
      <c r="AN55" s="173">
        <f t="shared" si="178"/>
        <v>40</v>
      </c>
      <c r="AO55" s="173"/>
      <c r="AP55" s="173">
        <f t="shared" si="179"/>
        <v>4990</v>
      </c>
      <c r="AR55" s="310">
        <f t="shared" si="153"/>
        <v>0</v>
      </c>
      <c r="AS55"/>
    </row>
    <row r="56" spans="1:45" s="59" customFormat="1" ht="36" customHeight="1" x14ac:dyDescent="0.2">
      <c r="A56" s="57">
        <v>17</v>
      </c>
      <c r="B56" s="111" t="s">
        <v>582</v>
      </c>
      <c r="C56" s="111" t="s">
        <v>583</v>
      </c>
      <c r="D56" s="244">
        <v>1</v>
      </c>
      <c r="E56" s="245" t="s">
        <v>24</v>
      </c>
      <c r="F56" s="245" t="s">
        <v>24</v>
      </c>
      <c r="G56" s="305">
        <v>400</v>
      </c>
      <c r="H56" s="315">
        <f t="shared" si="160"/>
        <v>400</v>
      </c>
      <c r="I56" s="246">
        <f t="shared" ref="I56:I60" si="187">H56*12</f>
        <v>4800</v>
      </c>
      <c r="J56" s="246">
        <f t="shared" si="161"/>
        <v>100</v>
      </c>
      <c r="K56" s="246">
        <v>0</v>
      </c>
      <c r="L56" s="246">
        <f t="shared" si="180"/>
        <v>400</v>
      </c>
      <c r="M56" s="504">
        <f>ROUND(I56*$M$10,2)</f>
        <v>372</v>
      </c>
      <c r="N56" s="246">
        <v>0</v>
      </c>
      <c r="O56" s="246">
        <f t="shared" si="162"/>
        <v>360</v>
      </c>
      <c r="P56" s="246">
        <f t="shared" si="163"/>
        <v>48</v>
      </c>
      <c r="Q56" s="246">
        <f t="shared" si="164"/>
        <v>780</v>
      </c>
      <c r="R56" s="247">
        <f t="shared" si="165"/>
        <v>6080</v>
      </c>
      <c r="S56" s="12"/>
      <c r="T56" s="12"/>
      <c r="U56" s="12"/>
      <c r="V56" s="454" t="s">
        <v>312</v>
      </c>
      <c r="W56" s="246">
        <f t="shared" si="166"/>
        <v>1600</v>
      </c>
      <c r="X56" s="246"/>
      <c r="Y56" s="246"/>
      <c r="Z56" s="246">
        <f t="shared" si="167"/>
        <v>120</v>
      </c>
      <c r="AA56" s="246">
        <f t="shared" si="14"/>
        <v>0</v>
      </c>
      <c r="AB56" s="246">
        <f t="shared" si="168"/>
        <v>124</v>
      </c>
      <c r="AC56" s="246">
        <f t="shared" si="169"/>
        <v>16</v>
      </c>
      <c r="AD56" s="246">
        <f t="shared" si="170"/>
        <v>400</v>
      </c>
      <c r="AE56" s="246">
        <f t="shared" si="171"/>
        <v>2260</v>
      </c>
      <c r="AG56" s="975">
        <f t="shared" si="172"/>
        <v>8</v>
      </c>
      <c r="AH56" s="246">
        <f t="shared" si="173"/>
        <v>3200</v>
      </c>
      <c r="AI56" s="246">
        <f t="shared" si="174"/>
        <v>100</v>
      </c>
      <c r="AJ56" s="246"/>
      <c r="AK56" s="246">
        <f t="shared" si="175"/>
        <v>240</v>
      </c>
      <c r="AL56" s="246">
        <f t="shared" si="176"/>
        <v>0</v>
      </c>
      <c r="AM56" s="246">
        <f t="shared" si="177"/>
        <v>248</v>
      </c>
      <c r="AN56" s="246">
        <f t="shared" si="178"/>
        <v>32</v>
      </c>
      <c r="AO56" s="246"/>
      <c r="AP56" s="246">
        <f t="shared" si="179"/>
        <v>3820</v>
      </c>
      <c r="AR56" s="310">
        <f t="shared" si="153"/>
        <v>0</v>
      </c>
      <c r="AS56"/>
    </row>
    <row r="57" spans="1:45" s="59" customFormat="1" x14ac:dyDescent="0.2">
      <c r="A57" s="57">
        <v>23</v>
      </c>
      <c r="B57" s="37" t="s">
        <v>427</v>
      </c>
      <c r="C57" s="169" t="s">
        <v>738</v>
      </c>
      <c r="D57" s="170">
        <v>1</v>
      </c>
      <c r="E57" s="171" t="s">
        <v>253</v>
      </c>
      <c r="F57" s="171" t="s">
        <v>253</v>
      </c>
      <c r="G57" s="304">
        <v>450</v>
      </c>
      <c r="H57" s="314">
        <f t="shared" si="160"/>
        <v>450</v>
      </c>
      <c r="I57" s="173">
        <f t="shared" si="187"/>
        <v>5400</v>
      </c>
      <c r="J57" s="173">
        <f t="shared" si="161"/>
        <v>100</v>
      </c>
      <c r="K57" s="173">
        <v>450</v>
      </c>
      <c r="L57" s="173">
        <f t="shared" si="180"/>
        <v>450</v>
      </c>
      <c r="M57" s="502">
        <f>ROUND(((I57+K57)*M$10),2)</f>
        <v>453.38</v>
      </c>
      <c r="N57" s="173">
        <v>0</v>
      </c>
      <c r="O57" s="173">
        <f>ROUND(((I57+K57)*O$10),2)</f>
        <v>438.75</v>
      </c>
      <c r="P57" s="173">
        <f t="shared" ref="P57" si="188">ROUND(((I57+K57)*P$10),2)</f>
        <v>58.5</v>
      </c>
      <c r="Q57" s="173">
        <f t="shared" ref="Q57" si="189">SUM(M57:P57)</f>
        <v>950.63</v>
      </c>
      <c r="R57" s="158">
        <f t="shared" si="165"/>
        <v>7350.63</v>
      </c>
      <c r="S57" s="12"/>
      <c r="T57" s="12"/>
      <c r="U57" s="12"/>
      <c r="V57" s="454" t="s">
        <v>312</v>
      </c>
      <c r="W57" s="173">
        <f t="shared" si="166"/>
        <v>1800</v>
      </c>
      <c r="X57" s="173"/>
      <c r="Y57" s="173"/>
      <c r="Z57" s="173">
        <f t="shared" si="167"/>
        <v>146.25</v>
      </c>
      <c r="AA57" s="173">
        <f t="shared" ref="AA57" si="190">(N57/12)*V57</f>
        <v>0</v>
      </c>
      <c r="AB57" s="173">
        <f t="shared" si="168"/>
        <v>151.13</v>
      </c>
      <c r="AC57" s="173">
        <f t="shared" si="169"/>
        <v>19.5</v>
      </c>
      <c r="AD57" s="173">
        <f t="shared" si="170"/>
        <v>450</v>
      </c>
      <c r="AE57" s="173">
        <f t="shared" si="171"/>
        <v>2566.88</v>
      </c>
      <c r="AG57" s="975">
        <f t="shared" si="172"/>
        <v>8</v>
      </c>
      <c r="AH57" s="173">
        <f>H57*AG57</f>
        <v>3600</v>
      </c>
      <c r="AI57" s="173">
        <f>J57</f>
        <v>100</v>
      </c>
      <c r="AJ57" s="173">
        <f>K57</f>
        <v>450</v>
      </c>
      <c r="AK57" s="173">
        <f t="shared" si="175"/>
        <v>292.5</v>
      </c>
      <c r="AL57" s="173">
        <f>(N57/12)*AG57</f>
        <v>0</v>
      </c>
      <c r="AM57" s="173">
        <f t="shared" si="177"/>
        <v>302.25</v>
      </c>
      <c r="AN57" s="173">
        <f t="shared" si="178"/>
        <v>39</v>
      </c>
      <c r="AO57" s="173"/>
      <c r="AP57" s="173">
        <f>SUM(AH57:AN57)</f>
        <v>4783.75</v>
      </c>
      <c r="AR57" s="310">
        <f t="shared" ref="AR57" si="191">AB57+AM57-M57</f>
        <v>0</v>
      </c>
      <c r="AS57"/>
    </row>
    <row r="58" spans="1:45" s="59" customFormat="1" x14ac:dyDescent="0.2">
      <c r="A58" s="57">
        <v>18</v>
      </c>
      <c r="B58" s="37" t="s">
        <v>736</v>
      </c>
      <c r="C58" s="169" t="s">
        <v>737</v>
      </c>
      <c r="D58" s="170">
        <v>1</v>
      </c>
      <c r="E58" s="171" t="s">
        <v>24</v>
      </c>
      <c r="F58" s="171" t="s">
        <v>24</v>
      </c>
      <c r="G58" s="304">
        <v>500</v>
      </c>
      <c r="H58" s="314">
        <f t="shared" si="160"/>
        <v>500</v>
      </c>
      <c r="I58" s="173">
        <f t="shared" si="187"/>
        <v>6000</v>
      </c>
      <c r="J58" s="173">
        <f t="shared" si="161"/>
        <v>100</v>
      </c>
      <c r="K58" s="173">
        <v>0</v>
      </c>
      <c r="L58" s="173">
        <f t="shared" si="180"/>
        <v>500</v>
      </c>
      <c r="M58" s="502">
        <f t="shared" ref="M58" si="192">ROUND(I58*$M$10,2)</f>
        <v>465</v>
      </c>
      <c r="N58" s="173">
        <v>0</v>
      </c>
      <c r="O58" s="173">
        <f t="shared" si="162"/>
        <v>450</v>
      </c>
      <c r="P58" s="173">
        <f t="shared" si="163"/>
        <v>60</v>
      </c>
      <c r="Q58" s="173">
        <f t="shared" si="164"/>
        <v>975</v>
      </c>
      <c r="R58" s="158">
        <f t="shared" si="165"/>
        <v>7575</v>
      </c>
      <c r="S58" s="12"/>
      <c r="T58" s="12"/>
      <c r="U58" s="12"/>
      <c r="V58" s="454" t="s">
        <v>312</v>
      </c>
      <c r="W58" s="173">
        <f t="shared" si="166"/>
        <v>2000</v>
      </c>
      <c r="X58" s="173"/>
      <c r="Y58" s="173"/>
      <c r="Z58" s="173">
        <f t="shared" si="167"/>
        <v>150</v>
      </c>
      <c r="AA58" s="173">
        <f t="shared" si="14"/>
        <v>0</v>
      </c>
      <c r="AB58" s="173">
        <f t="shared" si="168"/>
        <v>155</v>
      </c>
      <c r="AC58" s="173">
        <f t="shared" si="169"/>
        <v>20</v>
      </c>
      <c r="AD58" s="173">
        <f t="shared" si="170"/>
        <v>500</v>
      </c>
      <c r="AE58" s="173">
        <f t="shared" si="171"/>
        <v>2825</v>
      </c>
      <c r="AG58" s="975">
        <f t="shared" si="172"/>
        <v>8</v>
      </c>
      <c r="AH58" s="173">
        <f t="shared" si="173"/>
        <v>4000</v>
      </c>
      <c r="AI58" s="173">
        <f t="shared" si="174"/>
        <v>100</v>
      </c>
      <c r="AJ58" s="173"/>
      <c r="AK58" s="173">
        <f t="shared" si="175"/>
        <v>300</v>
      </c>
      <c r="AL58" s="173">
        <f t="shared" si="176"/>
        <v>0</v>
      </c>
      <c r="AM58" s="173">
        <f t="shared" si="177"/>
        <v>310</v>
      </c>
      <c r="AN58" s="173">
        <f t="shared" si="178"/>
        <v>40</v>
      </c>
      <c r="AO58" s="173"/>
      <c r="AP58" s="173">
        <f t="shared" si="179"/>
        <v>4750</v>
      </c>
      <c r="AR58" s="310">
        <f t="shared" si="153"/>
        <v>0</v>
      </c>
      <c r="AS58"/>
    </row>
    <row r="59" spans="1:45" s="59" customFormat="1" x14ac:dyDescent="0.2">
      <c r="A59" s="57">
        <v>18</v>
      </c>
      <c r="B59" s="37" t="s">
        <v>23</v>
      </c>
      <c r="C59" s="169"/>
      <c r="D59" s="170">
        <v>1</v>
      </c>
      <c r="E59" s="171" t="s">
        <v>24</v>
      </c>
      <c r="F59" s="171" t="s">
        <v>24</v>
      </c>
      <c r="G59" s="304">
        <v>354.17</v>
      </c>
      <c r="H59" s="314">
        <f t="shared" ref="H59" si="193">D59*G59</f>
        <v>354.17</v>
      </c>
      <c r="I59" s="173">
        <f t="shared" ref="I59" si="194">H59*12</f>
        <v>4250.04</v>
      </c>
      <c r="J59" s="173">
        <f t="shared" ref="J59" si="195">100*D59</f>
        <v>100</v>
      </c>
      <c r="K59" s="173">
        <v>0</v>
      </c>
      <c r="L59" s="173">
        <f t="shared" ref="L59" si="196">H59</f>
        <v>354.17</v>
      </c>
      <c r="M59" s="502">
        <f t="shared" ref="M59" si="197">ROUND(I59*$M$10,2)</f>
        <v>329.38</v>
      </c>
      <c r="N59" s="173">
        <v>0</v>
      </c>
      <c r="O59" s="173">
        <f t="shared" ref="O59" si="198">ROUND((IF(H59&gt;1000,1000*$O$10*12,H59*$O$10*12)),2)</f>
        <v>318.75</v>
      </c>
      <c r="P59" s="173">
        <f t="shared" ref="P59" si="199">ROUND((IF(H59&gt;1000,1000*$P$10*12,H59*$P$10*12)),2)</f>
        <v>42.5</v>
      </c>
      <c r="Q59" s="173">
        <f t="shared" ref="Q59" si="200">SUM(M59:P59)</f>
        <v>690.63</v>
      </c>
      <c r="R59" s="158">
        <f t="shared" ref="R59" si="201">I59+J59+K59+L59+Q59</f>
        <v>5394.84</v>
      </c>
      <c r="S59" s="12"/>
      <c r="T59" s="12"/>
      <c r="U59" s="12"/>
      <c r="V59" s="454" t="s">
        <v>312</v>
      </c>
      <c r="W59" s="173">
        <f t="shared" ref="W59" si="202">H59*V59</f>
        <v>1416.68</v>
      </c>
      <c r="X59" s="173"/>
      <c r="Y59" s="173"/>
      <c r="Z59" s="173">
        <f t="shared" ref="Z59" si="203">ROUND(((O59/12)*V59),2)</f>
        <v>106.25</v>
      </c>
      <c r="AA59" s="173">
        <f t="shared" ref="AA59" si="204">(N59/12)*V59</f>
        <v>0</v>
      </c>
      <c r="AB59" s="173">
        <f t="shared" ref="AB59" si="205">ROUND(((M59/12)*V59),2)</f>
        <v>109.79</v>
      </c>
      <c r="AC59" s="173">
        <f t="shared" ref="AC59" si="206">ROUND(((P59/12)*V59),2)</f>
        <v>14.17</v>
      </c>
      <c r="AD59" s="173">
        <f t="shared" ref="AD59" si="207">L59</f>
        <v>354.17</v>
      </c>
      <c r="AE59" s="173">
        <f t="shared" ref="AE59" si="208">SUM(W59:AD59)</f>
        <v>2001.0600000000002</v>
      </c>
      <c r="AG59" s="975">
        <f t="shared" si="172"/>
        <v>8</v>
      </c>
      <c r="AH59" s="173">
        <f t="shared" ref="AH59" si="209">H59*AG59</f>
        <v>2833.36</v>
      </c>
      <c r="AI59" s="173">
        <f t="shared" ref="AI59" si="210">J59</f>
        <v>100</v>
      </c>
      <c r="AJ59" s="173"/>
      <c r="AK59" s="173">
        <f t="shared" ref="AK59" si="211">ROUND(((O59/12)*AG59),2)</f>
        <v>212.5</v>
      </c>
      <c r="AL59" s="173">
        <f t="shared" ref="AL59" si="212">(N59/12)*AG59</f>
        <v>0</v>
      </c>
      <c r="AM59" s="173">
        <f t="shared" ref="AM59" si="213">ROUND(((M59/12)*AG59),2)</f>
        <v>219.59</v>
      </c>
      <c r="AN59" s="173">
        <f t="shared" ref="AN59" si="214">ROUND(((P59/12)*AG59),2)</f>
        <v>28.33</v>
      </c>
      <c r="AO59" s="173"/>
      <c r="AP59" s="173">
        <f t="shared" ref="AP59" si="215">SUM(AH59:AN59)</f>
        <v>3393.78</v>
      </c>
      <c r="AR59" s="310">
        <f t="shared" ref="AR59" si="216">AB59+AM59-M59</f>
        <v>0</v>
      </c>
      <c r="AS59"/>
    </row>
    <row r="60" spans="1:45" s="59" customFormat="1" x14ac:dyDescent="0.2">
      <c r="A60" s="57">
        <v>18</v>
      </c>
      <c r="B60" s="37" t="s">
        <v>23</v>
      </c>
      <c r="C60" s="169"/>
      <c r="D60" s="170">
        <v>1</v>
      </c>
      <c r="E60" s="171" t="s">
        <v>24</v>
      </c>
      <c r="F60" s="171" t="s">
        <v>24</v>
      </c>
      <c r="G60" s="304">
        <v>304.17</v>
      </c>
      <c r="H60" s="314">
        <f t="shared" si="160"/>
        <v>304.17</v>
      </c>
      <c r="I60" s="173">
        <f t="shared" si="187"/>
        <v>3650.04</v>
      </c>
      <c r="J60" s="173">
        <f t="shared" si="161"/>
        <v>100</v>
      </c>
      <c r="K60" s="173">
        <v>0</v>
      </c>
      <c r="L60" s="173">
        <f t="shared" si="180"/>
        <v>304.17</v>
      </c>
      <c r="M60" s="502">
        <f t="shared" si="181"/>
        <v>282.88</v>
      </c>
      <c r="N60" s="173">
        <v>0</v>
      </c>
      <c r="O60" s="173">
        <f t="shared" si="162"/>
        <v>273.75</v>
      </c>
      <c r="P60" s="173">
        <f t="shared" si="163"/>
        <v>36.5</v>
      </c>
      <c r="Q60" s="173">
        <f t="shared" si="164"/>
        <v>593.13</v>
      </c>
      <c r="R60" s="158">
        <f t="shared" si="165"/>
        <v>4647.34</v>
      </c>
      <c r="S60" s="12"/>
      <c r="T60" s="12"/>
      <c r="U60" s="12"/>
      <c r="V60" s="454" t="s">
        <v>312</v>
      </c>
      <c r="W60" s="173">
        <f t="shared" si="166"/>
        <v>1216.68</v>
      </c>
      <c r="X60" s="173"/>
      <c r="Y60" s="173"/>
      <c r="Z60" s="173">
        <f t="shared" si="167"/>
        <v>91.25</v>
      </c>
      <c r="AA60" s="173">
        <f t="shared" si="14"/>
        <v>0</v>
      </c>
      <c r="AB60" s="173">
        <f t="shared" si="168"/>
        <v>94.29</v>
      </c>
      <c r="AC60" s="173">
        <f t="shared" si="169"/>
        <v>12.17</v>
      </c>
      <c r="AD60" s="173">
        <f t="shared" si="170"/>
        <v>304.17</v>
      </c>
      <c r="AE60" s="173">
        <f t="shared" si="171"/>
        <v>1718.5600000000002</v>
      </c>
      <c r="AG60" s="975">
        <f t="shared" si="172"/>
        <v>8</v>
      </c>
      <c r="AH60" s="173">
        <f t="shared" si="173"/>
        <v>2433.36</v>
      </c>
      <c r="AI60" s="173">
        <f t="shared" si="174"/>
        <v>100</v>
      </c>
      <c r="AJ60" s="173"/>
      <c r="AK60" s="173">
        <f t="shared" si="175"/>
        <v>182.5</v>
      </c>
      <c r="AL60" s="173">
        <f t="shared" si="176"/>
        <v>0</v>
      </c>
      <c r="AM60" s="173">
        <f t="shared" si="177"/>
        <v>188.59</v>
      </c>
      <c r="AN60" s="173">
        <f t="shared" si="178"/>
        <v>24.33</v>
      </c>
      <c r="AO60" s="173"/>
      <c r="AP60" s="173">
        <f t="shared" si="179"/>
        <v>2928.78</v>
      </c>
      <c r="AR60" s="310">
        <f t="shared" si="153"/>
        <v>0</v>
      </c>
      <c r="AS60"/>
    </row>
    <row r="61" spans="1:45" s="59" customFormat="1" ht="13.5" thickBot="1" x14ac:dyDescent="0.25">
      <c r="A61" s="60"/>
      <c r="B61" s="70" t="s">
        <v>417</v>
      </c>
      <c r="C61" s="175"/>
      <c r="D61" s="176">
        <f>SUM(D53:D60)</f>
        <v>8</v>
      </c>
      <c r="E61" s="177"/>
      <c r="F61" s="177"/>
      <c r="G61" s="177"/>
      <c r="H61" s="178">
        <f t="shared" ref="H61:R61" si="217">SUM(H53:H60)</f>
        <v>3808.34</v>
      </c>
      <c r="I61" s="178">
        <f t="shared" si="217"/>
        <v>45700.08</v>
      </c>
      <c r="J61" s="178">
        <f t="shared" si="217"/>
        <v>800</v>
      </c>
      <c r="K61" s="178">
        <f t="shared" si="217"/>
        <v>450</v>
      </c>
      <c r="L61" s="178">
        <f t="shared" si="217"/>
        <v>3808.34</v>
      </c>
      <c r="M61" s="503">
        <f t="shared" si="217"/>
        <v>3576.6400000000003</v>
      </c>
      <c r="N61" s="178">
        <f t="shared" si="217"/>
        <v>360</v>
      </c>
      <c r="O61" s="178">
        <f t="shared" si="217"/>
        <v>3461.25</v>
      </c>
      <c r="P61" s="178">
        <f t="shared" si="217"/>
        <v>461.5</v>
      </c>
      <c r="Q61" s="178">
        <f t="shared" si="217"/>
        <v>7859.39</v>
      </c>
      <c r="R61" s="62">
        <f t="shared" si="217"/>
        <v>58617.81</v>
      </c>
      <c r="S61" s="12"/>
      <c r="T61" s="12"/>
      <c r="U61" s="12"/>
      <c r="V61" s="463"/>
      <c r="W61" s="463">
        <f>SUM(W53:W60)</f>
        <v>15233.36</v>
      </c>
      <c r="X61" s="463"/>
      <c r="Y61" s="463"/>
      <c r="Z61" s="463">
        <f t="shared" ref="Z61:AE61" si="218">SUM(Z53:Z60)</f>
        <v>1153.75</v>
      </c>
      <c r="AA61" s="463">
        <f t="shared" si="218"/>
        <v>120</v>
      </c>
      <c r="AB61" s="463">
        <f t="shared" si="218"/>
        <v>1192.21</v>
      </c>
      <c r="AC61" s="463">
        <f t="shared" si="218"/>
        <v>153.83999999999997</v>
      </c>
      <c r="AD61" s="463">
        <f t="shared" si="218"/>
        <v>3808.34</v>
      </c>
      <c r="AE61" s="463">
        <f t="shared" si="218"/>
        <v>21661.500000000004</v>
      </c>
      <c r="AG61" s="463"/>
      <c r="AH61" s="463">
        <f>SUM(AH53:AH60)</f>
        <v>30466.720000000001</v>
      </c>
      <c r="AI61" s="463">
        <f>SUM(AI53:AI60)</f>
        <v>800</v>
      </c>
      <c r="AJ61" s="463"/>
      <c r="AK61" s="463">
        <f>SUM(AK53:AK60)</f>
        <v>2307.5</v>
      </c>
      <c r="AL61" s="463">
        <f>SUM(AL53:AL60)</f>
        <v>240</v>
      </c>
      <c r="AM61" s="463">
        <f>SUM(AM53:AM60)</f>
        <v>2384.4300000000003</v>
      </c>
      <c r="AN61" s="463">
        <f>SUM(AN53:AN60)</f>
        <v>307.65999999999997</v>
      </c>
      <c r="AO61" s="463"/>
      <c r="AP61" s="463">
        <f>SUM(AP53:AP60)</f>
        <v>36956.31</v>
      </c>
      <c r="AR61" s="310">
        <f t="shared" si="153"/>
        <v>0</v>
      </c>
      <c r="AS61"/>
    </row>
    <row r="62" spans="1:45" s="59" customFormat="1" ht="13.5" hidden="1" thickTop="1" x14ac:dyDescent="0.2">
      <c r="A62" s="57"/>
      <c r="B62" s="37"/>
      <c r="C62" s="169"/>
      <c r="D62" s="170"/>
      <c r="E62" s="171"/>
      <c r="F62" s="171"/>
      <c r="G62" s="171"/>
      <c r="H62" s="314"/>
      <c r="I62" s="173"/>
      <c r="J62" s="173"/>
      <c r="K62" s="173"/>
      <c r="L62" s="173"/>
      <c r="M62" s="502"/>
      <c r="N62" s="174"/>
      <c r="O62" s="173"/>
      <c r="P62" s="173"/>
      <c r="Q62" s="173"/>
      <c r="R62" s="158"/>
      <c r="S62" s="12"/>
      <c r="T62" s="12"/>
      <c r="U62" s="12"/>
      <c r="V62" s="453"/>
      <c r="W62" s="19"/>
      <c r="X62" s="19"/>
      <c r="Y62" s="19"/>
      <c r="Z62" s="19"/>
      <c r="AA62" s="19">
        <f t="shared" si="14"/>
        <v>0</v>
      </c>
      <c r="AB62" s="19">
        <f t="shared" si="120"/>
        <v>0</v>
      </c>
      <c r="AC62" s="19">
        <f t="shared" si="121"/>
        <v>0</v>
      </c>
      <c r="AD62" s="19"/>
      <c r="AE62" s="251"/>
      <c r="AG62" s="453"/>
      <c r="AH62" s="19"/>
      <c r="AI62" s="19"/>
      <c r="AJ62" s="19"/>
      <c r="AK62" s="19"/>
      <c r="AL62" s="19">
        <f t="shared" ref="AL62:AL78" si="219">(Z62/12)*AG62</f>
        <v>0</v>
      </c>
      <c r="AM62" s="19">
        <f t="shared" ref="AM62:AM78" si="220">(W62/12)*AG62</f>
        <v>0</v>
      </c>
      <c r="AN62" s="19">
        <f t="shared" ref="AN62:AN66" si="221">(AB62/12)*AG62</f>
        <v>0</v>
      </c>
      <c r="AO62" s="19"/>
      <c r="AP62" s="251"/>
      <c r="AR62" s="310">
        <f t="shared" si="153"/>
        <v>0</v>
      </c>
      <c r="AS62"/>
    </row>
    <row r="63" spans="1:45" s="59" customFormat="1" ht="13.5" hidden="1" thickTop="1" x14ac:dyDescent="0.2">
      <c r="A63" s="57">
        <v>40</v>
      </c>
      <c r="B63" s="37" t="s">
        <v>418</v>
      </c>
      <c r="C63" s="169" t="s">
        <v>419</v>
      </c>
      <c r="D63" s="170">
        <v>1</v>
      </c>
      <c r="E63" s="171" t="s">
        <v>21</v>
      </c>
      <c r="F63" s="171" t="s">
        <v>420</v>
      </c>
      <c r="G63" s="171"/>
      <c r="H63" s="314">
        <v>0</v>
      </c>
      <c r="I63" s="173">
        <f>+H63*12*D63</f>
        <v>0</v>
      </c>
      <c r="J63" s="173"/>
      <c r="K63" s="173"/>
      <c r="L63" s="173">
        <f>+H63*D63</f>
        <v>0</v>
      </c>
      <c r="M63" s="502">
        <f>+I63*$M$10</f>
        <v>0</v>
      </c>
      <c r="N63" s="174"/>
      <c r="O63" s="173">
        <f>IF(H63&gt;685.71,685.71*$O$10*12,H63*$O$10*12)</f>
        <v>0</v>
      </c>
      <c r="P63" s="173"/>
      <c r="Q63" s="173">
        <f>SUM(N63:P63)</f>
        <v>0</v>
      </c>
      <c r="R63" s="158">
        <f>SUM(I63:P63)</f>
        <v>0</v>
      </c>
      <c r="S63" s="12"/>
      <c r="T63" s="12"/>
      <c r="U63" s="12"/>
      <c r="V63" s="453"/>
      <c r="W63" s="19"/>
      <c r="X63" s="19"/>
      <c r="Y63" s="19"/>
      <c r="Z63" s="19"/>
      <c r="AA63" s="19">
        <f t="shared" si="14"/>
        <v>0</v>
      </c>
      <c r="AB63" s="19">
        <f t="shared" si="120"/>
        <v>0</v>
      </c>
      <c r="AC63" s="19">
        <f t="shared" si="121"/>
        <v>0</v>
      </c>
      <c r="AD63" s="19"/>
      <c r="AE63" s="251">
        <f>SUM(Q63:AB63)</f>
        <v>0</v>
      </c>
      <c r="AG63" s="453"/>
      <c r="AH63" s="19"/>
      <c r="AI63" s="19"/>
      <c r="AJ63" s="19"/>
      <c r="AK63" s="19"/>
      <c r="AL63" s="19">
        <f t="shared" si="219"/>
        <v>0</v>
      </c>
      <c r="AM63" s="19">
        <f t="shared" si="220"/>
        <v>0</v>
      </c>
      <c r="AN63" s="19">
        <f t="shared" si="221"/>
        <v>0</v>
      </c>
      <c r="AO63" s="19"/>
      <c r="AP63" s="251">
        <f>SUM(AC63:AM63)</f>
        <v>0</v>
      </c>
      <c r="AR63" s="310">
        <f t="shared" si="153"/>
        <v>0</v>
      </c>
      <c r="AS63"/>
    </row>
    <row r="64" spans="1:45" s="59" customFormat="1" ht="13.5" hidden="1" thickTop="1" x14ac:dyDescent="0.2">
      <c r="A64" s="57">
        <v>41</v>
      </c>
      <c r="B64" s="37" t="s">
        <v>421</v>
      </c>
      <c r="C64" s="169" t="s">
        <v>422</v>
      </c>
      <c r="D64" s="170"/>
      <c r="E64" s="171" t="s">
        <v>21</v>
      </c>
      <c r="F64" s="171" t="s">
        <v>420</v>
      </c>
      <c r="G64" s="171"/>
      <c r="H64" s="314">
        <v>0</v>
      </c>
      <c r="I64" s="173">
        <f>+H64*12*D64</f>
        <v>0</v>
      </c>
      <c r="J64" s="173"/>
      <c r="K64" s="173"/>
      <c r="L64" s="173">
        <f>+H64*D64</f>
        <v>0</v>
      </c>
      <c r="M64" s="502">
        <f>+I64*$M$10</f>
        <v>0</v>
      </c>
      <c r="N64" s="174"/>
      <c r="O64" s="173">
        <f>IF(H64&gt;685.71,685.71*$O$10*12,H64*$O$10*12)</f>
        <v>0</v>
      </c>
      <c r="P64" s="173"/>
      <c r="Q64" s="173">
        <f>SUM(N64:P64)</f>
        <v>0</v>
      </c>
      <c r="R64" s="158">
        <f>SUM(I64:P64)</f>
        <v>0</v>
      </c>
      <c r="S64" s="12"/>
      <c r="T64" s="12"/>
      <c r="U64" s="12"/>
      <c r="V64" s="453"/>
      <c r="W64" s="19"/>
      <c r="X64" s="19"/>
      <c r="Y64" s="19"/>
      <c r="Z64" s="19"/>
      <c r="AA64" s="19">
        <f t="shared" si="14"/>
        <v>0</v>
      </c>
      <c r="AB64" s="19">
        <f t="shared" si="120"/>
        <v>0</v>
      </c>
      <c r="AC64" s="19">
        <f t="shared" si="121"/>
        <v>0</v>
      </c>
      <c r="AD64" s="19"/>
      <c r="AE64" s="251">
        <f>SUM(Q64:AB64)</f>
        <v>0</v>
      </c>
      <c r="AG64" s="453"/>
      <c r="AH64" s="19"/>
      <c r="AI64" s="19"/>
      <c r="AJ64" s="19"/>
      <c r="AK64" s="19"/>
      <c r="AL64" s="19">
        <f t="shared" si="219"/>
        <v>0</v>
      </c>
      <c r="AM64" s="19">
        <f t="shared" si="220"/>
        <v>0</v>
      </c>
      <c r="AN64" s="19">
        <f t="shared" si="221"/>
        <v>0</v>
      </c>
      <c r="AO64" s="19"/>
      <c r="AP64" s="251">
        <f>SUM(AC64:AM64)</f>
        <v>0</v>
      </c>
      <c r="AR64" s="310">
        <f t="shared" si="153"/>
        <v>0</v>
      </c>
      <c r="AS64"/>
    </row>
    <row r="65" spans="1:45" s="59" customFormat="1" ht="13.5" hidden="1" thickTop="1" x14ac:dyDescent="0.2">
      <c r="A65" s="57">
        <v>42</v>
      </c>
      <c r="B65" s="37" t="s">
        <v>409</v>
      </c>
      <c r="C65" s="169" t="s">
        <v>422</v>
      </c>
      <c r="D65" s="170"/>
      <c r="E65" s="171" t="s">
        <v>21</v>
      </c>
      <c r="F65" s="171" t="s">
        <v>420</v>
      </c>
      <c r="G65" s="171"/>
      <c r="H65" s="314">
        <v>0</v>
      </c>
      <c r="I65" s="173">
        <f>+H65*12*D65</f>
        <v>0</v>
      </c>
      <c r="J65" s="173"/>
      <c r="K65" s="173"/>
      <c r="L65" s="173">
        <f>+H65*D65</f>
        <v>0</v>
      </c>
      <c r="M65" s="502">
        <f>+I65*$M$10</f>
        <v>0</v>
      </c>
      <c r="N65" s="174"/>
      <c r="O65" s="173">
        <f>IF(H65&gt;685.71,685.71*$O$10*12,H65*$O$10*12)</f>
        <v>0</v>
      </c>
      <c r="P65" s="173"/>
      <c r="Q65" s="173">
        <f>SUM(N65:P65)</f>
        <v>0</v>
      </c>
      <c r="R65" s="161">
        <f>SUM(I65:P65)</f>
        <v>0</v>
      </c>
      <c r="S65" s="12"/>
      <c r="T65" s="12"/>
      <c r="U65" s="12"/>
      <c r="V65" s="453"/>
      <c r="W65" s="19"/>
      <c r="X65" s="19"/>
      <c r="Y65" s="19"/>
      <c r="Z65" s="19"/>
      <c r="AA65" s="19">
        <f t="shared" si="14"/>
        <v>0</v>
      </c>
      <c r="AB65" s="19">
        <f t="shared" si="120"/>
        <v>0</v>
      </c>
      <c r="AC65" s="19">
        <f t="shared" si="121"/>
        <v>0</v>
      </c>
      <c r="AD65" s="19"/>
      <c r="AE65" s="251">
        <f>SUM(Q65:AB65)</f>
        <v>0</v>
      </c>
      <c r="AG65" s="453"/>
      <c r="AH65" s="19"/>
      <c r="AI65" s="19"/>
      <c r="AJ65" s="19"/>
      <c r="AK65" s="19"/>
      <c r="AL65" s="19">
        <f t="shared" si="219"/>
        <v>0</v>
      </c>
      <c r="AM65" s="19">
        <f t="shared" si="220"/>
        <v>0</v>
      </c>
      <c r="AN65" s="19">
        <f t="shared" si="221"/>
        <v>0</v>
      </c>
      <c r="AO65" s="19"/>
      <c r="AP65" s="251">
        <f>SUM(AC65:AM65)</f>
        <v>0</v>
      </c>
      <c r="AR65" s="310">
        <f t="shared" si="153"/>
        <v>0</v>
      </c>
      <c r="AS65"/>
    </row>
    <row r="66" spans="1:45" s="59" customFormat="1" ht="14.25" hidden="1" thickTop="1" thickBot="1" x14ac:dyDescent="0.25">
      <c r="A66" s="60"/>
      <c r="B66" s="61" t="s">
        <v>423</v>
      </c>
      <c r="C66" s="175"/>
      <c r="D66" s="180">
        <f>SUM(D63:D65)</f>
        <v>1</v>
      </c>
      <c r="E66" s="177"/>
      <c r="F66" s="177"/>
      <c r="G66" s="177"/>
      <c r="H66" s="181">
        <f t="shared" ref="H66:R66" si="222">SUM(H63:H65)</f>
        <v>0</v>
      </c>
      <c r="I66" s="181">
        <f t="shared" si="222"/>
        <v>0</v>
      </c>
      <c r="J66" s="181"/>
      <c r="K66" s="181"/>
      <c r="L66" s="181">
        <f t="shared" si="222"/>
        <v>0</v>
      </c>
      <c r="M66" s="506">
        <f t="shared" si="222"/>
        <v>0</v>
      </c>
      <c r="N66" s="181">
        <f t="shared" si="222"/>
        <v>0</v>
      </c>
      <c r="O66" s="181">
        <f t="shared" si="222"/>
        <v>0</v>
      </c>
      <c r="P66" s="181">
        <f t="shared" si="222"/>
        <v>0</v>
      </c>
      <c r="Q66" s="181">
        <f t="shared" si="222"/>
        <v>0</v>
      </c>
      <c r="R66" s="162">
        <f t="shared" si="222"/>
        <v>0</v>
      </c>
      <c r="S66" s="12"/>
      <c r="T66" s="12"/>
      <c r="U66" s="12"/>
      <c r="V66" s="453"/>
      <c r="W66" s="19"/>
      <c r="X66" s="19"/>
      <c r="Y66" s="19"/>
      <c r="Z66" s="19"/>
      <c r="AA66" s="19">
        <f t="shared" si="14"/>
        <v>0</v>
      </c>
      <c r="AB66" s="19">
        <f t="shared" si="120"/>
        <v>0</v>
      </c>
      <c r="AC66" s="19">
        <f t="shared" si="121"/>
        <v>0</v>
      </c>
      <c r="AD66" s="19"/>
      <c r="AE66" s="251">
        <f t="shared" ref="AE66" si="223">SUM(AE63:AE65)</f>
        <v>0</v>
      </c>
      <c r="AG66" s="453"/>
      <c r="AH66" s="19"/>
      <c r="AI66" s="19"/>
      <c r="AJ66" s="19"/>
      <c r="AK66" s="19"/>
      <c r="AL66" s="19">
        <f t="shared" si="219"/>
        <v>0</v>
      </c>
      <c r="AM66" s="19">
        <f t="shared" si="220"/>
        <v>0</v>
      </c>
      <c r="AN66" s="19">
        <f t="shared" si="221"/>
        <v>0</v>
      </c>
      <c r="AO66" s="19"/>
      <c r="AP66" s="251">
        <f t="shared" ref="AP66" si="224">SUM(AP63:AP65)</f>
        <v>0</v>
      </c>
      <c r="AR66" s="310">
        <f t="shared" si="153"/>
        <v>0</v>
      </c>
      <c r="AS66"/>
    </row>
    <row r="67" spans="1:45" s="59" customFormat="1" ht="13.5" thickTop="1" x14ac:dyDescent="0.2">
      <c r="A67" s="57">
        <v>19</v>
      </c>
      <c r="B67" s="37" t="s">
        <v>640</v>
      </c>
      <c r="C67" s="169" t="s">
        <v>424</v>
      </c>
      <c r="D67" s="170">
        <v>1</v>
      </c>
      <c r="E67" s="171" t="s">
        <v>253</v>
      </c>
      <c r="F67" s="171" t="s">
        <v>253</v>
      </c>
      <c r="G67" s="304">
        <v>0</v>
      </c>
      <c r="H67" s="314">
        <f t="shared" ref="H67:H75" si="225">D67*G67</f>
        <v>0</v>
      </c>
      <c r="I67" s="173">
        <f>H67*12</f>
        <v>0</v>
      </c>
      <c r="J67" s="173">
        <v>0</v>
      </c>
      <c r="K67" s="173">
        <v>0</v>
      </c>
      <c r="L67" s="173">
        <f>H67</f>
        <v>0</v>
      </c>
      <c r="M67" s="502">
        <f>(I67+K67)*M$10</f>
        <v>0</v>
      </c>
      <c r="N67" s="173">
        <f>(I67+K67)*N$10</f>
        <v>0</v>
      </c>
      <c r="O67" s="173">
        <f>ROUND(((I67+K67)*O$10),2)</f>
        <v>0</v>
      </c>
      <c r="P67" s="173">
        <f>ROUND(((I67+K67)*P$10),2)</f>
        <v>0</v>
      </c>
      <c r="Q67" s="173">
        <f>SUM(M67:P67)</f>
        <v>0</v>
      </c>
      <c r="R67" s="158">
        <f t="shared" ref="R67:R75" si="226">I67+J67+K67+L67+Q67</f>
        <v>0</v>
      </c>
      <c r="S67" s="12"/>
      <c r="T67" s="12"/>
      <c r="U67" s="12"/>
      <c r="V67" s="454" t="s">
        <v>313</v>
      </c>
      <c r="W67" s="173">
        <f>H67*V67</f>
        <v>0</v>
      </c>
      <c r="X67" s="173"/>
      <c r="Y67" s="173"/>
      <c r="Z67" s="173">
        <f t="shared" ref="Z67:Z75" si="227">ROUND(((O67/12)*V67),2)</f>
        <v>0</v>
      </c>
      <c r="AA67" s="173">
        <f t="shared" si="14"/>
        <v>0</v>
      </c>
      <c r="AB67" s="173">
        <f t="shared" ref="AB67:AB75" si="228">ROUND(((M67/12)*V67),2)</f>
        <v>0</v>
      </c>
      <c r="AC67" s="173">
        <f t="shared" ref="AC67:AC75" si="229">ROUND(((P67/12)*V67),2)</f>
        <v>0</v>
      </c>
      <c r="AD67" s="173">
        <f t="shared" ref="AD67:AD75" si="230">L67</f>
        <v>0</v>
      </c>
      <c r="AE67" s="173">
        <f t="shared" ref="AE67:AE75" si="231">SUM(W67:AD67)</f>
        <v>0</v>
      </c>
      <c r="AG67" s="975">
        <f t="shared" ref="AG67:AG75" si="232">12-V67</f>
        <v>7</v>
      </c>
      <c r="AH67" s="173">
        <f>H67*AG67</f>
        <v>0</v>
      </c>
      <c r="AI67" s="173">
        <f>J67</f>
        <v>0</v>
      </c>
      <c r="AJ67" s="173"/>
      <c r="AK67" s="173">
        <f t="shared" ref="AK67:AK75" si="233">ROUND(((O67/12)*AG67),2)</f>
        <v>0</v>
      </c>
      <c r="AL67" s="173">
        <f>(N67/12)*AG67</f>
        <v>0</v>
      </c>
      <c r="AM67" s="173">
        <f t="shared" ref="AM67:AM75" si="234">ROUND(((M67/12)*AG67),2)</f>
        <v>0</v>
      </c>
      <c r="AN67" s="173">
        <f t="shared" ref="AN67:AN75" si="235">ROUND(((P67/12)*AG67),2)</f>
        <v>0</v>
      </c>
      <c r="AO67" s="173"/>
      <c r="AP67" s="173">
        <f>SUM(AH67:AN67)</f>
        <v>0</v>
      </c>
      <c r="AR67" s="310">
        <f t="shared" si="153"/>
        <v>0</v>
      </c>
      <c r="AS67"/>
    </row>
    <row r="68" spans="1:45" s="59" customFormat="1" x14ac:dyDescent="0.2">
      <c r="A68" s="57">
        <v>21</v>
      </c>
      <c r="B68" s="37" t="s">
        <v>425</v>
      </c>
      <c r="C68" s="169" t="s">
        <v>424</v>
      </c>
      <c r="D68" s="170">
        <v>6</v>
      </c>
      <c r="E68" s="171" t="s">
        <v>253</v>
      </c>
      <c r="F68" s="171" t="s">
        <v>253</v>
      </c>
      <c r="G68" s="304">
        <v>354.17</v>
      </c>
      <c r="H68" s="314">
        <f t="shared" si="225"/>
        <v>2125.02</v>
      </c>
      <c r="I68" s="173">
        <f>H68*12</f>
        <v>25500.239999999998</v>
      </c>
      <c r="J68" s="173">
        <f t="shared" ref="J68:J74" si="236">100*D68</f>
        <v>600</v>
      </c>
      <c r="K68" s="173">
        <f>G68*D68</f>
        <v>2125.02</v>
      </c>
      <c r="L68" s="173">
        <f t="shared" ref="L68:L78" si="237">H68</f>
        <v>2125.02</v>
      </c>
      <c r="M68" s="502">
        <f t="shared" ref="M68:M75" si="238">ROUND(((I68+K68)*M$10),2)</f>
        <v>2140.96</v>
      </c>
      <c r="N68" s="173">
        <v>0</v>
      </c>
      <c r="O68" s="173">
        <f>ROUND(((I68+K68)*O$10),2)</f>
        <v>2071.89</v>
      </c>
      <c r="P68" s="173">
        <f t="shared" ref="P68:P74" si="239">ROUND(((I68+K68)*P$10),2)</f>
        <v>276.25</v>
      </c>
      <c r="Q68" s="173">
        <f t="shared" ref="Q68:Q75" si="240">SUM(M68:P68)</f>
        <v>4489.1000000000004</v>
      </c>
      <c r="R68" s="158">
        <f t="shared" si="226"/>
        <v>34839.379999999997</v>
      </c>
      <c r="S68" s="12"/>
      <c r="T68" s="12"/>
      <c r="U68" s="12"/>
      <c r="V68" s="454" t="s">
        <v>313</v>
      </c>
      <c r="W68" s="173">
        <f t="shared" ref="W68:W75" si="241">H68*V68</f>
        <v>10625.1</v>
      </c>
      <c r="X68" s="173"/>
      <c r="Y68" s="173"/>
      <c r="Z68" s="173">
        <f t="shared" si="227"/>
        <v>863.29</v>
      </c>
      <c r="AA68" s="173">
        <f>ROUND(((N68/12)*V68),2)</f>
        <v>0</v>
      </c>
      <c r="AB68" s="173">
        <f t="shared" si="228"/>
        <v>892.07</v>
      </c>
      <c r="AC68" s="173">
        <f t="shared" si="229"/>
        <v>115.1</v>
      </c>
      <c r="AD68" s="173">
        <f t="shared" si="230"/>
        <v>2125.02</v>
      </c>
      <c r="AE68" s="173">
        <f t="shared" si="231"/>
        <v>14620.58</v>
      </c>
      <c r="AG68" s="975">
        <f t="shared" si="232"/>
        <v>7</v>
      </c>
      <c r="AH68" s="173">
        <f>H68*AG68</f>
        <v>14875.14</v>
      </c>
      <c r="AI68" s="173">
        <f>J68</f>
        <v>600</v>
      </c>
      <c r="AJ68" s="173">
        <f>K68</f>
        <v>2125.02</v>
      </c>
      <c r="AK68" s="173">
        <f t="shared" si="233"/>
        <v>1208.5999999999999</v>
      </c>
      <c r="AL68" s="173">
        <f>ROUND(((N68/12)*AG68),2)</f>
        <v>0</v>
      </c>
      <c r="AM68" s="173">
        <f t="shared" si="234"/>
        <v>1248.8900000000001</v>
      </c>
      <c r="AN68" s="173">
        <f t="shared" si="235"/>
        <v>161.15</v>
      </c>
      <c r="AO68" s="173"/>
      <c r="AP68" s="173">
        <f>SUM(AH68:AN68)</f>
        <v>20218.8</v>
      </c>
      <c r="AR68" s="310">
        <f t="shared" si="153"/>
        <v>0</v>
      </c>
      <c r="AS68"/>
    </row>
    <row r="69" spans="1:45" s="59" customFormat="1" x14ac:dyDescent="0.2">
      <c r="A69" s="57">
        <v>22</v>
      </c>
      <c r="B69" s="37" t="s">
        <v>426</v>
      </c>
      <c r="C69" s="169" t="s">
        <v>7</v>
      </c>
      <c r="D69" s="170">
        <v>2</v>
      </c>
      <c r="E69" s="171" t="s">
        <v>253</v>
      </c>
      <c r="F69" s="171" t="s">
        <v>253</v>
      </c>
      <c r="G69" s="304">
        <v>354.17</v>
      </c>
      <c r="H69" s="314">
        <f t="shared" si="225"/>
        <v>708.34</v>
      </c>
      <c r="I69" s="173">
        <f t="shared" ref="I69:I78" si="242">H69*12</f>
        <v>8500.08</v>
      </c>
      <c r="J69" s="173">
        <f t="shared" si="236"/>
        <v>200</v>
      </c>
      <c r="K69" s="173">
        <f t="shared" ref="K69" si="243">G69*D69</f>
        <v>708.34</v>
      </c>
      <c r="L69" s="173">
        <f t="shared" si="237"/>
        <v>708.34</v>
      </c>
      <c r="M69" s="502">
        <f t="shared" si="238"/>
        <v>713.65</v>
      </c>
      <c r="N69" s="173">
        <v>0</v>
      </c>
      <c r="O69" s="173">
        <f t="shared" ref="O69:O75" si="244">ROUND(((I69+K69)*O$10),2)</f>
        <v>690.63</v>
      </c>
      <c r="P69" s="173">
        <f t="shared" si="239"/>
        <v>92.08</v>
      </c>
      <c r="Q69" s="173">
        <f t="shared" si="240"/>
        <v>1496.36</v>
      </c>
      <c r="R69" s="158">
        <f t="shared" si="226"/>
        <v>11613.12</v>
      </c>
      <c r="S69" s="12"/>
      <c r="T69" s="12"/>
      <c r="U69" s="12"/>
      <c r="V69" s="454" t="s">
        <v>312</v>
      </c>
      <c r="W69" s="173">
        <f t="shared" si="241"/>
        <v>2833.36</v>
      </c>
      <c r="X69" s="173"/>
      <c r="Y69" s="173"/>
      <c r="Z69" s="173">
        <f t="shared" si="227"/>
        <v>230.21</v>
      </c>
      <c r="AA69" s="173">
        <f t="shared" si="14"/>
        <v>0</v>
      </c>
      <c r="AB69" s="173">
        <f t="shared" si="228"/>
        <v>237.88</v>
      </c>
      <c r="AC69" s="173">
        <f t="shared" si="229"/>
        <v>30.69</v>
      </c>
      <c r="AD69" s="173">
        <f t="shared" si="230"/>
        <v>708.34</v>
      </c>
      <c r="AE69" s="173">
        <f t="shared" si="231"/>
        <v>4040.4800000000005</v>
      </c>
      <c r="AG69" s="975">
        <f t="shared" si="232"/>
        <v>8</v>
      </c>
      <c r="AH69" s="173">
        <f>H69*AG69</f>
        <v>5666.72</v>
      </c>
      <c r="AI69" s="173">
        <f>J69</f>
        <v>200</v>
      </c>
      <c r="AJ69" s="173">
        <f>K69</f>
        <v>708.34</v>
      </c>
      <c r="AK69" s="173">
        <f t="shared" si="233"/>
        <v>460.42</v>
      </c>
      <c r="AL69" s="173">
        <f>(N69/12)*AG69</f>
        <v>0</v>
      </c>
      <c r="AM69" s="173">
        <f t="shared" si="234"/>
        <v>475.77</v>
      </c>
      <c r="AN69" s="173">
        <f t="shared" si="235"/>
        <v>61.39</v>
      </c>
      <c r="AO69" s="173"/>
      <c r="AP69" s="173">
        <f>SUM(AH69:AN69)</f>
        <v>7572.64</v>
      </c>
      <c r="AR69" s="310">
        <f t="shared" si="153"/>
        <v>0</v>
      </c>
      <c r="AS69"/>
    </row>
    <row r="70" spans="1:45" s="59" customFormat="1" x14ac:dyDescent="0.2">
      <c r="A70" s="57">
        <v>24</v>
      </c>
      <c r="B70" s="312" t="s">
        <v>594</v>
      </c>
      <c r="C70" s="169" t="s">
        <v>594</v>
      </c>
      <c r="D70" s="170">
        <v>1</v>
      </c>
      <c r="E70" s="171" t="s">
        <v>253</v>
      </c>
      <c r="F70" s="171" t="s">
        <v>253</v>
      </c>
      <c r="G70" s="304">
        <v>550</v>
      </c>
      <c r="H70" s="314">
        <f t="shared" ref="H70" si="245">D70*G70</f>
        <v>550</v>
      </c>
      <c r="I70" s="173">
        <f>H70*12</f>
        <v>6600</v>
      </c>
      <c r="J70" s="173">
        <f t="shared" ref="J70" si="246">100*D70</f>
        <v>100</v>
      </c>
      <c r="K70" s="173">
        <v>0</v>
      </c>
      <c r="L70" s="173">
        <f t="shared" si="237"/>
        <v>550</v>
      </c>
      <c r="M70" s="502">
        <f t="shared" si="238"/>
        <v>511.5</v>
      </c>
      <c r="N70" s="173">
        <v>0</v>
      </c>
      <c r="O70" s="173">
        <f t="shared" si="244"/>
        <v>495</v>
      </c>
      <c r="P70" s="173">
        <f t="shared" si="239"/>
        <v>66</v>
      </c>
      <c r="Q70" s="173">
        <f>SUM(M70:P70)</f>
        <v>1072.5</v>
      </c>
      <c r="R70" s="158">
        <f t="shared" ref="R70" si="247">I70+J70+K70+L70+Q70</f>
        <v>8322.5</v>
      </c>
      <c r="S70" s="12"/>
      <c r="T70" s="12"/>
      <c r="U70" s="12"/>
      <c r="V70" s="454" t="s">
        <v>312</v>
      </c>
      <c r="W70" s="173">
        <f t="shared" ref="W70" si="248">H70*V70</f>
        <v>2200</v>
      </c>
      <c r="X70" s="173"/>
      <c r="Y70" s="173"/>
      <c r="Z70" s="173">
        <f t="shared" si="227"/>
        <v>165</v>
      </c>
      <c r="AA70" s="173">
        <f t="shared" ref="AA70" si="249">(N70/12)*V70</f>
        <v>0</v>
      </c>
      <c r="AB70" s="173">
        <f t="shared" si="228"/>
        <v>170.5</v>
      </c>
      <c r="AC70" s="173">
        <f t="shared" si="229"/>
        <v>22</v>
      </c>
      <c r="AD70" s="173">
        <f t="shared" si="230"/>
        <v>550</v>
      </c>
      <c r="AE70" s="173">
        <f t="shared" si="231"/>
        <v>3107.5</v>
      </c>
      <c r="AG70" s="975">
        <f t="shared" si="232"/>
        <v>8</v>
      </c>
      <c r="AH70" s="173">
        <f t="shared" ref="AH70" si="250">H70*AG70</f>
        <v>4400</v>
      </c>
      <c r="AI70" s="173">
        <f t="shared" ref="AI70" si="251">J70</f>
        <v>100</v>
      </c>
      <c r="AJ70" s="173"/>
      <c r="AK70" s="173">
        <f t="shared" si="233"/>
        <v>330</v>
      </c>
      <c r="AL70" s="173">
        <f t="shared" ref="AL70" si="252">(N70/12)*AG70</f>
        <v>0</v>
      </c>
      <c r="AM70" s="173">
        <f t="shared" si="234"/>
        <v>341</v>
      </c>
      <c r="AN70" s="173">
        <f t="shared" si="235"/>
        <v>44</v>
      </c>
      <c r="AO70" s="173"/>
      <c r="AP70" s="173">
        <f t="shared" ref="AP70" si="253">SUM(AH70:AN70)</f>
        <v>5215</v>
      </c>
      <c r="AR70" s="310">
        <f t="shared" ref="AR70" si="254">AB70+AM70-M70</f>
        <v>0</v>
      </c>
      <c r="AS70"/>
    </row>
    <row r="71" spans="1:45" s="59" customFormat="1" x14ac:dyDescent="0.2">
      <c r="A71" s="57">
        <v>25</v>
      </c>
      <c r="B71" s="37" t="s">
        <v>641</v>
      </c>
      <c r="C71" s="169" t="s">
        <v>568</v>
      </c>
      <c r="D71" s="170">
        <v>1</v>
      </c>
      <c r="E71" s="171" t="s">
        <v>253</v>
      </c>
      <c r="F71" s="171" t="s">
        <v>253</v>
      </c>
      <c r="G71" s="304">
        <v>550</v>
      </c>
      <c r="H71" s="314">
        <f t="shared" si="225"/>
        <v>550</v>
      </c>
      <c r="I71" s="173">
        <f t="shared" si="242"/>
        <v>6600</v>
      </c>
      <c r="J71" s="173">
        <f t="shared" si="236"/>
        <v>100</v>
      </c>
      <c r="K71" s="173">
        <f t="shared" ref="K71:K75" si="255">G71*D71</f>
        <v>550</v>
      </c>
      <c r="L71" s="173">
        <f t="shared" si="237"/>
        <v>550</v>
      </c>
      <c r="M71" s="502">
        <f t="shared" si="238"/>
        <v>554.13</v>
      </c>
      <c r="N71" s="173">
        <v>0</v>
      </c>
      <c r="O71" s="173">
        <f t="shared" si="244"/>
        <v>536.25</v>
      </c>
      <c r="P71" s="173">
        <f t="shared" si="239"/>
        <v>71.5</v>
      </c>
      <c r="Q71" s="173">
        <f>SUM(M71:P71)</f>
        <v>1161.8800000000001</v>
      </c>
      <c r="R71" s="158">
        <f t="shared" si="226"/>
        <v>8961.880000000001</v>
      </c>
      <c r="S71" s="12"/>
      <c r="T71" s="12"/>
      <c r="U71" s="12"/>
      <c r="V71" s="454" t="s">
        <v>312</v>
      </c>
      <c r="W71" s="173">
        <f t="shared" si="241"/>
        <v>2200</v>
      </c>
      <c r="X71" s="173"/>
      <c r="Y71" s="173"/>
      <c r="Z71" s="173">
        <f t="shared" si="227"/>
        <v>178.75</v>
      </c>
      <c r="AA71" s="173">
        <f t="shared" si="14"/>
        <v>0</v>
      </c>
      <c r="AB71" s="173">
        <f t="shared" si="228"/>
        <v>184.71</v>
      </c>
      <c r="AC71" s="173">
        <f t="shared" si="229"/>
        <v>23.83</v>
      </c>
      <c r="AD71" s="173">
        <f t="shared" si="230"/>
        <v>550</v>
      </c>
      <c r="AE71" s="173">
        <f t="shared" si="231"/>
        <v>3137.29</v>
      </c>
      <c r="AG71" s="975">
        <f t="shared" si="232"/>
        <v>8</v>
      </c>
      <c r="AH71" s="173">
        <f>H71*AG71</f>
        <v>4400</v>
      </c>
      <c r="AI71" s="173">
        <f>J71</f>
        <v>100</v>
      </c>
      <c r="AJ71" s="173">
        <f>K71</f>
        <v>550</v>
      </c>
      <c r="AK71" s="173">
        <f t="shared" si="233"/>
        <v>357.5</v>
      </c>
      <c r="AL71" s="173">
        <f>(N71/12)*AG71</f>
        <v>0</v>
      </c>
      <c r="AM71" s="173">
        <f t="shared" si="234"/>
        <v>369.42</v>
      </c>
      <c r="AN71" s="173">
        <f t="shared" si="235"/>
        <v>47.67</v>
      </c>
      <c r="AO71" s="173"/>
      <c r="AP71" s="173">
        <f>SUM(AH71:AN71)</f>
        <v>5824.59</v>
      </c>
      <c r="AR71" s="310">
        <f t="shared" ref="AR71:AR78" si="256">AB71+AM71-M71</f>
        <v>0</v>
      </c>
      <c r="AS71"/>
    </row>
    <row r="72" spans="1:45" s="59" customFormat="1" x14ac:dyDescent="0.2">
      <c r="A72" s="57">
        <v>26</v>
      </c>
      <c r="B72" s="37" t="s">
        <v>642</v>
      </c>
      <c r="C72" s="169" t="s">
        <v>568</v>
      </c>
      <c r="D72" s="170">
        <v>1</v>
      </c>
      <c r="E72" s="171" t="s">
        <v>253</v>
      </c>
      <c r="F72" s="171" t="s">
        <v>253</v>
      </c>
      <c r="G72" s="304">
        <v>384.29</v>
      </c>
      <c r="H72" s="314">
        <f t="shared" si="225"/>
        <v>384.29</v>
      </c>
      <c r="I72" s="173">
        <f>H72*12</f>
        <v>4611.4800000000005</v>
      </c>
      <c r="J72" s="173">
        <f t="shared" si="236"/>
        <v>100</v>
      </c>
      <c r="K72" s="173">
        <f t="shared" si="255"/>
        <v>384.29</v>
      </c>
      <c r="L72" s="173">
        <f>H72</f>
        <v>384.29</v>
      </c>
      <c r="M72" s="502">
        <f t="shared" si="238"/>
        <v>387.17</v>
      </c>
      <c r="N72" s="173">
        <v>0</v>
      </c>
      <c r="O72" s="173">
        <f t="shared" si="244"/>
        <v>374.68</v>
      </c>
      <c r="P72" s="173">
        <f t="shared" si="239"/>
        <v>49.96</v>
      </c>
      <c r="Q72" s="173">
        <f>SUM(M72:P72)</f>
        <v>811.81000000000006</v>
      </c>
      <c r="R72" s="158">
        <f t="shared" si="226"/>
        <v>6291.8700000000008</v>
      </c>
      <c r="S72" s="12"/>
      <c r="T72" s="12"/>
      <c r="U72" s="12"/>
      <c r="V72" s="454" t="s">
        <v>312</v>
      </c>
      <c r="W72" s="173">
        <f t="shared" si="241"/>
        <v>1537.16</v>
      </c>
      <c r="X72" s="173"/>
      <c r="Y72" s="173"/>
      <c r="Z72" s="173">
        <f t="shared" si="227"/>
        <v>124.89</v>
      </c>
      <c r="AA72" s="173">
        <f t="shared" si="14"/>
        <v>0</v>
      </c>
      <c r="AB72" s="173">
        <f t="shared" si="228"/>
        <v>129.06</v>
      </c>
      <c r="AC72" s="173">
        <f t="shared" si="229"/>
        <v>16.649999999999999</v>
      </c>
      <c r="AD72" s="173">
        <f t="shared" si="230"/>
        <v>384.29</v>
      </c>
      <c r="AE72" s="173">
        <f t="shared" si="231"/>
        <v>2192.0500000000002</v>
      </c>
      <c r="AG72" s="975">
        <f t="shared" si="232"/>
        <v>8</v>
      </c>
      <c r="AH72" s="173">
        <f>H72*AG72</f>
        <v>3074.32</v>
      </c>
      <c r="AI72" s="173">
        <f>J72</f>
        <v>100</v>
      </c>
      <c r="AJ72" s="173">
        <f t="shared" ref="AJ72:AJ75" si="257">K72</f>
        <v>384.29</v>
      </c>
      <c r="AK72" s="173">
        <f t="shared" si="233"/>
        <v>249.79</v>
      </c>
      <c r="AL72" s="173">
        <f>(N72/12)*AG72</f>
        <v>0</v>
      </c>
      <c r="AM72" s="173">
        <f t="shared" si="234"/>
        <v>258.11</v>
      </c>
      <c r="AN72" s="173">
        <f t="shared" si="235"/>
        <v>33.31</v>
      </c>
      <c r="AO72" s="173"/>
      <c r="AP72" s="173">
        <f>SUM(AH72:AN72)</f>
        <v>4099.8200000000006</v>
      </c>
      <c r="AR72" s="310">
        <f t="shared" si="256"/>
        <v>0</v>
      </c>
      <c r="AS72"/>
    </row>
    <row r="73" spans="1:45" s="59" customFormat="1" ht="12.75" customHeight="1" x14ac:dyDescent="0.2">
      <c r="A73" s="57">
        <v>27</v>
      </c>
      <c r="B73" s="111" t="s">
        <v>685</v>
      </c>
      <c r="C73" s="169" t="s">
        <v>568</v>
      </c>
      <c r="D73" s="170">
        <v>1</v>
      </c>
      <c r="E73" s="171" t="s">
        <v>253</v>
      </c>
      <c r="F73" s="171" t="s">
        <v>253</v>
      </c>
      <c r="G73" s="304">
        <v>500</v>
      </c>
      <c r="H73" s="314">
        <f t="shared" si="225"/>
        <v>500</v>
      </c>
      <c r="I73" s="173">
        <f>H73*12</f>
        <v>6000</v>
      </c>
      <c r="J73" s="172">
        <v>100</v>
      </c>
      <c r="K73" s="172">
        <v>0</v>
      </c>
      <c r="L73" s="173">
        <f>H73</f>
        <v>500</v>
      </c>
      <c r="M73" s="502">
        <f t="shared" ref="M73" si="258">ROUND(I73*$M$10,2)</f>
        <v>465</v>
      </c>
      <c r="N73" s="174">
        <v>0</v>
      </c>
      <c r="O73" s="173">
        <f t="shared" ref="O73" si="259">ROUND((IF(H73&gt;1000,1000*$O$10*12,H73*$O$10*12)),2)</f>
        <v>450</v>
      </c>
      <c r="P73" s="173">
        <f t="shared" si="239"/>
        <v>60</v>
      </c>
      <c r="Q73" s="173">
        <f>SUM(M73:P73)</f>
        <v>975</v>
      </c>
      <c r="R73" s="158">
        <f t="shared" si="226"/>
        <v>7575</v>
      </c>
      <c r="S73" s="12"/>
      <c r="T73" s="12"/>
      <c r="U73" s="12"/>
      <c r="V73" s="454" t="s">
        <v>312</v>
      </c>
      <c r="W73" s="173">
        <f t="shared" si="241"/>
        <v>2000</v>
      </c>
      <c r="X73" s="173"/>
      <c r="Y73" s="173"/>
      <c r="Z73" s="173">
        <f t="shared" si="227"/>
        <v>150</v>
      </c>
      <c r="AA73" s="173">
        <f t="shared" ref="AA73" si="260">(N73/12)*V73</f>
        <v>0</v>
      </c>
      <c r="AB73" s="173">
        <f t="shared" si="228"/>
        <v>155</v>
      </c>
      <c r="AC73" s="173">
        <f t="shared" si="229"/>
        <v>20</v>
      </c>
      <c r="AD73" s="173">
        <f t="shared" si="230"/>
        <v>500</v>
      </c>
      <c r="AE73" s="173">
        <f t="shared" ref="AE73" si="261">SUM(W73:AD73)</f>
        <v>2825</v>
      </c>
      <c r="AG73" s="975">
        <f t="shared" si="232"/>
        <v>8</v>
      </c>
      <c r="AH73" s="173">
        <f t="shared" ref="AH73" si="262">H73*AG73</f>
        <v>4000</v>
      </c>
      <c r="AI73" s="173">
        <f t="shared" ref="AI73" si="263">J73</f>
        <v>100</v>
      </c>
      <c r="AJ73" s="173"/>
      <c r="AK73" s="173">
        <f t="shared" si="233"/>
        <v>300</v>
      </c>
      <c r="AL73" s="173">
        <f t="shared" ref="AL73" si="264">(N73/12)*AG73</f>
        <v>0</v>
      </c>
      <c r="AM73" s="173">
        <f t="shared" si="234"/>
        <v>310</v>
      </c>
      <c r="AN73" s="173">
        <f t="shared" si="235"/>
        <v>40</v>
      </c>
      <c r="AO73" s="173"/>
      <c r="AP73" s="173">
        <f t="shared" ref="AP73" si="265">SUM(AH73:AN73)</f>
        <v>4750</v>
      </c>
      <c r="AR73" s="310">
        <f t="shared" si="256"/>
        <v>0</v>
      </c>
    </row>
    <row r="74" spans="1:45" s="59" customFormat="1" x14ac:dyDescent="0.2">
      <c r="A74" s="57">
        <v>28</v>
      </c>
      <c r="B74" s="37" t="s">
        <v>428</v>
      </c>
      <c r="C74" s="169" t="s">
        <v>568</v>
      </c>
      <c r="D74" s="170">
        <v>2</v>
      </c>
      <c r="E74" s="171" t="s">
        <v>253</v>
      </c>
      <c r="F74" s="171" t="s">
        <v>253</v>
      </c>
      <c r="G74" s="304">
        <v>354.17</v>
      </c>
      <c r="H74" s="314">
        <f>D74*G74</f>
        <v>708.34</v>
      </c>
      <c r="I74" s="173">
        <f>H74*12</f>
        <v>8500.08</v>
      </c>
      <c r="J74" s="173">
        <f t="shared" si="236"/>
        <v>200</v>
      </c>
      <c r="K74" s="173">
        <f t="shared" si="255"/>
        <v>708.34</v>
      </c>
      <c r="L74" s="173">
        <f t="shared" ref="L74" si="266">H74</f>
        <v>708.34</v>
      </c>
      <c r="M74" s="502">
        <f t="shared" si="238"/>
        <v>713.65</v>
      </c>
      <c r="N74" s="173">
        <v>0</v>
      </c>
      <c r="O74" s="173">
        <f t="shared" si="244"/>
        <v>690.63</v>
      </c>
      <c r="P74" s="173">
        <f t="shared" si="239"/>
        <v>92.08</v>
      </c>
      <c r="Q74" s="173">
        <f t="shared" ref="Q74" si="267">SUM(M74:P74)</f>
        <v>1496.36</v>
      </c>
      <c r="R74" s="158">
        <f t="shared" si="226"/>
        <v>11613.12</v>
      </c>
      <c r="S74" s="12"/>
      <c r="T74" s="12"/>
      <c r="U74" s="12"/>
      <c r="V74" s="454" t="s">
        <v>312</v>
      </c>
      <c r="W74" s="173">
        <f t="shared" si="241"/>
        <v>2833.36</v>
      </c>
      <c r="X74" s="173"/>
      <c r="Y74" s="173"/>
      <c r="Z74" s="173">
        <f t="shared" si="227"/>
        <v>230.21</v>
      </c>
      <c r="AA74" s="173">
        <f t="shared" si="14"/>
        <v>0</v>
      </c>
      <c r="AB74" s="173">
        <f t="shared" si="228"/>
        <v>237.88</v>
      </c>
      <c r="AC74" s="173">
        <f t="shared" si="229"/>
        <v>30.69</v>
      </c>
      <c r="AD74" s="173">
        <f t="shared" si="230"/>
        <v>708.34</v>
      </c>
      <c r="AE74" s="173">
        <f t="shared" si="231"/>
        <v>4040.4800000000005</v>
      </c>
      <c r="AG74" s="975">
        <f t="shared" si="232"/>
        <v>8</v>
      </c>
      <c r="AH74" s="173">
        <f>H74*AG74</f>
        <v>5666.72</v>
      </c>
      <c r="AI74" s="173">
        <f>J74</f>
        <v>200</v>
      </c>
      <c r="AJ74" s="173">
        <f t="shared" si="257"/>
        <v>708.34</v>
      </c>
      <c r="AK74" s="173">
        <f t="shared" si="233"/>
        <v>460.42</v>
      </c>
      <c r="AL74" s="173">
        <f>(N74/12)*AG74</f>
        <v>0</v>
      </c>
      <c r="AM74" s="173">
        <f t="shared" si="234"/>
        <v>475.77</v>
      </c>
      <c r="AN74" s="173">
        <f t="shared" si="235"/>
        <v>61.39</v>
      </c>
      <c r="AO74" s="173"/>
      <c r="AP74" s="173">
        <f>SUM(AH74:AN74)</f>
        <v>7572.64</v>
      </c>
      <c r="AR74" s="310">
        <f t="shared" si="256"/>
        <v>0</v>
      </c>
      <c r="AS74"/>
    </row>
    <row r="75" spans="1:45" s="59" customFormat="1" x14ac:dyDescent="0.2">
      <c r="A75" s="57">
        <v>29</v>
      </c>
      <c r="B75" s="37" t="s">
        <v>429</v>
      </c>
      <c r="C75" s="169" t="s">
        <v>568</v>
      </c>
      <c r="D75" s="170">
        <v>3</v>
      </c>
      <c r="E75" s="171" t="s">
        <v>253</v>
      </c>
      <c r="F75" s="171" t="s">
        <v>253</v>
      </c>
      <c r="G75" s="304">
        <v>354.17</v>
      </c>
      <c r="H75" s="314">
        <f t="shared" si="225"/>
        <v>1062.51</v>
      </c>
      <c r="I75" s="173">
        <f t="shared" si="242"/>
        <v>12750.119999999999</v>
      </c>
      <c r="J75" s="173">
        <f>100*D75</f>
        <v>300</v>
      </c>
      <c r="K75" s="173">
        <f t="shared" si="255"/>
        <v>1062.51</v>
      </c>
      <c r="L75" s="173">
        <f t="shared" si="237"/>
        <v>1062.51</v>
      </c>
      <c r="M75" s="502">
        <f t="shared" si="238"/>
        <v>1070.48</v>
      </c>
      <c r="N75" s="173">
        <v>0</v>
      </c>
      <c r="O75" s="173">
        <f t="shared" si="244"/>
        <v>1035.95</v>
      </c>
      <c r="P75" s="173">
        <f>ROUND(((I75+K75)*P$10),2)</f>
        <v>138.13</v>
      </c>
      <c r="Q75" s="173">
        <f t="shared" si="240"/>
        <v>2244.5600000000004</v>
      </c>
      <c r="R75" s="158">
        <f t="shared" si="226"/>
        <v>17419.7</v>
      </c>
      <c r="S75" s="12"/>
      <c r="T75" s="12"/>
      <c r="U75" s="12"/>
      <c r="V75" s="454" t="s">
        <v>312</v>
      </c>
      <c r="W75" s="173">
        <f t="shared" si="241"/>
        <v>4250.04</v>
      </c>
      <c r="X75" s="173"/>
      <c r="Y75" s="173"/>
      <c r="Z75" s="173">
        <f t="shared" si="227"/>
        <v>345.32</v>
      </c>
      <c r="AA75" s="173">
        <f t="shared" si="14"/>
        <v>0</v>
      </c>
      <c r="AB75" s="173">
        <f t="shared" si="228"/>
        <v>356.83</v>
      </c>
      <c r="AC75" s="173">
        <f t="shared" si="229"/>
        <v>46.04</v>
      </c>
      <c r="AD75" s="173">
        <f t="shared" si="230"/>
        <v>1062.51</v>
      </c>
      <c r="AE75" s="173">
        <f t="shared" si="231"/>
        <v>6060.74</v>
      </c>
      <c r="AG75" s="975">
        <f t="shared" si="232"/>
        <v>8</v>
      </c>
      <c r="AH75" s="173">
        <f>H75*AG75</f>
        <v>8500.08</v>
      </c>
      <c r="AI75" s="173">
        <f>J75</f>
        <v>300</v>
      </c>
      <c r="AJ75" s="173">
        <f t="shared" si="257"/>
        <v>1062.51</v>
      </c>
      <c r="AK75" s="173">
        <f t="shared" si="233"/>
        <v>690.63</v>
      </c>
      <c r="AL75" s="173">
        <f>(N75/12)*AG75</f>
        <v>0</v>
      </c>
      <c r="AM75" s="173">
        <f t="shared" si="234"/>
        <v>713.65</v>
      </c>
      <c r="AN75" s="173">
        <f t="shared" si="235"/>
        <v>92.09</v>
      </c>
      <c r="AO75" s="173"/>
      <c r="AP75" s="173">
        <f>SUM(AH75:AN75)</f>
        <v>11358.96</v>
      </c>
      <c r="AR75" s="310">
        <f t="shared" si="256"/>
        <v>0</v>
      </c>
    </row>
    <row r="76" spans="1:45" s="59" customFormat="1" hidden="1" x14ac:dyDescent="0.2">
      <c r="A76" s="57"/>
      <c r="B76" s="37" t="s">
        <v>500</v>
      </c>
      <c r="C76" s="169" t="s">
        <v>503</v>
      </c>
      <c r="D76" s="170">
        <v>1</v>
      </c>
      <c r="E76" s="171" t="s">
        <v>253</v>
      </c>
      <c r="F76" s="171" t="s">
        <v>253</v>
      </c>
      <c r="G76" s="171"/>
      <c r="H76" s="314"/>
      <c r="I76" s="173">
        <f t="shared" si="242"/>
        <v>0</v>
      </c>
      <c r="J76" s="173"/>
      <c r="K76" s="173"/>
      <c r="L76" s="173">
        <f t="shared" si="237"/>
        <v>0</v>
      </c>
      <c r="M76" s="502">
        <f t="shared" ref="M76:M78" si="268">+I76*$M$10</f>
        <v>0</v>
      </c>
      <c r="N76" s="173">
        <v>0</v>
      </c>
      <c r="O76" s="173">
        <f t="shared" ref="O76:O78" si="269">IF(H76&gt;685.71,685.71*$O$10*12,H76*$O$10*12)*D76</f>
        <v>0</v>
      </c>
      <c r="P76" s="173"/>
      <c r="Q76" s="173">
        <f t="shared" ref="Q76:Q78" si="270">SUM(M76:P76)</f>
        <v>0</v>
      </c>
      <c r="R76" s="158">
        <f t="shared" ref="R76:R78" si="271">SUM(I76:P76)</f>
        <v>0</v>
      </c>
      <c r="S76" s="12"/>
      <c r="T76" s="12"/>
      <c r="U76" s="12"/>
      <c r="V76" s="453"/>
      <c r="W76" s="173"/>
      <c r="X76" s="173"/>
      <c r="Y76" s="173"/>
      <c r="Z76" s="173"/>
      <c r="AA76" s="173">
        <f t="shared" si="14"/>
        <v>0</v>
      </c>
      <c r="AB76" s="173">
        <f t="shared" si="120"/>
        <v>0</v>
      </c>
      <c r="AC76" s="173"/>
      <c r="AD76" s="173"/>
      <c r="AE76" s="173">
        <f t="shared" ref="AE76:AE78" si="272">SUM(Q76:AB76)</f>
        <v>0</v>
      </c>
      <c r="AG76" s="453"/>
      <c r="AH76" s="173"/>
      <c r="AI76" s="173"/>
      <c r="AJ76" s="173"/>
      <c r="AK76" s="173"/>
      <c r="AL76" s="173">
        <f t="shared" si="219"/>
        <v>0</v>
      </c>
      <c r="AM76" s="173">
        <f t="shared" si="220"/>
        <v>0</v>
      </c>
      <c r="AN76" s="173"/>
      <c r="AO76" s="173"/>
      <c r="AP76" s="173">
        <f t="shared" ref="AP76:AP78" si="273">SUM(AC76:AM76)</f>
        <v>0</v>
      </c>
      <c r="AR76" s="310">
        <f t="shared" si="256"/>
        <v>0</v>
      </c>
    </row>
    <row r="77" spans="1:45" s="59" customFormat="1" hidden="1" x14ac:dyDescent="0.2">
      <c r="A77" s="57"/>
      <c r="B77" s="37" t="s">
        <v>501</v>
      </c>
      <c r="C77" s="169" t="s">
        <v>503</v>
      </c>
      <c r="D77" s="170">
        <v>2</v>
      </c>
      <c r="E77" s="171" t="s">
        <v>253</v>
      </c>
      <c r="F77" s="171" t="s">
        <v>253</v>
      </c>
      <c r="G77" s="171"/>
      <c r="H77" s="314"/>
      <c r="I77" s="173">
        <f t="shared" si="242"/>
        <v>0</v>
      </c>
      <c r="J77" s="173"/>
      <c r="K77" s="173"/>
      <c r="L77" s="173">
        <f t="shared" si="237"/>
        <v>0</v>
      </c>
      <c r="M77" s="502">
        <f>+I77*$M$10</f>
        <v>0</v>
      </c>
      <c r="N77" s="173">
        <v>0</v>
      </c>
      <c r="O77" s="173">
        <f t="shared" si="269"/>
        <v>0</v>
      </c>
      <c r="P77" s="173"/>
      <c r="Q77" s="173">
        <f t="shared" si="270"/>
        <v>0</v>
      </c>
      <c r="R77" s="158">
        <f t="shared" si="271"/>
        <v>0</v>
      </c>
      <c r="S77" s="12"/>
      <c r="T77" s="12"/>
      <c r="U77" s="12"/>
      <c r="V77" s="453"/>
      <c r="W77" s="173"/>
      <c r="X77" s="173"/>
      <c r="Y77" s="173"/>
      <c r="Z77" s="173"/>
      <c r="AA77" s="173">
        <f t="shared" si="14"/>
        <v>0</v>
      </c>
      <c r="AB77" s="173">
        <f t="shared" si="120"/>
        <v>0</v>
      </c>
      <c r="AC77" s="173"/>
      <c r="AD77" s="173"/>
      <c r="AE77" s="173">
        <f t="shared" si="272"/>
        <v>0</v>
      </c>
      <c r="AG77" s="453"/>
      <c r="AH77" s="173"/>
      <c r="AI77" s="173"/>
      <c r="AJ77" s="173"/>
      <c r="AK77" s="173"/>
      <c r="AL77" s="173">
        <f t="shared" si="219"/>
        <v>0</v>
      </c>
      <c r="AM77" s="173">
        <f t="shared" si="220"/>
        <v>0</v>
      </c>
      <c r="AN77" s="173"/>
      <c r="AO77" s="173"/>
      <c r="AP77" s="173">
        <f t="shared" si="273"/>
        <v>0</v>
      </c>
      <c r="AR77" s="310">
        <f t="shared" si="256"/>
        <v>0</v>
      </c>
    </row>
    <row r="78" spans="1:45" s="59" customFormat="1" hidden="1" x14ac:dyDescent="0.2">
      <c r="A78" s="57"/>
      <c r="B78" s="37" t="s">
        <v>502</v>
      </c>
      <c r="C78" s="169" t="s">
        <v>504</v>
      </c>
      <c r="D78" s="170">
        <v>1</v>
      </c>
      <c r="E78" s="171" t="s">
        <v>253</v>
      </c>
      <c r="F78" s="171" t="s">
        <v>253</v>
      </c>
      <c r="G78" s="171"/>
      <c r="H78" s="314"/>
      <c r="I78" s="173">
        <f t="shared" si="242"/>
        <v>0</v>
      </c>
      <c r="J78" s="173"/>
      <c r="K78" s="173"/>
      <c r="L78" s="173">
        <f t="shared" si="237"/>
        <v>0</v>
      </c>
      <c r="M78" s="502">
        <f t="shared" si="268"/>
        <v>0</v>
      </c>
      <c r="N78" s="173">
        <v>0</v>
      </c>
      <c r="O78" s="173">
        <f t="shared" si="269"/>
        <v>0</v>
      </c>
      <c r="P78" s="173"/>
      <c r="Q78" s="173">
        <f t="shared" si="270"/>
        <v>0</v>
      </c>
      <c r="R78" s="158">
        <f t="shared" si="271"/>
        <v>0</v>
      </c>
      <c r="S78" s="12"/>
      <c r="T78" s="12"/>
      <c r="U78" s="12"/>
      <c r="V78" s="453"/>
      <c r="W78" s="173"/>
      <c r="X78" s="173"/>
      <c r="Y78" s="173"/>
      <c r="Z78" s="173"/>
      <c r="AA78" s="173">
        <f t="shared" si="14"/>
        <v>0</v>
      </c>
      <c r="AB78" s="173">
        <f t="shared" si="120"/>
        <v>0</v>
      </c>
      <c r="AC78" s="173"/>
      <c r="AD78" s="173"/>
      <c r="AE78" s="173">
        <f t="shared" si="272"/>
        <v>0</v>
      </c>
      <c r="AG78" s="453"/>
      <c r="AH78" s="173"/>
      <c r="AI78" s="173"/>
      <c r="AJ78" s="173"/>
      <c r="AK78" s="173"/>
      <c r="AL78" s="173">
        <f t="shared" si="219"/>
        <v>0</v>
      </c>
      <c r="AM78" s="173">
        <f t="shared" si="220"/>
        <v>0</v>
      </c>
      <c r="AN78" s="173"/>
      <c r="AO78" s="173"/>
      <c r="AP78" s="173">
        <f t="shared" si="273"/>
        <v>0</v>
      </c>
      <c r="AR78" s="310">
        <f t="shared" si="256"/>
        <v>0</v>
      </c>
    </row>
    <row r="79" spans="1:45" s="59" customFormat="1" ht="13.5" thickBot="1" x14ac:dyDescent="0.25">
      <c r="A79" s="57"/>
      <c r="B79" s="70" t="s">
        <v>448</v>
      </c>
      <c r="C79" s="175"/>
      <c r="D79" s="176">
        <f>SUM(D67:D75)</f>
        <v>18</v>
      </c>
      <c r="E79" s="177"/>
      <c r="F79" s="177"/>
      <c r="G79" s="177"/>
      <c r="H79" s="178">
        <f t="shared" ref="H79:R79" si="274">SUM(H67:H78)</f>
        <v>6588.5000000000009</v>
      </c>
      <c r="I79" s="178">
        <f t="shared" si="274"/>
        <v>79062</v>
      </c>
      <c r="J79" s="178">
        <f t="shared" si="274"/>
        <v>1700</v>
      </c>
      <c r="K79" s="178">
        <f t="shared" si="274"/>
        <v>5538.5</v>
      </c>
      <c r="L79" s="178">
        <f t="shared" si="274"/>
        <v>6588.5000000000009</v>
      </c>
      <c r="M79" s="503">
        <f t="shared" si="274"/>
        <v>6556.5399999999991</v>
      </c>
      <c r="N79" s="178">
        <f t="shared" si="274"/>
        <v>0</v>
      </c>
      <c r="O79" s="178">
        <f t="shared" si="274"/>
        <v>6345.03</v>
      </c>
      <c r="P79" s="178">
        <f t="shared" si="274"/>
        <v>846</v>
      </c>
      <c r="Q79" s="178">
        <f t="shared" si="274"/>
        <v>13747.57</v>
      </c>
      <c r="R79" s="62">
        <f t="shared" si="274"/>
        <v>106636.56999999999</v>
      </c>
      <c r="S79" s="290"/>
      <c r="T79" s="290"/>
      <c r="U79" s="290"/>
      <c r="V79" s="463"/>
      <c r="W79" s="463">
        <f t="shared" ref="W79:AE79" si="275">SUM(W67:W78)</f>
        <v>28479.02</v>
      </c>
      <c r="X79" s="463">
        <f t="shared" si="275"/>
        <v>0</v>
      </c>
      <c r="Y79" s="463">
        <f t="shared" si="275"/>
        <v>0</v>
      </c>
      <c r="Z79" s="463">
        <f t="shared" si="275"/>
        <v>2287.67</v>
      </c>
      <c r="AA79" s="463">
        <f t="shared" si="275"/>
        <v>0</v>
      </c>
      <c r="AB79" s="463">
        <f t="shared" si="275"/>
        <v>2363.9299999999998</v>
      </c>
      <c r="AC79" s="463">
        <f t="shared" si="275"/>
        <v>305.00000000000006</v>
      </c>
      <c r="AD79" s="463">
        <f t="shared" si="275"/>
        <v>6588.5000000000009</v>
      </c>
      <c r="AE79" s="463">
        <f t="shared" si="275"/>
        <v>40024.120000000003</v>
      </c>
      <c r="AG79" s="463"/>
      <c r="AH79" s="463">
        <f t="shared" ref="AH79:AN79" si="276">SUM(AH67:AH78)</f>
        <v>50582.98</v>
      </c>
      <c r="AI79" s="463">
        <f t="shared" si="276"/>
        <v>1700</v>
      </c>
      <c r="AJ79" s="463">
        <f t="shared" si="276"/>
        <v>5538.5</v>
      </c>
      <c r="AK79" s="463">
        <f t="shared" si="276"/>
        <v>4057.36</v>
      </c>
      <c r="AL79" s="463">
        <f t="shared" si="276"/>
        <v>0</v>
      </c>
      <c r="AM79" s="463">
        <f t="shared" si="276"/>
        <v>4192.6099999999997</v>
      </c>
      <c r="AN79" s="463">
        <f t="shared" si="276"/>
        <v>541</v>
      </c>
      <c r="AO79" s="463"/>
      <c r="AP79" s="463">
        <f>SUM(AP67:AP78)</f>
        <v>66612.45</v>
      </c>
      <c r="AR79" s="310"/>
    </row>
    <row r="80" spans="1:45" ht="14.25" thickTop="1" thickBot="1" x14ac:dyDescent="0.25">
      <c r="A80" s="68"/>
      <c r="B80" s="69" t="s">
        <v>615</v>
      </c>
      <c r="C80" s="190"/>
      <c r="D80" s="187">
        <f>D61+D79</f>
        <v>26</v>
      </c>
      <c r="E80" s="191"/>
      <c r="F80" s="191"/>
      <c r="G80" s="191"/>
      <c r="H80" s="189">
        <f t="shared" ref="H80:M80" si="277">H61+H79</f>
        <v>10396.84</v>
      </c>
      <c r="I80" s="189">
        <f t="shared" si="277"/>
        <v>124762.08</v>
      </c>
      <c r="J80" s="189">
        <f t="shared" si="277"/>
        <v>2500</v>
      </c>
      <c r="K80" s="189">
        <f t="shared" si="277"/>
        <v>5988.5</v>
      </c>
      <c r="L80" s="189">
        <f t="shared" si="277"/>
        <v>10396.84</v>
      </c>
      <c r="M80" s="508">
        <f t="shared" si="277"/>
        <v>10133.18</v>
      </c>
      <c r="N80" s="189">
        <f>+N66+N61+N52+N48+N44+N79</f>
        <v>360</v>
      </c>
      <c r="O80" s="189">
        <f>O79+O61</f>
        <v>9806.2799999999988</v>
      </c>
      <c r="P80" s="189">
        <f>+P79+P61</f>
        <v>1307.5</v>
      </c>
      <c r="Q80" s="189">
        <f>Q79+Q61</f>
        <v>21606.959999999999</v>
      </c>
      <c r="R80" s="71">
        <f>R79+R61</f>
        <v>165254.38</v>
      </c>
      <c r="S80" s="12"/>
      <c r="T80" s="12"/>
      <c r="U80" s="12"/>
      <c r="V80" s="460"/>
      <c r="W80" s="460">
        <f t="shared" ref="W80:AD80" si="278">+W79+W61</f>
        <v>43712.380000000005</v>
      </c>
      <c r="X80" s="460">
        <f t="shared" si="278"/>
        <v>0</v>
      </c>
      <c r="Y80" s="460">
        <f t="shared" si="278"/>
        <v>0</v>
      </c>
      <c r="Z80" s="460">
        <f t="shared" si="278"/>
        <v>3441.42</v>
      </c>
      <c r="AA80" s="460">
        <f t="shared" si="278"/>
        <v>120</v>
      </c>
      <c r="AB80" s="460">
        <f t="shared" si="278"/>
        <v>3556.14</v>
      </c>
      <c r="AC80" s="460">
        <f t="shared" si="278"/>
        <v>458.84000000000003</v>
      </c>
      <c r="AD80" s="460">
        <f t="shared" si="278"/>
        <v>10396.84</v>
      </c>
      <c r="AE80" s="460">
        <f>AE79+AE61</f>
        <v>61685.62000000001</v>
      </c>
      <c r="AG80" s="460"/>
      <c r="AH80" s="460">
        <f t="shared" ref="AH80:AN80" si="279">+AH79+AH61</f>
        <v>81049.700000000012</v>
      </c>
      <c r="AI80" s="460">
        <f t="shared" si="279"/>
        <v>2500</v>
      </c>
      <c r="AJ80" s="460">
        <f t="shared" si="279"/>
        <v>5538.5</v>
      </c>
      <c r="AK80" s="460">
        <f t="shared" si="279"/>
        <v>6364.8600000000006</v>
      </c>
      <c r="AL80" s="460">
        <f t="shared" si="279"/>
        <v>240</v>
      </c>
      <c r="AM80" s="460">
        <f t="shared" si="279"/>
        <v>6577.04</v>
      </c>
      <c r="AN80" s="460">
        <f t="shared" si="279"/>
        <v>848.66</v>
      </c>
      <c r="AO80" s="460"/>
      <c r="AP80" s="460">
        <f>AP79+AP61</f>
        <v>103568.76</v>
      </c>
      <c r="AR80" s="310"/>
    </row>
    <row r="81" spans="1:44" ht="6.75" customHeight="1" thickBot="1" x14ac:dyDescent="0.25">
      <c r="A81" s="58"/>
      <c r="B81" s="37"/>
      <c r="C81" s="192"/>
      <c r="D81" s="192"/>
      <c r="E81" s="171"/>
      <c r="F81" s="171"/>
      <c r="G81" s="171"/>
      <c r="H81" s="193"/>
      <c r="I81" s="193"/>
      <c r="J81" s="193"/>
      <c r="K81" s="193"/>
      <c r="L81" s="193"/>
      <c r="M81" s="509"/>
      <c r="N81" s="193"/>
      <c r="O81" s="193"/>
      <c r="P81" s="193"/>
      <c r="Q81" s="194"/>
      <c r="R81" s="72"/>
      <c r="S81" s="12"/>
      <c r="T81" s="12"/>
      <c r="U81" s="12"/>
      <c r="V81" s="461"/>
      <c r="W81" s="461"/>
      <c r="X81" s="461"/>
      <c r="Y81" s="461"/>
      <c r="Z81" s="461"/>
      <c r="AA81" s="461"/>
      <c r="AB81" s="461"/>
      <c r="AC81" s="461"/>
      <c r="AD81" s="461"/>
      <c r="AE81" s="461"/>
      <c r="AG81" s="461"/>
      <c r="AH81" s="461"/>
      <c r="AI81" s="461"/>
      <c r="AJ81" s="461"/>
      <c r="AK81" s="461"/>
      <c r="AL81" s="461"/>
      <c r="AM81" s="461"/>
      <c r="AN81" s="461"/>
      <c r="AO81" s="461"/>
      <c r="AP81" s="461"/>
      <c r="AR81" s="310"/>
    </row>
    <row r="82" spans="1:44" s="59" customFormat="1" ht="13.5" thickBot="1" x14ac:dyDescent="0.25">
      <c r="A82" s="73"/>
      <c r="B82" s="74" t="s">
        <v>430</v>
      </c>
      <c r="C82" s="195"/>
      <c r="D82" s="573">
        <f>D38+D80</f>
        <v>42</v>
      </c>
      <c r="E82" s="196"/>
      <c r="F82" s="196"/>
      <c r="G82" s="196"/>
      <c r="H82" s="75">
        <f t="shared" ref="H82:Q82" si="280">+H80+H38</f>
        <v>22896.84</v>
      </c>
      <c r="I82" s="75">
        <f t="shared" si="280"/>
        <v>274762.08</v>
      </c>
      <c r="J82" s="75">
        <f t="shared" si="280"/>
        <v>4000</v>
      </c>
      <c r="K82" s="75">
        <f t="shared" si="280"/>
        <v>6438.5</v>
      </c>
      <c r="L82" s="75">
        <f t="shared" si="280"/>
        <v>22896.84</v>
      </c>
      <c r="M82" s="510">
        <f t="shared" si="280"/>
        <v>21758.18</v>
      </c>
      <c r="N82" s="75">
        <f t="shared" si="280"/>
        <v>360</v>
      </c>
      <c r="O82" s="75">
        <f t="shared" si="280"/>
        <v>18671.28</v>
      </c>
      <c r="P82" s="75">
        <f t="shared" si="280"/>
        <v>2489.5</v>
      </c>
      <c r="Q82" s="75">
        <f t="shared" si="280"/>
        <v>43278.96</v>
      </c>
      <c r="R82" s="163">
        <f>R38+R80</f>
        <v>351376.38</v>
      </c>
      <c r="S82" s="76"/>
      <c r="T82" s="76"/>
      <c r="U82" s="76"/>
      <c r="V82" s="462"/>
      <c r="W82" s="462">
        <f t="shared" ref="W82:AD82" si="281">+W80+W38</f>
        <v>100362.38</v>
      </c>
      <c r="X82" s="462">
        <f t="shared" si="281"/>
        <v>0</v>
      </c>
      <c r="Y82" s="462">
        <f t="shared" si="281"/>
        <v>0</v>
      </c>
      <c r="Z82" s="462">
        <f t="shared" si="281"/>
        <v>6763.92</v>
      </c>
      <c r="AA82" s="462">
        <f t="shared" si="281"/>
        <v>120</v>
      </c>
      <c r="AB82" s="462">
        <f t="shared" si="281"/>
        <v>7946.5300000000007</v>
      </c>
      <c r="AC82" s="462">
        <f t="shared" si="281"/>
        <v>901.84</v>
      </c>
      <c r="AD82" s="462">
        <f t="shared" si="281"/>
        <v>22896.84</v>
      </c>
      <c r="AE82" s="462">
        <f>AE38+AE80</f>
        <v>138991.51</v>
      </c>
      <c r="AG82" s="462"/>
      <c r="AH82" s="462">
        <f t="shared" ref="AH82:AN82" si="282">+AH80+AH38</f>
        <v>174399.7</v>
      </c>
      <c r="AI82" s="462">
        <f t="shared" si="282"/>
        <v>4000</v>
      </c>
      <c r="AJ82" s="462">
        <f t="shared" si="282"/>
        <v>5538.5</v>
      </c>
      <c r="AK82" s="462">
        <f t="shared" si="282"/>
        <v>11907.36</v>
      </c>
      <c r="AL82" s="462">
        <f t="shared" si="282"/>
        <v>240</v>
      </c>
      <c r="AM82" s="462">
        <f t="shared" si="282"/>
        <v>13811.68</v>
      </c>
      <c r="AN82" s="462">
        <f t="shared" si="282"/>
        <v>1587.6599999999999</v>
      </c>
      <c r="AO82" s="462"/>
      <c r="AP82" s="462">
        <f>AP38+AP80</f>
        <v>212384.89999999997</v>
      </c>
      <c r="AQ82" s="4"/>
      <c r="AR82" s="310"/>
    </row>
    <row r="83" spans="1:44" ht="13.5" thickBot="1" x14ac:dyDescent="0.25">
      <c r="A83" s="77"/>
      <c r="B83" s="74" t="s">
        <v>431</v>
      </c>
      <c r="C83" s="197"/>
      <c r="D83" s="197"/>
      <c r="E83" s="198"/>
      <c r="F83" s="198"/>
      <c r="G83" s="198"/>
      <c r="H83" s="317"/>
      <c r="I83" s="78"/>
      <c r="J83" s="78"/>
      <c r="K83" s="78"/>
      <c r="L83" s="78"/>
      <c r="M83" s="78"/>
      <c r="N83" s="78"/>
      <c r="O83" s="78"/>
      <c r="P83" s="289"/>
      <c r="Q83" s="78"/>
      <c r="R83" s="164">
        <f>SUM(R82:R82)</f>
        <v>351376.38</v>
      </c>
      <c r="S83" s="12"/>
      <c r="T83" s="12"/>
      <c r="U83" s="12"/>
      <c r="V83" s="455"/>
      <c r="W83" s="289"/>
      <c r="X83" s="289"/>
      <c r="Y83" s="289"/>
      <c r="Z83" s="289"/>
      <c r="AA83" s="289"/>
      <c r="AB83" s="289"/>
      <c r="AC83" s="289"/>
      <c r="AD83" s="289"/>
      <c r="AE83" s="289"/>
      <c r="AG83" s="455"/>
      <c r="AH83" s="289"/>
      <c r="AI83" s="289"/>
      <c r="AJ83" s="289"/>
      <c r="AK83" s="289"/>
      <c r="AL83" s="289"/>
      <c r="AM83" s="289"/>
      <c r="AN83" s="289"/>
      <c r="AO83" s="289"/>
      <c r="AP83" s="289"/>
      <c r="AR83" s="310"/>
    </row>
    <row r="84" spans="1:44" x14ac:dyDescent="0.2">
      <c r="H84" s="318"/>
      <c r="I84" s="270"/>
      <c r="J84" s="310"/>
      <c r="K84" s="270"/>
      <c r="L84" s="271"/>
      <c r="M84" s="271"/>
      <c r="N84" s="271"/>
      <c r="O84" s="271"/>
      <c r="P84" s="270"/>
      <c r="Q84" s="271"/>
      <c r="R84" s="272"/>
      <c r="S84" s="12"/>
      <c r="T84" s="12"/>
      <c r="U84" s="12"/>
      <c r="W84" s="12"/>
      <c r="X84" s="12"/>
      <c r="Y84" s="12"/>
      <c r="Z84" s="12"/>
      <c r="AA84" s="12"/>
      <c r="AB84" s="12"/>
      <c r="AC84" s="12"/>
      <c r="AD84" s="12"/>
      <c r="AE84" s="451"/>
      <c r="AH84" s="12"/>
      <c r="AI84" s="12"/>
      <c r="AJ84" s="12"/>
      <c r="AK84" s="12"/>
      <c r="AL84" s="12"/>
      <c r="AM84" s="12"/>
      <c r="AN84" s="12"/>
      <c r="AO84" s="12"/>
      <c r="AP84" s="451"/>
      <c r="AR84" s="310"/>
    </row>
    <row r="85" spans="1:44" x14ac:dyDescent="0.2">
      <c r="B85" s="7"/>
      <c r="H85" s="319"/>
      <c r="I85" s="270"/>
      <c r="J85" s="310"/>
      <c r="K85" s="270"/>
      <c r="L85" s="271"/>
      <c r="M85" s="273"/>
      <c r="N85" s="274"/>
      <c r="O85" s="272"/>
      <c r="Q85" s="301"/>
      <c r="R85" s="301"/>
      <c r="AD85" t="s">
        <v>646</v>
      </c>
      <c r="AE85" s="310">
        <f>AE82</f>
        <v>138991.51</v>
      </c>
      <c r="AI85" s="2"/>
      <c r="AO85" t="s">
        <v>646</v>
      </c>
      <c r="AP85" s="310">
        <f>AP82</f>
        <v>212384.89999999997</v>
      </c>
      <c r="AQ85" s="2"/>
      <c r="AR85" s="310"/>
    </row>
    <row r="86" spans="1:44" x14ac:dyDescent="0.2">
      <c r="B86" s="7"/>
      <c r="H86" s="318"/>
      <c r="I86" s="271"/>
      <c r="K86" s="271"/>
      <c r="L86" s="271"/>
      <c r="M86" s="273"/>
      <c r="N86" s="511"/>
      <c r="O86" s="271"/>
      <c r="Q86" s="301"/>
      <c r="R86" s="301"/>
      <c r="AD86" t="s">
        <v>644</v>
      </c>
      <c r="AE86" s="251">
        <f>('PLLA DIETAS'!E19+'PLLA DIETAS'!H19+'PLLA DIETAS'!I19)/2</f>
        <v>39585</v>
      </c>
      <c r="AM86" s="2"/>
      <c r="AO86" t="s">
        <v>644</v>
      </c>
      <c r="AP86" s="251">
        <f>('PLLA DIETAS'!E19+'PLLA DIETAS'!H19+'PLLA DIETAS'!I19)/2</f>
        <v>39585</v>
      </c>
    </row>
    <row r="87" spans="1:44" x14ac:dyDescent="0.2">
      <c r="B87" s="7"/>
      <c r="H87" s="319"/>
      <c r="I87" s="271"/>
      <c r="K87" s="271"/>
      <c r="L87" s="271"/>
      <c r="M87" s="273"/>
      <c r="N87" s="271"/>
      <c r="O87" s="271"/>
      <c r="Q87" s="271"/>
      <c r="R87" s="301"/>
      <c r="AD87" t="s">
        <v>349</v>
      </c>
      <c r="AE87" s="251">
        <f>'PLLA MUNICIPAL HONORARIOS'!J26/2</f>
        <v>3666.66</v>
      </c>
      <c r="AM87" s="2"/>
      <c r="AN87" s="19"/>
      <c r="AO87" t="s">
        <v>349</v>
      </c>
      <c r="AP87" s="251">
        <f>'PLLA MUNICIPAL HONORARIOS'!J26/2</f>
        <v>3666.66</v>
      </c>
    </row>
    <row r="88" spans="1:44" x14ac:dyDescent="0.2">
      <c r="B88" s="7"/>
      <c r="H88" s="319"/>
      <c r="I88" s="271"/>
      <c r="K88" s="271"/>
      <c r="L88" s="271"/>
      <c r="M88" s="273"/>
      <c r="N88" s="271"/>
      <c r="O88" s="271"/>
      <c r="Q88" s="271"/>
      <c r="R88" s="301"/>
      <c r="AD88" t="s">
        <v>645</v>
      </c>
      <c r="AE88" s="433">
        <f>(600*12)/2</f>
        <v>3600</v>
      </c>
      <c r="AO88" t="s">
        <v>645</v>
      </c>
      <c r="AP88" s="433">
        <f>(600*12)/2</f>
        <v>3600</v>
      </c>
    </row>
    <row r="89" spans="1:44" x14ac:dyDescent="0.2">
      <c r="B89" s="7"/>
      <c r="H89" s="319"/>
      <c r="I89" s="271"/>
      <c r="K89" s="271"/>
      <c r="L89" s="271"/>
      <c r="M89" s="273"/>
      <c r="N89" s="271"/>
      <c r="O89" s="271"/>
      <c r="Q89" s="271"/>
      <c r="R89" s="301"/>
      <c r="AD89" t="s">
        <v>649</v>
      </c>
      <c r="AE89" s="433">
        <f>'AG1'!C26</f>
        <v>350</v>
      </c>
      <c r="AO89" t="s">
        <v>649</v>
      </c>
      <c r="AP89" s="433">
        <v>250</v>
      </c>
    </row>
    <row r="90" spans="1:44" x14ac:dyDescent="0.2">
      <c r="B90" s="7"/>
      <c r="H90" s="319"/>
      <c r="I90" s="271"/>
      <c r="K90" s="271"/>
      <c r="L90" s="271"/>
      <c r="M90" s="273"/>
      <c r="N90" s="271"/>
      <c r="O90" s="271"/>
      <c r="Q90" s="271"/>
      <c r="R90" s="301"/>
      <c r="AD90" t="s">
        <v>687</v>
      </c>
      <c r="AE90" s="433"/>
      <c r="AK90" s="2"/>
      <c r="AO90" t="s">
        <v>687</v>
      </c>
      <c r="AP90" s="433">
        <f>600*9</f>
        <v>5400</v>
      </c>
    </row>
    <row r="91" spans="1:44" x14ac:dyDescent="0.2">
      <c r="B91" s="7"/>
      <c r="H91" s="319"/>
      <c r="I91" s="271"/>
      <c r="K91" s="271"/>
      <c r="L91" s="271"/>
      <c r="M91" s="273"/>
      <c r="N91" s="271"/>
      <c r="O91" s="271"/>
      <c r="Q91" s="271"/>
      <c r="R91" s="301"/>
      <c r="AD91" t="s">
        <v>650</v>
      </c>
      <c r="AE91" s="433"/>
      <c r="AO91" t="s">
        <v>650</v>
      </c>
      <c r="AP91" s="433">
        <v>0</v>
      </c>
    </row>
    <row r="92" spans="1:44" ht="13.5" thickBot="1" x14ac:dyDescent="0.25">
      <c r="B92" s="7"/>
      <c r="H92" s="318"/>
      <c r="I92" s="271"/>
      <c r="K92" s="271"/>
      <c r="L92" s="271"/>
      <c r="M92" s="273"/>
      <c r="N92" s="271"/>
      <c r="O92" s="271"/>
      <c r="Q92" s="271"/>
      <c r="R92" s="271"/>
      <c r="AD92" t="s">
        <v>4</v>
      </c>
      <c r="AE92" s="484">
        <f>SUM(AE85:AE91)</f>
        <v>186193.17</v>
      </c>
      <c r="AO92" t="s">
        <v>4</v>
      </c>
      <c r="AP92" s="484">
        <f>SUM(AP85:AP91)</f>
        <v>264886.55999999994</v>
      </c>
      <c r="AR92" s="310">
        <f>+AE92+AP92</f>
        <v>451079.73</v>
      </c>
    </row>
    <row r="93" spans="1:44" ht="13.5" thickTop="1" x14ac:dyDescent="0.2">
      <c r="B93" s="7"/>
      <c r="H93" s="318"/>
      <c r="I93" s="271"/>
      <c r="K93" s="271"/>
      <c r="L93" s="271"/>
      <c r="M93" s="273"/>
      <c r="N93" s="271"/>
      <c r="O93" s="271"/>
      <c r="Q93" s="271"/>
      <c r="R93" s="271"/>
      <c r="AR93" s="251">
        <f>+'AG1'!H12</f>
        <v>457859.57</v>
      </c>
    </row>
    <row r="94" spans="1:44" ht="13.5" thickBot="1" x14ac:dyDescent="0.25">
      <c r="B94" s="7"/>
      <c r="H94" s="319"/>
      <c r="I94" s="271"/>
      <c r="K94" s="271"/>
      <c r="L94" s="271"/>
      <c r="M94" s="273"/>
      <c r="N94" s="271"/>
      <c r="O94" s="271"/>
      <c r="Q94" s="271"/>
      <c r="R94" s="271"/>
      <c r="AD94" t="s">
        <v>647</v>
      </c>
      <c r="AE94" s="251">
        <f>'ING. REALES'!C54/2</f>
        <v>187995.41</v>
      </c>
      <c r="AP94" s="310"/>
      <c r="AR94" s="485">
        <f>+AR92-AR93</f>
        <v>-6779.8400000000256</v>
      </c>
    </row>
    <row r="95" spans="1:44" ht="13.5" thickTop="1" x14ac:dyDescent="0.2">
      <c r="B95" s="7"/>
      <c r="H95" s="320"/>
      <c r="I95" s="271"/>
      <c r="K95" s="271"/>
      <c r="L95" s="271"/>
      <c r="M95" s="273"/>
      <c r="N95" s="271"/>
      <c r="O95" s="271"/>
      <c r="Q95" s="271"/>
      <c r="R95" s="301"/>
    </row>
    <row r="96" spans="1:44" x14ac:dyDescent="0.2">
      <c r="B96" s="7"/>
      <c r="H96" s="318"/>
      <c r="I96" s="271"/>
      <c r="K96" s="271"/>
      <c r="L96" s="271"/>
      <c r="M96" s="273"/>
      <c r="N96" s="271"/>
      <c r="O96" s="271"/>
      <c r="Q96" s="271"/>
      <c r="R96" s="271"/>
      <c r="AE96" s="310">
        <f>AE92-AE94</f>
        <v>-1802.2399999999907</v>
      </c>
    </row>
    <row r="97" spans="2:31" x14ac:dyDescent="0.2">
      <c r="B97" s="7"/>
      <c r="H97" s="319"/>
      <c r="I97" s="271"/>
      <c r="K97" s="271"/>
      <c r="L97" s="271"/>
      <c r="M97" s="273"/>
      <c r="N97" s="271"/>
      <c r="O97" s="271"/>
      <c r="Q97" s="271"/>
      <c r="R97" s="274"/>
    </row>
    <row r="98" spans="2:31" x14ac:dyDescent="0.2">
      <c r="H98" s="321"/>
      <c r="M98" s="2"/>
    </row>
    <row r="99" spans="2:31" x14ac:dyDescent="0.2">
      <c r="M99" s="2"/>
    </row>
    <row r="100" spans="2:31" x14ac:dyDescent="0.2">
      <c r="M100" s="2"/>
      <c r="N100" s="1265"/>
      <c r="O100" s="1265"/>
      <c r="AC100" s="19"/>
    </row>
    <row r="101" spans="2:31" x14ac:dyDescent="0.2">
      <c r="M101" s="2"/>
    </row>
    <row r="102" spans="2:31" x14ac:dyDescent="0.2">
      <c r="M102" s="2"/>
    </row>
    <row r="103" spans="2:31" x14ac:dyDescent="0.2">
      <c r="M103" s="2"/>
    </row>
    <row r="104" spans="2:31" x14ac:dyDescent="0.2">
      <c r="M104" s="2"/>
    </row>
    <row r="105" spans="2:31" x14ac:dyDescent="0.2">
      <c r="M105" s="2"/>
    </row>
    <row r="106" spans="2:31" x14ac:dyDescent="0.2">
      <c r="M106" s="2"/>
      <c r="AE106" s="251">
        <v>164314.91999999998</v>
      </c>
    </row>
    <row r="107" spans="2:31" x14ac:dyDescent="0.2">
      <c r="M107" s="2"/>
      <c r="O107" s="12"/>
    </row>
    <row r="108" spans="2:31" x14ac:dyDescent="0.2">
      <c r="M108" s="2"/>
    </row>
  </sheetData>
  <mergeCells count="25">
    <mergeCell ref="N100:O100"/>
    <mergeCell ref="E7:E10"/>
    <mergeCell ref="F7:F10"/>
    <mergeCell ref="K9:K10"/>
    <mergeCell ref="G9:G10"/>
    <mergeCell ref="N8:O8"/>
    <mergeCell ref="H9:H10"/>
    <mergeCell ref="I9:I10"/>
    <mergeCell ref="L9:L10"/>
    <mergeCell ref="A3:R3"/>
    <mergeCell ref="A4:R4"/>
    <mergeCell ref="A5:R5"/>
    <mergeCell ref="A7:A10"/>
    <mergeCell ref="B7:B10"/>
    <mergeCell ref="C7:C10"/>
    <mergeCell ref="D7:D10"/>
    <mergeCell ref="M7:Q7"/>
    <mergeCell ref="G7:I8"/>
    <mergeCell ref="J7:L8"/>
    <mergeCell ref="J9:J10"/>
    <mergeCell ref="V8:AE8"/>
    <mergeCell ref="V7:AE7"/>
    <mergeCell ref="AG7:AP7"/>
    <mergeCell ref="AG8:AP8"/>
    <mergeCell ref="R7:R10"/>
  </mergeCells>
  <phoneticPr fontId="0" type="noConversion"/>
  <pageMargins left="3.937007874015748E-2" right="3.937007874015748E-2" top="0.78740157480314965" bottom="0.23622047244094491" header="0.47244094488188981" footer="0"/>
  <pageSetup scale="7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M27"/>
  <sheetViews>
    <sheetView showGridLines="0" topLeftCell="A7" workbookViewId="0">
      <selection activeCell="D17" sqref="D17"/>
    </sheetView>
  </sheetViews>
  <sheetFormatPr baseColWidth="10" defaultColWidth="9.140625" defaultRowHeight="12.75" x14ac:dyDescent="0.2"/>
  <cols>
    <col min="1" max="1" width="5.140625" style="7" customWidth="1"/>
    <col min="2" max="2" width="28.5703125" style="7" customWidth="1"/>
    <col min="3" max="3" width="20.140625" style="7" customWidth="1"/>
    <col min="4" max="4" width="13.140625" style="7" customWidth="1"/>
    <col min="5" max="5" width="14.28515625" style="7" customWidth="1"/>
    <col min="6" max="10" width="12.5703125" style="7" customWidth="1"/>
    <col min="11" max="11" width="14.5703125" style="7" customWidth="1"/>
    <col min="12" max="14" width="9.140625" style="7" customWidth="1"/>
    <col min="15" max="16384" width="9.140625" style="7"/>
  </cols>
  <sheetData>
    <row r="1" spans="1:13" ht="12.75" customHeight="1" x14ac:dyDescent="0.2">
      <c r="A1" s="1199" t="s">
        <v>442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</row>
    <row r="2" spans="1:13" ht="12.75" customHeight="1" x14ac:dyDescent="0.2">
      <c r="A2" s="1199" t="s">
        <v>443</v>
      </c>
      <c r="B2" s="1199"/>
      <c r="C2" s="1199"/>
      <c r="D2" s="1199"/>
      <c r="E2" s="1199"/>
      <c r="F2" s="1199"/>
      <c r="G2" s="1199"/>
      <c r="H2" s="1199"/>
      <c r="I2" s="1199"/>
      <c r="J2" s="1199"/>
      <c r="K2" s="1199"/>
    </row>
    <row r="3" spans="1:13" ht="12.75" customHeight="1" x14ac:dyDescent="0.2">
      <c r="A3" s="1199" t="s">
        <v>733</v>
      </c>
      <c r="B3" s="1199"/>
      <c r="C3" s="1199"/>
      <c r="D3" s="1199"/>
      <c r="E3" s="1199"/>
      <c r="F3" s="1199"/>
      <c r="G3" s="1199"/>
      <c r="H3" s="1199"/>
      <c r="I3" s="1199"/>
      <c r="J3" s="1199"/>
      <c r="K3" s="1199"/>
    </row>
    <row r="4" spans="1:13" ht="13.5" thickBot="1" x14ac:dyDescent="0.25">
      <c r="C4" s="203"/>
      <c r="D4" s="203"/>
      <c r="E4" s="203"/>
      <c r="F4" s="203"/>
      <c r="G4" s="203"/>
      <c r="H4" s="203"/>
      <c r="I4" s="203"/>
      <c r="J4" s="203"/>
    </row>
    <row r="5" spans="1:13" ht="18.75" customHeight="1" thickBot="1" x14ac:dyDescent="0.25">
      <c r="A5" s="1275" t="s">
        <v>382</v>
      </c>
      <c r="B5" s="1275" t="s">
        <v>379</v>
      </c>
      <c r="C5" s="1276" t="s">
        <v>380</v>
      </c>
      <c r="D5" s="1275" t="s">
        <v>130</v>
      </c>
      <c r="E5" s="1275"/>
      <c r="F5" s="1277" t="s">
        <v>612</v>
      </c>
      <c r="G5" s="1274" t="s">
        <v>569</v>
      </c>
      <c r="H5" s="1274"/>
      <c r="I5" s="1274"/>
      <c r="J5" s="1274"/>
      <c r="K5" s="1275" t="s">
        <v>25</v>
      </c>
    </row>
    <row r="6" spans="1:13" ht="18.75" customHeight="1" thickBot="1" x14ac:dyDescent="0.25">
      <c r="A6" s="1275"/>
      <c r="B6" s="1275"/>
      <c r="C6" s="1276"/>
      <c r="D6" s="1275"/>
      <c r="E6" s="1275"/>
      <c r="F6" s="1278"/>
      <c r="G6" s="486" t="s">
        <v>570</v>
      </c>
      <c r="H6" s="487" t="s">
        <v>571</v>
      </c>
      <c r="I6" s="1284" t="s">
        <v>628</v>
      </c>
      <c r="J6" s="1281" t="s">
        <v>572</v>
      </c>
      <c r="K6" s="1275"/>
    </row>
    <row r="7" spans="1:13" ht="18.75" customHeight="1" thickBot="1" x14ac:dyDescent="0.25">
      <c r="A7" s="1275"/>
      <c r="B7" s="1275"/>
      <c r="C7" s="1276"/>
      <c r="D7" s="1276" t="s">
        <v>484</v>
      </c>
      <c r="E7" s="1280" t="s">
        <v>485</v>
      </c>
      <c r="F7" s="1278"/>
      <c r="G7" s="488" t="s">
        <v>391</v>
      </c>
      <c r="H7" s="489" t="s">
        <v>19</v>
      </c>
      <c r="I7" s="1285"/>
      <c r="J7" s="1282"/>
      <c r="K7" s="1275"/>
    </row>
    <row r="8" spans="1:13" ht="18.75" customHeight="1" thickBot="1" x14ac:dyDescent="0.25">
      <c r="A8" s="1275"/>
      <c r="B8" s="1275"/>
      <c r="C8" s="1276"/>
      <c r="D8" s="1276"/>
      <c r="E8" s="1280"/>
      <c r="F8" s="1279"/>
      <c r="G8" s="490">
        <v>7.7499999999999999E-2</v>
      </c>
      <c r="H8" s="491">
        <v>7.4999999999999997E-2</v>
      </c>
      <c r="I8" s="491">
        <v>0.01</v>
      </c>
      <c r="J8" s="1283"/>
      <c r="K8" s="1275"/>
    </row>
    <row r="9" spans="1:13" ht="26.25" customHeight="1" x14ac:dyDescent="0.2">
      <c r="A9" s="492">
        <v>1</v>
      </c>
      <c r="B9" s="493"/>
      <c r="C9" s="494" t="s">
        <v>677</v>
      </c>
      <c r="D9" s="518">
        <v>700</v>
      </c>
      <c r="E9" s="519">
        <f>+D9*12</f>
        <v>8400</v>
      </c>
      <c r="F9" s="520">
        <f t="shared" ref="F9:F17" si="0">D9</f>
        <v>700</v>
      </c>
      <c r="G9" s="521">
        <v>0</v>
      </c>
      <c r="H9" s="522">
        <f>ROUND((E9*H$8),2)</f>
        <v>630</v>
      </c>
      <c r="I9" s="523">
        <f t="shared" ref="I9:I11" si="1">ROUND((E9*I$8),2)</f>
        <v>84</v>
      </c>
      <c r="J9" s="524">
        <f>SUM(G9:I9)</f>
        <v>714</v>
      </c>
      <c r="K9" s="520">
        <f t="shared" ref="K9:K17" si="2">+E9+F9+J9</f>
        <v>9814</v>
      </c>
    </row>
    <row r="10" spans="1:13" ht="26.25" customHeight="1" x14ac:dyDescent="0.2">
      <c r="A10" s="495">
        <f>A9+1</f>
        <v>2</v>
      </c>
      <c r="B10" s="496"/>
      <c r="C10" s="497" t="s">
        <v>678</v>
      </c>
      <c r="D10" s="525">
        <v>700</v>
      </c>
      <c r="E10" s="526">
        <f>+D10*12</f>
        <v>8400</v>
      </c>
      <c r="F10" s="527">
        <f t="shared" si="0"/>
        <v>700</v>
      </c>
      <c r="G10" s="528">
        <v>0</v>
      </c>
      <c r="H10" s="528">
        <f>ROUND((E10*H$8),2)</f>
        <v>630</v>
      </c>
      <c r="I10" s="529">
        <f t="shared" si="1"/>
        <v>84</v>
      </c>
      <c r="J10" s="526">
        <f>SUM(G10:I10)</f>
        <v>714</v>
      </c>
      <c r="K10" s="520">
        <f t="shared" si="2"/>
        <v>9814</v>
      </c>
      <c r="M10" s="287"/>
    </row>
    <row r="11" spans="1:13" ht="26.25" customHeight="1" x14ac:dyDescent="0.2">
      <c r="A11" s="495">
        <f t="shared" ref="A11:A16" si="3">A10+1</f>
        <v>3</v>
      </c>
      <c r="B11" s="496"/>
      <c r="C11" s="497" t="s">
        <v>701</v>
      </c>
      <c r="D11" s="525">
        <v>700</v>
      </c>
      <c r="E11" s="526">
        <f t="shared" ref="E11:E17" si="4">+D11*12</f>
        <v>8400</v>
      </c>
      <c r="F11" s="527">
        <f t="shared" si="0"/>
        <v>700</v>
      </c>
      <c r="G11" s="528">
        <v>0</v>
      </c>
      <c r="H11" s="528">
        <f>ROUND((E11*H$8),2)</f>
        <v>630</v>
      </c>
      <c r="I11" s="529">
        <f t="shared" si="1"/>
        <v>84</v>
      </c>
      <c r="J11" s="526">
        <f t="shared" ref="J11:J17" si="5">SUM(G11:I11)</f>
        <v>714</v>
      </c>
      <c r="K11" s="520">
        <f t="shared" si="2"/>
        <v>9814</v>
      </c>
    </row>
    <row r="12" spans="1:13" ht="26.25" customHeight="1" x14ac:dyDescent="0.2">
      <c r="A12" s="495">
        <f t="shared" si="3"/>
        <v>4</v>
      </c>
      <c r="B12" s="496"/>
      <c r="C12" s="497" t="s">
        <v>680</v>
      </c>
      <c r="D12" s="525">
        <v>700</v>
      </c>
      <c r="E12" s="526">
        <f t="shared" si="4"/>
        <v>8400</v>
      </c>
      <c r="F12" s="527">
        <f t="shared" si="0"/>
        <v>700</v>
      </c>
      <c r="G12" s="528">
        <v>0</v>
      </c>
      <c r="H12" s="528">
        <v>0</v>
      </c>
      <c r="I12" s="529">
        <v>0</v>
      </c>
      <c r="J12" s="526">
        <f t="shared" si="5"/>
        <v>0</v>
      </c>
      <c r="K12" s="520">
        <f t="shared" si="2"/>
        <v>9100</v>
      </c>
      <c r="M12" s="287"/>
    </row>
    <row r="13" spans="1:13" ht="26.25" customHeight="1" x14ac:dyDescent="0.2">
      <c r="A13" s="495">
        <f t="shared" si="3"/>
        <v>5</v>
      </c>
      <c r="B13" s="496"/>
      <c r="C13" s="497" t="s">
        <v>681</v>
      </c>
      <c r="D13" s="525">
        <v>700</v>
      </c>
      <c r="E13" s="526">
        <f t="shared" si="4"/>
        <v>8400</v>
      </c>
      <c r="F13" s="527">
        <f t="shared" si="0"/>
        <v>700</v>
      </c>
      <c r="G13" s="528">
        <v>0</v>
      </c>
      <c r="H13" s="528">
        <v>0</v>
      </c>
      <c r="I13" s="529">
        <v>0</v>
      </c>
      <c r="J13" s="526">
        <f t="shared" si="5"/>
        <v>0</v>
      </c>
      <c r="K13" s="520">
        <f t="shared" si="2"/>
        <v>9100</v>
      </c>
    </row>
    <row r="14" spans="1:13" ht="26.25" customHeight="1" x14ac:dyDescent="0.2">
      <c r="A14" s="495">
        <f t="shared" si="3"/>
        <v>6</v>
      </c>
      <c r="B14" s="496"/>
      <c r="C14" s="497" t="s">
        <v>682</v>
      </c>
      <c r="D14" s="525">
        <v>700</v>
      </c>
      <c r="E14" s="526">
        <f t="shared" si="4"/>
        <v>8400</v>
      </c>
      <c r="F14" s="527">
        <f t="shared" si="0"/>
        <v>700</v>
      </c>
      <c r="G14" s="528">
        <v>0</v>
      </c>
      <c r="H14" s="528">
        <v>0</v>
      </c>
      <c r="I14" s="529">
        <v>0</v>
      </c>
      <c r="J14" s="526">
        <f t="shared" si="5"/>
        <v>0</v>
      </c>
      <c r="K14" s="520">
        <f t="shared" si="2"/>
        <v>9100</v>
      </c>
    </row>
    <row r="15" spans="1:13" ht="26.25" customHeight="1" x14ac:dyDescent="0.2">
      <c r="A15" s="495">
        <f t="shared" si="3"/>
        <v>7</v>
      </c>
      <c r="B15" s="496"/>
      <c r="C15" s="497" t="s">
        <v>683</v>
      </c>
      <c r="D15" s="525">
        <v>700</v>
      </c>
      <c r="E15" s="526">
        <f t="shared" si="4"/>
        <v>8400</v>
      </c>
      <c r="F15" s="527">
        <f t="shared" si="0"/>
        <v>700</v>
      </c>
      <c r="G15" s="530">
        <v>0</v>
      </c>
      <c r="H15" s="531">
        <f>ROUND((E15*H$8),2)</f>
        <v>630</v>
      </c>
      <c r="I15" s="529">
        <f t="shared" ref="I15" si="6">ROUND((E15*I$8),2)</f>
        <v>84</v>
      </c>
      <c r="J15" s="526">
        <f t="shared" si="5"/>
        <v>714</v>
      </c>
      <c r="K15" s="520">
        <f t="shared" si="2"/>
        <v>9814</v>
      </c>
    </row>
    <row r="16" spans="1:13" ht="26.25" customHeight="1" x14ac:dyDescent="0.2">
      <c r="A16" s="495">
        <f t="shared" si="3"/>
        <v>8</v>
      </c>
      <c r="B16" s="496"/>
      <c r="C16" s="497" t="s">
        <v>679</v>
      </c>
      <c r="D16" s="525">
        <v>700</v>
      </c>
      <c r="E16" s="526">
        <f t="shared" si="4"/>
        <v>8400</v>
      </c>
      <c r="F16" s="527">
        <f t="shared" si="0"/>
        <v>700</v>
      </c>
      <c r="G16" s="528">
        <v>0</v>
      </c>
      <c r="H16" s="528">
        <v>0</v>
      </c>
      <c r="I16" s="529">
        <v>0</v>
      </c>
      <c r="J16" s="526">
        <f t="shared" si="5"/>
        <v>0</v>
      </c>
      <c r="K16" s="520">
        <f t="shared" si="2"/>
        <v>9100</v>
      </c>
      <c r="L16" s="302"/>
    </row>
    <row r="17" spans="1:11" ht="26.25" customHeight="1" thickBot="1" x14ac:dyDescent="0.25">
      <c r="A17" s="498">
        <f>A16+1</f>
        <v>9</v>
      </c>
      <c r="B17" s="496"/>
      <c r="C17" s="497" t="s">
        <v>684</v>
      </c>
      <c r="D17" s="532">
        <v>700</v>
      </c>
      <c r="E17" s="533">
        <f t="shared" si="4"/>
        <v>8400</v>
      </c>
      <c r="F17" s="534">
        <f t="shared" si="0"/>
        <v>700</v>
      </c>
      <c r="G17" s="528">
        <v>0</v>
      </c>
      <c r="H17" s="528">
        <f>ROUND((E17*H$8),2)</f>
        <v>630</v>
      </c>
      <c r="I17" s="535">
        <f>ROUND((E17*I$8),2)</f>
        <v>84</v>
      </c>
      <c r="J17" s="536">
        <f t="shared" si="5"/>
        <v>714</v>
      </c>
      <c r="K17" s="520">
        <f t="shared" si="2"/>
        <v>9814</v>
      </c>
    </row>
    <row r="18" spans="1:11" ht="26.25" customHeight="1" thickBot="1" x14ac:dyDescent="0.25">
      <c r="A18" s="1271" t="s">
        <v>381</v>
      </c>
      <c r="B18" s="1272"/>
      <c r="C18" s="1273"/>
      <c r="D18" s="537">
        <f t="shared" ref="D18:K18" si="7">SUM(D9:D17)</f>
        <v>6300</v>
      </c>
      <c r="E18" s="538">
        <f t="shared" si="7"/>
        <v>75600</v>
      </c>
      <c r="F18" s="539">
        <f t="shared" si="7"/>
        <v>6300</v>
      </c>
      <c r="G18" s="537">
        <f t="shared" si="7"/>
        <v>0</v>
      </c>
      <c r="H18" s="540">
        <f t="shared" si="7"/>
        <v>3150</v>
      </c>
      <c r="I18" s="541">
        <f t="shared" si="7"/>
        <v>420</v>
      </c>
      <c r="J18" s="538">
        <f>SUM(J9:J17)</f>
        <v>3570</v>
      </c>
      <c r="K18" s="539">
        <f t="shared" si="7"/>
        <v>85470</v>
      </c>
    </row>
    <row r="19" spans="1:11" ht="26.25" customHeight="1" thickBot="1" x14ac:dyDescent="0.25">
      <c r="A19" s="1271" t="s">
        <v>673</v>
      </c>
      <c r="B19" s="1272"/>
      <c r="C19" s="1273"/>
      <c r="D19" s="537">
        <f t="shared" ref="D19:H19" si="8">SUM(D18:D18)</f>
        <v>6300</v>
      </c>
      <c r="E19" s="538">
        <f>SUM(E18:E18)</f>
        <v>75600</v>
      </c>
      <c r="F19" s="539">
        <f t="shared" si="8"/>
        <v>6300</v>
      </c>
      <c r="G19" s="537">
        <f t="shared" si="8"/>
        <v>0</v>
      </c>
      <c r="H19" s="540">
        <f t="shared" si="8"/>
        <v>3150</v>
      </c>
      <c r="I19" s="541">
        <f t="shared" ref="I19" si="9">SUM(I18:I18)</f>
        <v>420</v>
      </c>
      <c r="J19" s="538">
        <f>SUM(J18:J18)</f>
        <v>3570</v>
      </c>
      <c r="K19" s="539">
        <f>SUM(K18:K18)</f>
        <v>85470</v>
      </c>
    </row>
    <row r="21" spans="1:11" x14ac:dyDescent="0.2">
      <c r="G21" s="157"/>
      <c r="H21" s="157"/>
      <c r="I21" s="157"/>
      <c r="K21" s="131">
        <f>'PLLA MUNICIPAL HONORARIOS'!J26+'PLLA MUNICIPAL LEY SAL'!R83+'PLLA DIETAS'!K19</f>
        <v>444179.7</v>
      </c>
    </row>
    <row r="23" spans="1:11" x14ac:dyDescent="0.2">
      <c r="G23"/>
    </row>
    <row r="25" spans="1:11" x14ac:dyDescent="0.2">
      <c r="F25" s="157"/>
      <c r="G25" s="157"/>
      <c r="H25" s="157"/>
      <c r="I25" s="157"/>
      <c r="J25" s="157"/>
    </row>
    <row r="27" spans="1:11" x14ac:dyDescent="0.2">
      <c r="F27" s="157"/>
      <c r="G27" s="157"/>
      <c r="H27" s="157"/>
      <c r="I27" s="157"/>
      <c r="J27" s="157"/>
    </row>
  </sheetData>
  <mergeCells count="16">
    <mergeCell ref="A19:C19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8:C18"/>
    <mergeCell ref="A3:K3"/>
    <mergeCell ref="B5:B8"/>
    <mergeCell ref="I6:I7"/>
  </mergeCells>
  <phoneticPr fontId="0" type="noConversion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2:K225"/>
  <sheetViews>
    <sheetView showGridLines="0" tabSelected="1" topLeftCell="A124" zoomScale="130" zoomScaleNormal="130" workbookViewId="0">
      <selection activeCell="A143" sqref="A143"/>
    </sheetView>
  </sheetViews>
  <sheetFormatPr baseColWidth="10" defaultRowHeight="12.75" x14ac:dyDescent="0.2"/>
  <cols>
    <col min="1" max="1" width="6.140625" style="583" customWidth="1"/>
    <col min="2" max="2" width="48.85546875" style="583" customWidth="1"/>
    <col min="3" max="3" width="15.5703125" style="675" customWidth="1"/>
    <col min="4" max="4" width="15.42578125" style="675" customWidth="1"/>
    <col min="5" max="5" width="13.7109375" style="675" customWidth="1"/>
    <col min="6" max="6" width="14.42578125" style="675" customWidth="1"/>
    <col min="7" max="7" width="14" style="675" bestFit="1" customWidth="1"/>
    <col min="8" max="8" width="15.140625" style="115" customWidth="1"/>
    <col min="9" max="9" width="12.28515625" style="208" bestFit="1" customWidth="1"/>
    <col min="10" max="10" width="12.28515625" bestFit="1" customWidth="1"/>
  </cols>
  <sheetData>
    <row r="2" spans="1:11" x14ac:dyDescent="0.2">
      <c r="A2" s="1288" t="s">
        <v>573</v>
      </c>
      <c r="B2" s="1288"/>
      <c r="C2" s="1288"/>
      <c r="D2" s="1288"/>
      <c r="E2" s="1288"/>
      <c r="F2" s="1288"/>
      <c r="G2" s="1288"/>
    </row>
    <row r="3" spans="1:11" x14ac:dyDescent="0.2">
      <c r="A3" s="1288" t="s">
        <v>101</v>
      </c>
      <c r="B3" s="1288"/>
      <c r="C3" s="1288"/>
      <c r="D3" s="1288"/>
      <c r="E3" s="1288"/>
      <c r="F3" s="1288"/>
      <c r="G3" s="1288"/>
    </row>
    <row r="4" spans="1:11" x14ac:dyDescent="0.2">
      <c r="A4" s="1288" t="s">
        <v>102</v>
      </c>
      <c r="B4" s="1288"/>
      <c r="C4" s="1288"/>
      <c r="D4" s="1288"/>
      <c r="E4" s="1288"/>
      <c r="F4" s="1288"/>
      <c r="G4" s="1288"/>
    </row>
    <row r="5" spans="1:11" x14ac:dyDescent="0.2">
      <c r="A5" s="1288" t="s">
        <v>454</v>
      </c>
      <c r="B5" s="1288"/>
      <c r="C5" s="1288"/>
      <c r="D5" s="1288"/>
      <c r="E5" s="1288"/>
      <c r="F5" s="1288"/>
      <c r="G5" s="1288"/>
    </row>
    <row r="6" spans="1:11" x14ac:dyDescent="0.2">
      <c r="A6" s="1288" t="s">
        <v>741</v>
      </c>
      <c r="B6" s="1288"/>
      <c r="C6" s="1288"/>
      <c r="D6" s="1288"/>
      <c r="E6" s="1288"/>
      <c r="F6" s="1288"/>
      <c r="G6" s="1288"/>
    </row>
    <row r="7" spans="1:11" ht="13.5" thickBot="1" x14ac:dyDescent="0.25">
      <c r="B7" s="674"/>
      <c r="H7" s="113"/>
    </row>
    <row r="8" spans="1:11" ht="13.5" thickBot="1" x14ac:dyDescent="0.25">
      <c r="A8" s="1289" t="s">
        <v>574</v>
      </c>
      <c r="B8" s="1289" t="s">
        <v>14</v>
      </c>
      <c r="C8" s="1292" t="s">
        <v>104</v>
      </c>
      <c r="D8" s="1293"/>
      <c r="E8" s="1293"/>
      <c r="F8" s="1293"/>
      <c r="G8" s="1294"/>
    </row>
    <row r="9" spans="1:11" ht="12.75" customHeight="1" x14ac:dyDescent="0.2">
      <c r="A9" s="1290"/>
      <c r="B9" s="1290"/>
      <c r="C9" s="1286" t="s">
        <v>508</v>
      </c>
      <c r="D9" s="1286" t="s">
        <v>509</v>
      </c>
      <c r="E9" s="1286" t="s">
        <v>107</v>
      </c>
      <c r="F9" s="1286" t="s">
        <v>186</v>
      </c>
      <c r="G9" s="1286" t="s">
        <v>4</v>
      </c>
    </row>
    <row r="10" spans="1:11" ht="39.75" customHeight="1" thickBot="1" x14ac:dyDescent="0.25">
      <c r="A10" s="1291"/>
      <c r="B10" s="1291"/>
      <c r="C10" s="1287"/>
      <c r="D10" s="1287"/>
      <c r="E10" s="1287"/>
      <c r="F10" s="1287"/>
      <c r="G10" s="1287"/>
    </row>
    <row r="11" spans="1:11" x14ac:dyDescent="0.2">
      <c r="A11" s="676">
        <v>54</v>
      </c>
      <c r="B11" s="677" t="s">
        <v>27</v>
      </c>
      <c r="C11" s="678">
        <f>C12+C32+C38+C54+C59</f>
        <v>17667.5</v>
      </c>
      <c r="D11" s="679">
        <f>D12+D32+D38+D54</f>
        <v>6600</v>
      </c>
      <c r="E11" s="679">
        <f>E12+E32+E38+E54</f>
        <v>1300</v>
      </c>
      <c r="F11" s="680">
        <f>F12+F32+F38+F54</f>
        <v>168154.77</v>
      </c>
      <c r="G11" s="679">
        <f>G12+G32+G38+G54+G59</f>
        <v>193722.27</v>
      </c>
      <c r="H11" s="113"/>
    </row>
    <row r="12" spans="1:11" x14ac:dyDescent="0.2">
      <c r="A12" s="681">
        <v>541</v>
      </c>
      <c r="B12" s="682" t="s">
        <v>28</v>
      </c>
      <c r="C12" s="683">
        <f>SUM(C13:C31)</f>
        <v>5050</v>
      </c>
      <c r="D12" s="684">
        <f>SUM(D13:D31)</f>
        <v>6150</v>
      </c>
      <c r="E12" s="684">
        <f>SUM(E13:E31)</f>
        <v>1200</v>
      </c>
      <c r="F12" s="685">
        <f>SUM(F13:F31)</f>
        <v>4800</v>
      </c>
      <c r="G12" s="684">
        <f>SUM(C12:F12)</f>
        <v>17200</v>
      </c>
      <c r="H12" s="113"/>
      <c r="I12" s="209"/>
    </row>
    <row r="13" spans="1:11" x14ac:dyDescent="0.2">
      <c r="A13" s="686">
        <v>54101</v>
      </c>
      <c r="B13" s="687" t="s">
        <v>29</v>
      </c>
      <c r="C13" s="980">
        <v>50</v>
      </c>
      <c r="D13" s="981">
        <v>0</v>
      </c>
      <c r="E13" s="981">
        <v>0</v>
      </c>
      <c r="F13" s="982">
        <v>0</v>
      </c>
      <c r="G13" s="691">
        <f>SUM(C13:F13)</f>
        <v>50</v>
      </c>
      <c r="H13" s="113"/>
      <c r="J13" s="2"/>
      <c r="K13" s="2"/>
    </row>
    <row r="14" spans="1:11" x14ac:dyDescent="0.2">
      <c r="A14" s="686">
        <v>54103</v>
      </c>
      <c r="B14" s="687" t="s">
        <v>30</v>
      </c>
      <c r="C14" s="980">
        <v>0</v>
      </c>
      <c r="D14" s="981">
        <v>0</v>
      </c>
      <c r="E14" s="981">
        <v>0</v>
      </c>
      <c r="F14" s="982">
        <v>0</v>
      </c>
      <c r="G14" s="691">
        <f>+C14+F14</f>
        <v>0</v>
      </c>
      <c r="H14" s="113"/>
    </row>
    <row r="15" spans="1:11" x14ac:dyDescent="0.2">
      <c r="A15" s="686">
        <v>54104</v>
      </c>
      <c r="B15" s="687" t="s">
        <v>31</v>
      </c>
      <c r="C15" s="980">
        <v>0</v>
      </c>
      <c r="D15" s="981">
        <v>0</v>
      </c>
      <c r="E15" s="981">
        <v>0</v>
      </c>
      <c r="F15" s="982">
        <v>0</v>
      </c>
      <c r="G15" s="691">
        <f t="shared" ref="G15:G31" si="0">SUM(C15:F15)</f>
        <v>0</v>
      </c>
      <c r="H15" s="113"/>
    </row>
    <row r="16" spans="1:11" x14ac:dyDescent="0.2">
      <c r="A16" s="686">
        <v>54105</v>
      </c>
      <c r="B16" s="687" t="s">
        <v>32</v>
      </c>
      <c r="C16" s="980">
        <v>400</v>
      </c>
      <c r="D16" s="981">
        <v>1500</v>
      </c>
      <c r="E16" s="981">
        <v>450</v>
      </c>
      <c r="F16" s="982">
        <v>150</v>
      </c>
      <c r="G16" s="691">
        <f t="shared" si="0"/>
        <v>2500</v>
      </c>
      <c r="H16" s="113"/>
    </row>
    <row r="17" spans="1:8" hidden="1" x14ac:dyDescent="0.2">
      <c r="A17" s="686">
        <v>54106</v>
      </c>
      <c r="B17" s="687" t="s">
        <v>33</v>
      </c>
      <c r="C17" s="980"/>
      <c r="D17" s="981"/>
      <c r="E17" s="981"/>
      <c r="F17" s="982"/>
      <c r="G17" s="691">
        <f t="shared" si="0"/>
        <v>0</v>
      </c>
      <c r="H17" s="113"/>
    </row>
    <row r="18" spans="1:8" x14ac:dyDescent="0.2">
      <c r="A18" s="686">
        <v>54107</v>
      </c>
      <c r="B18" s="687" t="s">
        <v>34</v>
      </c>
      <c r="C18" s="980">
        <v>100</v>
      </c>
      <c r="D18" s="981">
        <v>0</v>
      </c>
      <c r="E18" s="981">
        <v>0</v>
      </c>
      <c r="F18" s="982">
        <v>1000</v>
      </c>
      <c r="G18" s="691">
        <f t="shared" si="0"/>
        <v>1100</v>
      </c>
      <c r="H18" s="113"/>
    </row>
    <row r="19" spans="1:8" x14ac:dyDescent="0.2">
      <c r="A19" s="686">
        <v>54108</v>
      </c>
      <c r="B19" s="687" t="s">
        <v>35</v>
      </c>
      <c r="C19" s="980">
        <v>0</v>
      </c>
      <c r="D19" s="981">
        <v>0</v>
      </c>
      <c r="E19" s="981">
        <v>0</v>
      </c>
      <c r="F19" s="982">
        <v>0</v>
      </c>
      <c r="G19" s="691">
        <f t="shared" si="0"/>
        <v>0</v>
      </c>
      <c r="H19" s="113"/>
    </row>
    <row r="20" spans="1:8" x14ac:dyDescent="0.2">
      <c r="A20" s="686">
        <v>54109</v>
      </c>
      <c r="B20" s="687" t="s">
        <v>36</v>
      </c>
      <c r="C20" s="980">
        <v>1000</v>
      </c>
      <c r="D20" s="981">
        <v>0</v>
      </c>
      <c r="E20" s="981">
        <v>0</v>
      </c>
      <c r="F20" s="982">
        <v>1200</v>
      </c>
      <c r="G20" s="691">
        <f t="shared" si="0"/>
        <v>2200</v>
      </c>
      <c r="H20" s="113"/>
    </row>
    <row r="21" spans="1:8" x14ac:dyDescent="0.2">
      <c r="A21" s="686">
        <v>54110</v>
      </c>
      <c r="B21" s="687" t="s">
        <v>37</v>
      </c>
      <c r="C21" s="980">
        <v>2000</v>
      </c>
      <c r="D21" s="981">
        <v>0</v>
      </c>
      <c r="E21" s="981">
        <v>0</v>
      </c>
      <c r="F21" s="982">
        <v>1000</v>
      </c>
      <c r="G21" s="691">
        <f t="shared" si="0"/>
        <v>3000</v>
      </c>
      <c r="H21" s="113"/>
    </row>
    <row r="22" spans="1:8" x14ac:dyDescent="0.2">
      <c r="A22" s="686">
        <v>54111</v>
      </c>
      <c r="B22" s="687" t="s">
        <v>38</v>
      </c>
      <c r="C22" s="980">
        <v>0</v>
      </c>
      <c r="D22" s="981">
        <v>0</v>
      </c>
      <c r="E22" s="981">
        <v>0</v>
      </c>
      <c r="F22" s="982">
        <v>0</v>
      </c>
      <c r="G22" s="691">
        <f t="shared" si="0"/>
        <v>0</v>
      </c>
      <c r="H22" s="113"/>
    </row>
    <row r="23" spans="1:8" x14ac:dyDescent="0.2">
      <c r="A23" s="686">
        <v>54112</v>
      </c>
      <c r="B23" s="687" t="s">
        <v>39</v>
      </c>
      <c r="C23" s="980">
        <v>0</v>
      </c>
      <c r="D23" s="981">
        <v>0</v>
      </c>
      <c r="E23" s="981">
        <v>0</v>
      </c>
      <c r="F23" s="982">
        <v>0</v>
      </c>
      <c r="G23" s="691">
        <f t="shared" si="0"/>
        <v>0</v>
      </c>
      <c r="H23" s="113"/>
    </row>
    <row r="24" spans="1:8" x14ac:dyDescent="0.2">
      <c r="A24" s="686">
        <v>54114</v>
      </c>
      <c r="B24" s="687" t="s">
        <v>40</v>
      </c>
      <c r="C24" s="980">
        <v>100</v>
      </c>
      <c r="D24" s="981">
        <v>450</v>
      </c>
      <c r="E24" s="981">
        <v>250</v>
      </c>
      <c r="F24" s="982">
        <v>200</v>
      </c>
      <c r="G24" s="691">
        <f t="shared" si="0"/>
        <v>1000</v>
      </c>
      <c r="H24" s="113"/>
    </row>
    <row r="25" spans="1:8" x14ac:dyDescent="0.2">
      <c r="A25" s="686">
        <v>54115</v>
      </c>
      <c r="B25" s="687" t="s">
        <v>41</v>
      </c>
      <c r="C25" s="980">
        <v>100</v>
      </c>
      <c r="D25" s="981">
        <v>500</v>
      </c>
      <c r="E25" s="981">
        <v>400</v>
      </c>
      <c r="F25" s="982">
        <v>50</v>
      </c>
      <c r="G25" s="691">
        <f t="shared" si="0"/>
        <v>1050</v>
      </c>
      <c r="H25" s="113"/>
    </row>
    <row r="26" spans="1:8" x14ac:dyDescent="0.2">
      <c r="A26" s="686">
        <v>54116</v>
      </c>
      <c r="B26" s="687" t="s">
        <v>42</v>
      </c>
      <c r="C26" s="980">
        <v>100</v>
      </c>
      <c r="D26" s="981">
        <v>0</v>
      </c>
      <c r="E26" s="981">
        <v>0</v>
      </c>
      <c r="F26" s="982">
        <v>0</v>
      </c>
      <c r="G26" s="691">
        <f t="shared" si="0"/>
        <v>100</v>
      </c>
      <c r="H26" s="113"/>
    </row>
    <row r="27" spans="1:8" hidden="1" x14ac:dyDescent="0.2">
      <c r="A27" s="686">
        <v>54117</v>
      </c>
      <c r="B27" s="687" t="s">
        <v>43</v>
      </c>
      <c r="C27" s="980"/>
      <c r="D27" s="981"/>
      <c r="E27" s="981"/>
      <c r="F27" s="982"/>
      <c r="G27" s="691">
        <f t="shared" si="0"/>
        <v>0</v>
      </c>
      <c r="H27" s="113"/>
    </row>
    <row r="28" spans="1:8" x14ac:dyDescent="0.2">
      <c r="A28" s="686">
        <v>54118</v>
      </c>
      <c r="B28" s="687" t="s">
        <v>44</v>
      </c>
      <c r="C28" s="980">
        <v>100</v>
      </c>
      <c r="D28" s="981">
        <v>0</v>
      </c>
      <c r="E28" s="981">
        <v>0</v>
      </c>
      <c r="F28" s="982">
        <v>1000</v>
      </c>
      <c r="G28" s="691">
        <f t="shared" si="0"/>
        <v>1100</v>
      </c>
      <c r="H28" s="113"/>
    </row>
    <row r="29" spans="1:8" x14ac:dyDescent="0.2">
      <c r="A29" s="686">
        <v>54119</v>
      </c>
      <c r="B29" s="687" t="s">
        <v>45</v>
      </c>
      <c r="C29" s="980">
        <v>100</v>
      </c>
      <c r="D29" s="981">
        <v>0</v>
      </c>
      <c r="E29" s="981">
        <v>0</v>
      </c>
      <c r="F29" s="982">
        <v>100</v>
      </c>
      <c r="G29" s="691">
        <f t="shared" si="0"/>
        <v>200</v>
      </c>
      <c r="H29" s="113"/>
    </row>
    <row r="30" spans="1:8" x14ac:dyDescent="0.2">
      <c r="A30" s="686">
        <v>54121</v>
      </c>
      <c r="B30" s="687" t="s">
        <v>46</v>
      </c>
      <c r="C30" s="980">
        <v>0</v>
      </c>
      <c r="D30" s="981">
        <f>4000-350</f>
        <v>3650</v>
      </c>
      <c r="E30" s="981">
        <v>0</v>
      </c>
      <c r="F30" s="982">
        <v>0</v>
      </c>
      <c r="G30" s="691">
        <f t="shared" si="0"/>
        <v>3650</v>
      </c>
      <c r="H30" s="113"/>
    </row>
    <row r="31" spans="1:8" x14ac:dyDescent="0.2">
      <c r="A31" s="686">
        <v>54199</v>
      </c>
      <c r="B31" s="687" t="s">
        <v>47</v>
      </c>
      <c r="C31" s="980">
        <v>1000</v>
      </c>
      <c r="D31" s="981">
        <v>50</v>
      </c>
      <c r="E31" s="981">
        <v>100</v>
      </c>
      <c r="F31" s="982">
        <f>100</f>
        <v>100</v>
      </c>
      <c r="G31" s="691">
        <f t="shared" si="0"/>
        <v>1250</v>
      </c>
      <c r="H31" s="113"/>
    </row>
    <row r="32" spans="1:8" x14ac:dyDescent="0.2">
      <c r="A32" s="681">
        <v>542</v>
      </c>
      <c r="B32" s="682" t="s">
        <v>48</v>
      </c>
      <c r="C32" s="983">
        <f>SUM(C33:C37)</f>
        <v>9217.5</v>
      </c>
      <c r="D32" s="984">
        <f>SUM(D33:D37)</f>
        <v>0</v>
      </c>
      <c r="E32" s="984">
        <f>SUM(E33:E37)</f>
        <v>0</v>
      </c>
      <c r="F32" s="985">
        <f>SUM(F33:F37)</f>
        <v>161754.76999999999</v>
      </c>
      <c r="G32" s="684">
        <f t="shared" ref="G32:G37" si="1">SUM(C32:F32)</f>
        <v>170972.27</v>
      </c>
      <c r="H32" s="113"/>
    </row>
    <row r="33" spans="1:10" x14ac:dyDescent="0.2">
      <c r="A33" s="686">
        <v>54201</v>
      </c>
      <c r="B33" s="687" t="s">
        <v>49</v>
      </c>
      <c r="C33" s="980">
        <f>3000</f>
        <v>3000</v>
      </c>
      <c r="D33" s="981">
        <v>0</v>
      </c>
      <c r="E33" s="981">
        <v>0</v>
      </c>
      <c r="F33" s="982">
        <f>150000-9000+1637.53-2365.53+600</f>
        <v>140872</v>
      </c>
      <c r="G33" s="691">
        <f t="shared" si="1"/>
        <v>143872</v>
      </c>
      <c r="H33" s="113"/>
    </row>
    <row r="34" spans="1:10" x14ac:dyDescent="0.2">
      <c r="A34" s="686">
        <v>54202</v>
      </c>
      <c r="B34" s="687" t="s">
        <v>50</v>
      </c>
      <c r="C34" s="980">
        <v>717.5</v>
      </c>
      <c r="D34" s="981">
        <v>0</v>
      </c>
      <c r="E34" s="981">
        <v>0</v>
      </c>
      <c r="F34" s="982">
        <v>1000</v>
      </c>
      <c r="G34" s="691">
        <f t="shared" si="1"/>
        <v>1717.5</v>
      </c>
      <c r="H34" s="113"/>
    </row>
    <row r="35" spans="1:10" x14ac:dyDescent="0.2">
      <c r="A35" s="686">
        <v>54203</v>
      </c>
      <c r="B35" s="687" t="s">
        <v>51</v>
      </c>
      <c r="C35" s="980">
        <v>5500</v>
      </c>
      <c r="D35" s="981">
        <v>0</v>
      </c>
      <c r="E35" s="981">
        <v>0</v>
      </c>
      <c r="F35" s="982">
        <v>500</v>
      </c>
      <c r="G35" s="691">
        <f t="shared" si="1"/>
        <v>6000</v>
      </c>
      <c r="H35" s="113"/>
    </row>
    <row r="36" spans="1:10" ht="12.75" hidden="1" customHeight="1" x14ac:dyDescent="0.2">
      <c r="A36" s="686">
        <v>54204</v>
      </c>
      <c r="B36" s="687" t="s">
        <v>52</v>
      </c>
      <c r="C36" s="980"/>
      <c r="D36" s="981"/>
      <c r="E36" s="981"/>
      <c r="F36" s="982"/>
      <c r="G36" s="691">
        <f t="shared" si="1"/>
        <v>0</v>
      </c>
    </row>
    <row r="37" spans="1:10" x14ac:dyDescent="0.2">
      <c r="A37" s="686">
        <v>54205</v>
      </c>
      <c r="B37" s="687" t="s">
        <v>53</v>
      </c>
      <c r="C37" s="980">
        <v>0</v>
      </c>
      <c r="D37" s="981">
        <v>0</v>
      </c>
      <c r="E37" s="981">
        <v>0</v>
      </c>
      <c r="F37" s="982">
        <f>20000-617.23</f>
        <v>19382.77</v>
      </c>
      <c r="G37" s="691">
        <f t="shared" si="1"/>
        <v>19382.77</v>
      </c>
      <c r="H37" s="113"/>
      <c r="J37" s="2"/>
    </row>
    <row r="38" spans="1:10" x14ac:dyDescent="0.2">
      <c r="A38" s="681">
        <v>543</v>
      </c>
      <c r="B38" s="682" t="s">
        <v>54</v>
      </c>
      <c r="C38" s="983">
        <f>SUM(C39:C53)</f>
        <v>3400</v>
      </c>
      <c r="D38" s="984">
        <f>SUM(D39:D53)</f>
        <v>450</v>
      </c>
      <c r="E38" s="984">
        <f>SUM(E39:E53)</f>
        <v>100</v>
      </c>
      <c r="F38" s="985">
        <f>SUM(F39:F53)</f>
        <v>1600</v>
      </c>
      <c r="G38" s="684">
        <f>SUM(G39:G53)</f>
        <v>5550</v>
      </c>
      <c r="H38" s="113"/>
    </row>
    <row r="39" spans="1:10" x14ac:dyDescent="0.2">
      <c r="A39" s="686">
        <v>54301</v>
      </c>
      <c r="B39" s="687" t="s">
        <v>55</v>
      </c>
      <c r="C39" s="980">
        <v>500</v>
      </c>
      <c r="D39" s="981">
        <v>350</v>
      </c>
      <c r="E39" s="981">
        <v>100</v>
      </c>
      <c r="F39" s="982">
        <v>100</v>
      </c>
      <c r="G39" s="691">
        <f>SUM(C39:F39)</f>
        <v>1050</v>
      </c>
      <c r="H39" s="113"/>
    </row>
    <row r="40" spans="1:10" x14ac:dyDescent="0.2">
      <c r="A40" s="686">
        <v>54302</v>
      </c>
      <c r="B40" s="687" t="s">
        <v>56</v>
      </c>
      <c r="C40" s="980">
        <v>1500</v>
      </c>
      <c r="D40" s="981">
        <v>0</v>
      </c>
      <c r="E40" s="981">
        <v>0</v>
      </c>
      <c r="F40" s="982">
        <v>1500</v>
      </c>
      <c r="G40" s="691">
        <f t="shared" ref="G40:G53" si="2">SUM(C40:F40)</f>
        <v>3000</v>
      </c>
      <c r="H40" s="113"/>
    </row>
    <row r="41" spans="1:10" hidden="1" x14ac:dyDescent="0.2">
      <c r="A41" s="686">
        <v>54303</v>
      </c>
      <c r="B41" s="687" t="s">
        <v>57</v>
      </c>
      <c r="C41" s="980">
        <v>0</v>
      </c>
      <c r="D41" s="981">
        <v>0</v>
      </c>
      <c r="E41" s="981">
        <v>0</v>
      </c>
      <c r="F41" s="982">
        <v>0</v>
      </c>
      <c r="G41" s="691">
        <f t="shared" si="2"/>
        <v>0</v>
      </c>
      <c r="H41" s="113"/>
    </row>
    <row r="42" spans="1:10" x14ac:dyDescent="0.2">
      <c r="A42" s="686">
        <v>54304</v>
      </c>
      <c r="B42" s="687" t="s">
        <v>58</v>
      </c>
      <c r="C42" s="980">
        <v>0</v>
      </c>
      <c r="D42" s="981">
        <v>0</v>
      </c>
      <c r="E42" s="981">
        <v>0</v>
      </c>
      <c r="F42" s="982">
        <v>0</v>
      </c>
      <c r="G42" s="691">
        <f>SUM(C42:F42)</f>
        <v>0</v>
      </c>
      <c r="H42" s="113"/>
    </row>
    <row r="43" spans="1:10" hidden="1" x14ac:dyDescent="0.2">
      <c r="A43" s="686">
        <v>54305</v>
      </c>
      <c r="B43" s="687" t="s">
        <v>59</v>
      </c>
      <c r="C43" s="980">
        <v>0</v>
      </c>
      <c r="D43" s="981">
        <v>0</v>
      </c>
      <c r="E43" s="981">
        <v>0</v>
      </c>
      <c r="F43" s="982">
        <v>0</v>
      </c>
      <c r="G43" s="691">
        <f t="shared" si="2"/>
        <v>0</v>
      </c>
      <c r="H43" s="113"/>
    </row>
    <row r="44" spans="1:10" hidden="1" x14ac:dyDescent="0.2">
      <c r="A44" s="686">
        <v>54306</v>
      </c>
      <c r="B44" s="687" t="s">
        <v>60</v>
      </c>
      <c r="C44" s="980">
        <v>0</v>
      </c>
      <c r="D44" s="981">
        <v>0</v>
      </c>
      <c r="E44" s="981">
        <v>0</v>
      </c>
      <c r="F44" s="982">
        <v>0</v>
      </c>
      <c r="G44" s="691">
        <f t="shared" si="2"/>
        <v>0</v>
      </c>
      <c r="H44" s="113"/>
    </row>
    <row r="45" spans="1:10" x14ac:dyDescent="0.2">
      <c r="A45" s="686">
        <v>54307</v>
      </c>
      <c r="B45" s="687" t="s">
        <v>61</v>
      </c>
      <c r="C45" s="980">
        <v>1200</v>
      </c>
      <c r="D45" s="981">
        <v>0</v>
      </c>
      <c r="E45" s="981">
        <v>0</v>
      </c>
      <c r="F45" s="982">
        <v>0</v>
      </c>
      <c r="G45" s="691">
        <f t="shared" si="2"/>
        <v>1200</v>
      </c>
      <c r="H45" s="113"/>
    </row>
    <row r="46" spans="1:10" hidden="1" x14ac:dyDescent="0.2">
      <c r="A46" s="686">
        <v>54309</v>
      </c>
      <c r="B46" s="687" t="s">
        <v>62</v>
      </c>
      <c r="C46" s="980"/>
      <c r="D46" s="981">
        <v>0</v>
      </c>
      <c r="E46" s="981">
        <v>0</v>
      </c>
      <c r="F46" s="982">
        <v>0</v>
      </c>
      <c r="G46" s="691">
        <f t="shared" si="2"/>
        <v>0</v>
      </c>
      <c r="H46" s="113"/>
    </row>
    <row r="47" spans="1:10" hidden="1" x14ac:dyDescent="0.2">
      <c r="A47" s="686">
        <v>54310</v>
      </c>
      <c r="B47" s="687" t="s">
        <v>63</v>
      </c>
      <c r="C47" s="980"/>
      <c r="D47" s="981">
        <v>0</v>
      </c>
      <c r="E47" s="981">
        <v>0</v>
      </c>
      <c r="F47" s="982">
        <v>0</v>
      </c>
      <c r="G47" s="691">
        <f t="shared" si="2"/>
        <v>0</v>
      </c>
      <c r="H47" s="113"/>
    </row>
    <row r="48" spans="1:10" hidden="1" x14ac:dyDescent="0.2">
      <c r="A48" s="686">
        <v>54311</v>
      </c>
      <c r="B48" s="687" t="s">
        <v>64</v>
      </c>
      <c r="C48" s="980"/>
      <c r="D48" s="981">
        <v>0</v>
      </c>
      <c r="E48" s="981">
        <v>0</v>
      </c>
      <c r="F48" s="982">
        <v>0</v>
      </c>
      <c r="G48" s="691">
        <f t="shared" si="2"/>
        <v>0</v>
      </c>
      <c r="H48" s="113"/>
    </row>
    <row r="49" spans="1:8" hidden="1" x14ac:dyDescent="0.2">
      <c r="A49" s="686">
        <v>54313</v>
      </c>
      <c r="B49" s="687" t="s">
        <v>65</v>
      </c>
      <c r="C49" s="980"/>
      <c r="D49" s="981">
        <v>0</v>
      </c>
      <c r="E49" s="981">
        <v>0</v>
      </c>
      <c r="F49" s="982">
        <v>0</v>
      </c>
      <c r="G49" s="691">
        <f t="shared" si="2"/>
        <v>0</v>
      </c>
      <c r="H49" s="113"/>
    </row>
    <row r="50" spans="1:8" x14ac:dyDescent="0.2">
      <c r="A50" s="686">
        <v>54314</v>
      </c>
      <c r="B50" s="687" t="s">
        <v>66</v>
      </c>
      <c r="C50" s="980">
        <v>100</v>
      </c>
      <c r="D50" s="981">
        <v>0</v>
      </c>
      <c r="E50" s="981">
        <v>0</v>
      </c>
      <c r="F50" s="982">
        <v>0</v>
      </c>
      <c r="G50" s="691">
        <f t="shared" si="2"/>
        <v>100</v>
      </c>
      <c r="H50" s="113"/>
    </row>
    <row r="51" spans="1:8" hidden="1" x14ac:dyDescent="0.2">
      <c r="A51" s="686">
        <v>54316</v>
      </c>
      <c r="B51" s="687" t="s">
        <v>67</v>
      </c>
      <c r="C51" s="980">
        <v>0</v>
      </c>
      <c r="D51" s="981">
        <v>0</v>
      </c>
      <c r="E51" s="981">
        <v>0</v>
      </c>
      <c r="F51" s="982">
        <v>0</v>
      </c>
      <c r="G51" s="691">
        <f t="shared" si="2"/>
        <v>0</v>
      </c>
      <c r="H51" s="113"/>
    </row>
    <row r="52" spans="1:8" x14ac:dyDescent="0.2">
      <c r="A52" s="686">
        <v>54317</v>
      </c>
      <c r="B52" s="687" t="s">
        <v>68</v>
      </c>
      <c r="C52" s="980">
        <v>0</v>
      </c>
      <c r="D52" s="981">
        <v>0</v>
      </c>
      <c r="E52" s="981">
        <v>0</v>
      </c>
      <c r="F52" s="982">
        <v>0</v>
      </c>
      <c r="G52" s="691">
        <f t="shared" si="2"/>
        <v>0</v>
      </c>
      <c r="H52" s="113"/>
    </row>
    <row r="53" spans="1:8" x14ac:dyDescent="0.2">
      <c r="A53" s="686">
        <v>54399</v>
      </c>
      <c r="B53" s="687" t="s">
        <v>69</v>
      </c>
      <c r="C53" s="980">
        <v>100</v>
      </c>
      <c r="D53" s="981">
        <v>100</v>
      </c>
      <c r="E53" s="981">
        <v>0</v>
      </c>
      <c r="F53" s="982">
        <v>0</v>
      </c>
      <c r="G53" s="691">
        <f t="shared" si="2"/>
        <v>200</v>
      </c>
      <c r="H53" s="113"/>
    </row>
    <row r="54" spans="1:8" x14ac:dyDescent="0.2">
      <c r="A54" s="681">
        <v>544</v>
      </c>
      <c r="B54" s="682" t="s">
        <v>70</v>
      </c>
      <c r="C54" s="983">
        <f>SUM(C55:C58)</f>
        <v>0</v>
      </c>
      <c r="D54" s="984">
        <f>SUM(D55:D58)</f>
        <v>0</v>
      </c>
      <c r="E54" s="984">
        <f>SUM(E55:E58)</f>
        <v>0</v>
      </c>
      <c r="F54" s="985">
        <f>SUM(F55:F58)</f>
        <v>0</v>
      </c>
      <c r="G54" s="684">
        <f>SUM(G55:G58)</f>
        <v>0</v>
      </c>
      <c r="H54" s="113"/>
    </row>
    <row r="55" spans="1:8" x14ac:dyDescent="0.2">
      <c r="A55" s="686">
        <v>54401</v>
      </c>
      <c r="B55" s="687" t="s">
        <v>71</v>
      </c>
      <c r="C55" s="980">
        <v>0</v>
      </c>
      <c r="D55" s="981">
        <v>0</v>
      </c>
      <c r="E55" s="981">
        <v>0</v>
      </c>
      <c r="F55" s="982">
        <v>0</v>
      </c>
      <c r="G55" s="691">
        <f>SUM(C55:F55)</f>
        <v>0</v>
      </c>
      <c r="H55" s="113"/>
    </row>
    <row r="56" spans="1:8" x14ac:dyDescent="0.2">
      <c r="A56" s="686">
        <v>54402</v>
      </c>
      <c r="B56" s="687" t="s">
        <v>72</v>
      </c>
      <c r="C56" s="980">
        <v>0</v>
      </c>
      <c r="D56" s="981">
        <v>0</v>
      </c>
      <c r="E56" s="981">
        <v>0</v>
      </c>
      <c r="F56" s="982">
        <v>0</v>
      </c>
      <c r="G56" s="691">
        <f t="shared" ref="G56:G66" si="3">+C56+F56</f>
        <v>0</v>
      </c>
      <c r="H56" s="113"/>
    </row>
    <row r="57" spans="1:8" x14ac:dyDescent="0.2">
      <c r="A57" s="686">
        <v>54403</v>
      </c>
      <c r="B57" s="687" t="s">
        <v>73</v>
      </c>
      <c r="C57" s="980">
        <v>0</v>
      </c>
      <c r="D57" s="981">
        <v>0</v>
      </c>
      <c r="E57" s="981">
        <v>0</v>
      </c>
      <c r="F57" s="982">
        <v>0</v>
      </c>
      <c r="G57" s="691">
        <f>SUM(C57:F57)</f>
        <v>0</v>
      </c>
      <c r="H57" s="113"/>
    </row>
    <row r="58" spans="1:8" x14ac:dyDescent="0.2">
      <c r="A58" s="686">
        <v>54404</v>
      </c>
      <c r="B58" s="687" t="s">
        <v>74</v>
      </c>
      <c r="C58" s="688">
        <v>0</v>
      </c>
      <c r="D58" s="689">
        <v>0</v>
      </c>
      <c r="E58" s="689">
        <v>0</v>
      </c>
      <c r="F58" s="690">
        <v>0</v>
      </c>
      <c r="G58" s="691">
        <f t="shared" si="3"/>
        <v>0</v>
      </c>
      <c r="H58" s="113"/>
    </row>
    <row r="59" spans="1:8" hidden="1" x14ac:dyDescent="0.2">
      <c r="A59" s="681">
        <v>545</v>
      </c>
      <c r="B59" s="682" t="s">
        <v>75</v>
      </c>
      <c r="C59" s="683">
        <f>+C61</f>
        <v>0</v>
      </c>
      <c r="D59" s="684">
        <v>0</v>
      </c>
      <c r="E59" s="684">
        <v>0</v>
      </c>
      <c r="F59" s="685">
        <v>0</v>
      </c>
      <c r="G59" s="684">
        <f>+G61</f>
        <v>0</v>
      </c>
      <c r="H59" s="113"/>
    </row>
    <row r="60" spans="1:8" hidden="1" x14ac:dyDescent="0.2">
      <c r="A60" s="686">
        <v>54501</v>
      </c>
      <c r="B60" s="687" t="s">
        <v>76</v>
      </c>
      <c r="C60" s="688"/>
      <c r="D60" s="689">
        <v>0</v>
      </c>
      <c r="E60" s="689">
        <v>0</v>
      </c>
      <c r="F60" s="690">
        <v>0</v>
      </c>
      <c r="G60" s="691">
        <f t="shared" si="3"/>
        <v>0</v>
      </c>
      <c r="H60" s="113"/>
    </row>
    <row r="61" spans="1:8" hidden="1" x14ac:dyDescent="0.2">
      <c r="A61" s="686">
        <v>54503</v>
      </c>
      <c r="B61" s="687" t="s">
        <v>77</v>
      </c>
      <c r="C61" s="688">
        <v>0</v>
      </c>
      <c r="D61" s="689">
        <v>0</v>
      </c>
      <c r="E61" s="689">
        <v>0</v>
      </c>
      <c r="F61" s="690">
        <v>0</v>
      </c>
      <c r="G61" s="691">
        <f t="shared" si="3"/>
        <v>0</v>
      </c>
      <c r="H61" s="113"/>
    </row>
    <row r="62" spans="1:8" hidden="1" x14ac:dyDescent="0.2">
      <c r="A62" s="686">
        <v>54504</v>
      </c>
      <c r="B62" s="687" t="s">
        <v>78</v>
      </c>
      <c r="C62" s="688"/>
      <c r="D62" s="689"/>
      <c r="E62" s="689"/>
      <c r="F62" s="690"/>
      <c r="G62" s="691">
        <f t="shared" si="3"/>
        <v>0</v>
      </c>
      <c r="H62" s="113"/>
    </row>
    <row r="63" spans="1:8" hidden="1" x14ac:dyDescent="0.2">
      <c r="A63" s="686">
        <v>54505</v>
      </c>
      <c r="B63" s="687" t="s">
        <v>79</v>
      </c>
      <c r="C63" s="688"/>
      <c r="D63" s="689"/>
      <c r="E63" s="689"/>
      <c r="F63" s="690"/>
      <c r="G63" s="691">
        <f t="shared" si="3"/>
        <v>0</v>
      </c>
      <c r="H63" s="113"/>
    </row>
    <row r="64" spans="1:8" hidden="1" x14ac:dyDescent="0.2">
      <c r="A64" s="686">
        <v>54507</v>
      </c>
      <c r="B64" s="687" t="s">
        <v>80</v>
      </c>
      <c r="C64" s="688"/>
      <c r="D64" s="689"/>
      <c r="E64" s="689"/>
      <c r="F64" s="690"/>
      <c r="G64" s="691">
        <f t="shared" si="3"/>
        <v>0</v>
      </c>
      <c r="H64" s="113"/>
    </row>
    <row r="65" spans="1:9" hidden="1" x14ac:dyDescent="0.2">
      <c r="A65" s="686">
        <v>54508</v>
      </c>
      <c r="B65" s="687" t="s">
        <v>81</v>
      </c>
      <c r="C65" s="688"/>
      <c r="D65" s="689"/>
      <c r="E65" s="689"/>
      <c r="F65" s="690"/>
      <c r="G65" s="691">
        <f t="shared" si="3"/>
        <v>0</v>
      </c>
      <c r="H65" s="113"/>
    </row>
    <row r="66" spans="1:9" hidden="1" x14ac:dyDescent="0.2">
      <c r="A66" s="686">
        <v>54599</v>
      </c>
      <c r="B66" s="687" t="s">
        <v>82</v>
      </c>
      <c r="C66" s="688"/>
      <c r="D66" s="689"/>
      <c r="E66" s="689"/>
      <c r="F66" s="690"/>
      <c r="G66" s="691">
        <f t="shared" si="3"/>
        <v>0</v>
      </c>
      <c r="H66" s="113"/>
    </row>
    <row r="67" spans="1:9" x14ac:dyDescent="0.2">
      <c r="A67" s="686"/>
      <c r="B67" s="687"/>
      <c r="C67" s="688"/>
      <c r="D67" s="689"/>
      <c r="E67" s="689"/>
      <c r="F67" s="690"/>
      <c r="G67" s="691"/>
      <c r="H67" s="113"/>
    </row>
    <row r="68" spans="1:9" x14ac:dyDescent="0.2">
      <c r="A68" s="681">
        <v>55</v>
      </c>
      <c r="B68" s="682" t="s">
        <v>83</v>
      </c>
      <c r="C68" s="683">
        <f>C73+C75</f>
        <v>4050</v>
      </c>
      <c r="D68" s="684">
        <f t="shared" ref="D68:F68" si="4">D73+D75</f>
        <v>100</v>
      </c>
      <c r="E68" s="684">
        <f t="shared" si="4"/>
        <v>0</v>
      </c>
      <c r="F68" s="685">
        <f t="shared" si="4"/>
        <v>120.01</v>
      </c>
      <c r="G68" s="684">
        <f>F68+D68+C68</f>
        <v>4270.01</v>
      </c>
      <c r="H68" s="204"/>
    </row>
    <row r="69" spans="1:9" hidden="1" x14ac:dyDescent="0.2">
      <c r="A69" s="681">
        <v>553</v>
      </c>
      <c r="B69" s="682" t="s">
        <v>84</v>
      </c>
      <c r="C69" s="688"/>
      <c r="D69" s="689"/>
      <c r="E69" s="689"/>
      <c r="F69" s="690"/>
      <c r="G69" s="684">
        <f>+C69+F69</f>
        <v>0</v>
      </c>
      <c r="H69" s="204"/>
    </row>
    <row r="70" spans="1:9" hidden="1" x14ac:dyDescent="0.2">
      <c r="A70" s="686">
        <v>55303</v>
      </c>
      <c r="B70" s="687" t="s">
        <v>85</v>
      </c>
      <c r="C70" s="688"/>
      <c r="D70" s="689"/>
      <c r="E70" s="689"/>
      <c r="F70" s="690"/>
      <c r="G70" s="691">
        <f>+C70+F70</f>
        <v>0</v>
      </c>
      <c r="H70" s="204"/>
    </row>
    <row r="71" spans="1:9" hidden="1" x14ac:dyDescent="0.2">
      <c r="A71" s="686">
        <v>55304</v>
      </c>
      <c r="B71" s="687" t="s">
        <v>86</v>
      </c>
      <c r="C71" s="688"/>
      <c r="D71" s="689"/>
      <c r="E71" s="689"/>
      <c r="F71" s="690"/>
      <c r="G71" s="691">
        <f>+C71+F71</f>
        <v>0</v>
      </c>
      <c r="H71" s="204"/>
    </row>
    <row r="72" spans="1:9" hidden="1" x14ac:dyDescent="0.2">
      <c r="A72" s="686">
        <v>55308</v>
      </c>
      <c r="B72" s="687" t="s">
        <v>87</v>
      </c>
      <c r="C72" s="688"/>
      <c r="D72" s="689"/>
      <c r="E72" s="689"/>
      <c r="F72" s="690"/>
      <c r="G72" s="691">
        <f>+C72+F72</f>
        <v>0</v>
      </c>
      <c r="H72" s="204"/>
    </row>
    <row r="73" spans="1:9" s="59" customFormat="1" x14ac:dyDescent="0.2">
      <c r="A73" s="681">
        <v>555</v>
      </c>
      <c r="B73" s="682" t="s">
        <v>486</v>
      </c>
      <c r="C73" s="683">
        <f>C74</f>
        <v>50</v>
      </c>
      <c r="D73" s="684">
        <f t="shared" ref="D73:F73" si="5">D74</f>
        <v>0</v>
      </c>
      <c r="E73" s="684">
        <f t="shared" si="5"/>
        <v>0</v>
      </c>
      <c r="F73" s="685">
        <f t="shared" si="5"/>
        <v>120.01</v>
      </c>
      <c r="G73" s="684">
        <f>G74</f>
        <v>170.01</v>
      </c>
      <c r="H73" s="219"/>
      <c r="I73" s="209"/>
    </row>
    <row r="74" spans="1:9" x14ac:dyDescent="0.2">
      <c r="A74" s="686">
        <v>55508</v>
      </c>
      <c r="B74" s="692" t="s">
        <v>338</v>
      </c>
      <c r="C74" s="980">
        <v>50</v>
      </c>
      <c r="D74" s="981">
        <v>0</v>
      </c>
      <c r="E74" s="981">
        <v>0</v>
      </c>
      <c r="F74" s="982">
        <v>120.01</v>
      </c>
      <c r="G74" s="691">
        <f t="shared" ref="G74" si="6">+C74+F74</f>
        <v>170.01</v>
      </c>
      <c r="H74" s="204"/>
    </row>
    <row r="75" spans="1:9" x14ac:dyDescent="0.2">
      <c r="A75" s="681">
        <v>556</v>
      </c>
      <c r="B75" s="682" t="s">
        <v>88</v>
      </c>
      <c r="C75" s="983">
        <f>SUM(C76:C78)</f>
        <v>4000</v>
      </c>
      <c r="D75" s="984">
        <f>SUM(D76:D78)</f>
        <v>100</v>
      </c>
      <c r="E75" s="984">
        <f t="shared" ref="E75:F75" si="7">SUM(E76:E78)</f>
        <v>0</v>
      </c>
      <c r="F75" s="986">
        <f t="shared" si="7"/>
        <v>0</v>
      </c>
      <c r="G75" s="684">
        <f>C75+D75+F75</f>
        <v>4100</v>
      </c>
      <c r="H75" s="204"/>
    </row>
    <row r="76" spans="1:9" x14ac:dyDescent="0.2">
      <c r="A76" s="686">
        <v>55601</v>
      </c>
      <c r="B76" s="687" t="s">
        <v>89</v>
      </c>
      <c r="C76" s="980">
        <v>0</v>
      </c>
      <c r="D76" s="987">
        <v>50</v>
      </c>
      <c r="E76" s="981">
        <v>0</v>
      </c>
      <c r="F76" s="982">
        <v>0</v>
      </c>
      <c r="G76" s="691">
        <f t="shared" ref="G76:G77" si="8">SUM(C76:F76)</f>
        <v>50</v>
      </c>
      <c r="H76" s="204"/>
    </row>
    <row r="77" spans="1:9" x14ac:dyDescent="0.2">
      <c r="A77" s="686">
        <v>55602</v>
      </c>
      <c r="B77" s="687" t="s">
        <v>90</v>
      </c>
      <c r="C77" s="988">
        <v>4000</v>
      </c>
      <c r="D77" s="981">
        <v>0</v>
      </c>
      <c r="E77" s="981">
        <v>0</v>
      </c>
      <c r="F77" s="982">
        <v>0</v>
      </c>
      <c r="G77" s="691">
        <f t="shared" si="8"/>
        <v>4000</v>
      </c>
      <c r="H77" s="204"/>
    </row>
    <row r="78" spans="1:9" x14ac:dyDescent="0.2">
      <c r="A78" s="686">
        <v>55603</v>
      </c>
      <c r="B78" s="687" t="s">
        <v>91</v>
      </c>
      <c r="C78" s="980">
        <v>0</v>
      </c>
      <c r="D78" s="981">
        <v>50</v>
      </c>
      <c r="E78" s="981">
        <v>0</v>
      </c>
      <c r="F78" s="982">
        <v>0</v>
      </c>
      <c r="G78" s="691">
        <f>SUM(C78:F78)</f>
        <v>50</v>
      </c>
      <c r="H78" s="204"/>
    </row>
    <row r="79" spans="1:9" hidden="1" x14ac:dyDescent="0.2">
      <c r="A79" s="681">
        <v>557</v>
      </c>
      <c r="B79" s="682" t="s">
        <v>92</v>
      </c>
      <c r="C79" s="983"/>
      <c r="D79" s="984">
        <f>SUM(D80:D82)</f>
        <v>0</v>
      </c>
      <c r="E79" s="984"/>
      <c r="F79" s="985"/>
      <c r="G79" s="684">
        <f>+C79+D79+F79</f>
        <v>0</v>
      </c>
      <c r="H79" s="204"/>
    </row>
    <row r="80" spans="1:9" ht="13.5" hidden="1" thickBot="1" x14ac:dyDescent="0.25">
      <c r="A80" s="693">
        <v>55701</v>
      </c>
      <c r="B80" s="694" t="s">
        <v>93</v>
      </c>
      <c r="C80" s="989"/>
      <c r="D80" s="990"/>
      <c r="E80" s="990"/>
      <c r="F80" s="991"/>
      <c r="G80" s="695"/>
      <c r="H80" s="204"/>
    </row>
    <row r="81" spans="1:10" ht="12.75" hidden="1" customHeight="1" x14ac:dyDescent="0.2">
      <c r="A81" s="696">
        <v>55702</v>
      </c>
      <c r="B81" s="697" t="s">
        <v>94</v>
      </c>
      <c r="C81" s="992"/>
      <c r="D81" s="993"/>
      <c r="E81" s="993"/>
      <c r="F81" s="994"/>
      <c r="G81" s="698"/>
      <c r="H81" s="204"/>
    </row>
    <row r="82" spans="1:10" ht="12.75" hidden="1" customHeight="1" x14ac:dyDescent="0.2">
      <c r="A82" s="696">
        <v>55799</v>
      </c>
      <c r="B82" s="697" t="s">
        <v>95</v>
      </c>
      <c r="C82" s="992"/>
      <c r="D82" s="993"/>
      <c r="E82" s="993"/>
      <c r="F82" s="994"/>
      <c r="G82" s="698"/>
      <c r="H82" s="204"/>
    </row>
    <row r="83" spans="1:10" ht="12.75" hidden="1" customHeight="1" x14ac:dyDescent="0.2">
      <c r="A83" s="699"/>
      <c r="B83" s="700"/>
      <c r="C83" s="995"/>
      <c r="D83" s="996"/>
      <c r="E83" s="996"/>
      <c r="F83" s="997"/>
      <c r="G83" s="701"/>
      <c r="H83" s="204"/>
    </row>
    <row r="84" spans="1:10" ht="12.75" customHeight="1" x14ac:dyDescent="0.2">
      <c r="A84" s="686"/>
      <c r="B84" s="687"/>
      <c r="C84" s="980"/>
      <c r="D84" s="981"/>
      <c r="E84" s="981"/>
      <c r="F84" s="982"/>
      <c r="G84" s="691"/>
      <c r="H84" s="204"/>
    </row>
    <row r="85" spans="1:10" x14ac:dyDescent="0.2">
      <c r="A85" s="702">
        <v>56</v>
      </c>
      <c r="B85" s="703" t="s">
        <v>96</v>
      </c>
      <c r="C85" s="998">
        <f>C86+C89</f>
        <v>17619.599999999999</v>
      </c>
      <c r="D85" s="999">
        <f>D86+D89</f>
        <v>0</v>
      </c>
      <c r="E85" s="999"/>
      <c r="F85" s="1000">
        <f>F86+F89</f>
        <v>0</v>
      </c>
      <c r="G85" s="704">
        <f>+C85+F85</f>
        <v>17619.599999999999</v>
      </c>
      <c r="H85" s="204"/>
    </row>
    <row r="86" spans="1:10" x14ac:dyDescent="0.2">
      <c r="A86" s="681">
        <v>562</v>
      </c>
      <c r="B86" s="682" t="s">
        <v>97</v>
      </c>
      <c r="C86" s="983">
        <f>C88</f>
        <v>17619.599999999999</v>
      </c>
      <c r="D86" s="984">
        <f>SUM(D87:D88)</f>
        <v>0</v>
      </c>
      <c r="E86" s="984"/>
      <c r="F86" s="985"/>
      <c r="G86" s="684">
        <f t="shared" ref="G86:G91" si="9">+C86+F86</f>
        <v>17619.599999999999</v>
      </c>
      <c r="H86" s="204"/>
    </row>
    <row r="87" spans="1:10" hidden="1" x14ac:dyDescent="0.2">
      <c r="A87" s="686">
        <v>56201</v>
      </c>
      <c r="B87" s="692" t="s">
        <v>488</v>
      </c>
      <c r="C87" s="980"/>
      <c r="D87" s="981"/>
      <c r="E87" s="981"/>
      <c r="F87" s="982"/>
      <c r="G87" s="691">
        <f t="shared" si="9"/>
        <v>0</v>
      </c>
      <c r="H87" s="204"/>
    </row>
    <row r="88" spans="1:10" x14ac:dyDescent="0.2">
      <c r="A88" s="686">
        <v>56201</v>
      </c>
      <c r="B88" s="692" t="s">
        <v>688</v>
      </c>
      <c r="C88" s="980">
        <f>(1253.3*12)+(65*12)+(150*12)</f>
        <v>17619.599999999999</v>
      </c>
      <c r="D88" s="981">
        <v>0</v>
      </c>
      <c r="E88" s="981">
        <v>0</v>
      </c>
      <c r="F88" s="982">
        <v>0</v>
      </c>
      <c r="G88" s="691">
        <f t="shared" si="9"/>
        <v>17619.599999999999</v>
      </c>
      <c r="H88" s="204"/>
    </row>
    <row r="89" spans="1:10" hidden="1" x14ac:dyDescent="0.2">
      <c r="A89" s="681">
        <v>563</v>
      </c>
      <c r="B89" s="682" t="s">
        <v>99</v>
      </c>
      <c r="C89" s="983">
        <f>SUM(C90:C91)</f>
        <v>0</v>
      </c>
      <c r="D89" s="984">
        <f>SUM(D90:D91)</f>
        <v>0</v>
      </c>
      <c r="E89" s="984">
        <f t="shared" ref="E89:F89" si="10">SUM(E90:E91)</f>
        <v>0</v>
      </c>
      <c r="F89" s="986">
        <f t="shared" si="10"/>
        <v>0</v>
      </c>
      <c r="G89" s="684">
        <f t="shared" si="9"/>
        <v>0</v>
      </c>
      <c r="H89" s="204"/>
    </row>
    <row r="90" spans="1:10" hidden="1" x14ac:dyDescent="0.2">
      <c r="A90" s="686">
        <v>56303</v>
      </c>
      <c r="B90" s="687" t="s">
        <v>98</v>
      </c>
      <c r="C90" s="980"/>
      <c r="D90" s="981"/>
      <c r="E90" s="981"/>
      <c r="F90" s="982"/>
      <c r="G90" s="691">
        <f t="shared" si="9"/>
        <v>0</v>
      </c>
      <c r="H90" s="204"/>
    </row>
    <row r="91" spans="1:10" hidden="1" x14ac:dyDescent="0.2">
      <c r="A91" s="686">
        <v>56304</v>
      </c>
      <c r="B91" s="687" t="s">
        <v>100</v>
      </c>
      <c r="C91" s="980">
        <v>0</v>
      </c>
      <c r="D91" s="981">
        <v>0</v>
      </c>
      <c r="E91" s="981">
        <v>0</v>
      </c>
      <c r="F91" s="982">
        <v>0</v>
      </c>
      <c r="G91" s="691">
        <f t="shared" si="9"/>
        <v>0</v>
      </c>
      <c r="H91" s="204"/>
      <c r="J91" s="2"/>
    </row>
    <row r="92" spans="1:10" x14ac:dyDescent="0.2">
      <c r="A92" s="686"/>
      <c r="B92" s="687"/>
      <c r="C92" s="980"/>
      <c r="D92" s="981"/>
      <c r="E92" s="981"/>
      <c r="F92" s="982"/>
      <c r="G92" s="691"/>
      <c r="H92" s="204"/>
      <c r="J92" s="2"/>
    </row>
    <row r="93" spans="1:10" s="59" customFormat="1" x14ac:dyDescent="0.2">
      <c r="A93" s="681">
        <v>72</v>
      </c>
      <c r="B93" s="682" t="s">
        <v>13</v>
      </c>
      <c r="C93" s="983">
        <f>C94</f>
        <v>10730.470000000001</v>
      </c>
      <c r="D93" s="984">
        <f t="shared" ref="D93:D94" si="11">D94</f>
        <v>0</v>
      </c>
      <c r="E93" s="984">
        <f t="shared" ref="E93:E94" si="12">E94</f>
        <v>0</v>
      </c>
      <c r="F93" s="1001">
        <f t="shared" ref="F93:F94" si="13">F94</f>
        <v>0</v>
      </c>
      <c r="G93" s="684">
        <f t="shared" ref="G93:G94" si="14">G94</f>
        <v>10730.470000000001</v>
      </c>
      <c r="H93" s="205"/>
      <c r="I93" s="209"/>
    </row>
    <row r="94" spans="1:10" s="59" customFormat="1" x14ac:dyDescent="0.2">
      <c r="A94" s="681">
        <v>721</v>
      </c>
      <c r="B94" s="682" t="s">
        <v>182</v>
      </c>
      <c r="C94" s="983">
        <f>C95</f>
        <v>10730.470000000001</v>
      </c>
      <c r="D94" s="984">
        <f t="shared" si="11"/>
        <v>0</v>
      </c>
      <c r="E94" s="984">
        <f t="shared" si="12"/>
        <v>0</v>
      </c>
      <c r="F94" s="1001">
        <f t="shared" si="13"/>
        <v>0</v>
      </c>
      <c r="G94" s="684">
        <f t="shared" si="14"/>
        <v>10730.470000000001</v>
      </c>
      <c r="H94" s="205"/>
      <c r="I94" s="209"/>
    </row>
    <row r="95" spans="1:10" ht="13.5" thickBot="1" x14ac:dyDescent="0.25">
      <c r="A95" s="686">
        <v>72101</v>
      </c>
      <c r="B95" s="687" t="s">
        <v>182</v>
      </c>
      <c r="C95" s="1002">
        <f>209.49+2327.14+1595.53+1207.57+52.8+1714.06+1800+477.86+1181.02+65+100</f>
        <v>10730.470000000001</v>
      </c>
      <c r="D95" s="981"/>
      <c r="E95" s="981"/>
      <c r="F95" s="1003"/>
      <c r="G95" s="707">
        <f>C95+D95+E95+F95</f>
        <v>10730.470000000001</v>
      </c>
      <c r="H95" s="113"/>
    </row>
    <row r="96" spans="1:10" hidden="1" x14ac:dyDescent="0.2">
      <c r="A96" s="708" t="s">
        <v>162</v>
      </c>
      <c r="B96" s="709" t="s">
        <v>163</v>
      </c>
      <c r="C96" s="1004">
        <f t="shared" ref="C96:G97" si="15">C97</f>
        <v>0</v>
      </c>
      <c r="D96" s="1005">
        <f t="shared" si="15"/>
        <v>0</v>
      </c>
      <c r="E96" s="1005">
        <f t="shared" si="15"/>
        <v>0</v>
      </c>
      <c r="F96" s="1005">
        <f t="shared" si="15"/>
        <v>0</v>
      </c>
      <c r="G96" s="712">
        <f t="shared" si="15"/>
        <v>0</v>
      </c>
      <c r="H96" s="113"/>
    </row>
    <row r="97" spans="1:8" hidden="1" x14ac:dyDescent="0.2">
      <c r="A97" s="708" t="s">
        <v>254</v>
      </c>
      <c r="B97" s="709" t="s">
        <v>199</v>
      </c>
      <c r="C97" s="1004">
        <f t="shared" si="15"/>
        <v>0</v>
      </c>
      <c r="D97" s="1005">
        <f t="shared" si="15"/>
        <v>0</v>
      </c>
      <c r="E97" s="1005">
        <f t="shared" si="15"/>
        <v>0</v>
      </c>
      <c r="F97" s="1005">
        <f t="shared" si="15"/>
        <v>0</v>
      </c>
      <c r="G97" s="712">
        <f t="shared" si="15"/>
        <v>0</v>
      </c>
      <c r="H97" s="113"/>
    </row>
    <row r="98" spans="1:8" ht="13.5" hidden="1" thickBot="1" x14ac:dyDescent="0.25">
      <c r="A98" s="713" t="s">
        <v>255</v>
      </c>
      <c r="B98" s="714" t="s">
        <v>256</v>
      </c>
      <c r="C98" s="1006"/>
      <c r="D98" s="1007"/>
      <c r="E98" s="1007"/>
      <c r="F98" s="1007"/>
      <c r="G98" s="717">
        <f>+C98+F98</f>
        <v>0</v>
      </c>
      <c r="H98" s="113"/>
    </row>
    <row r="99" spans="1:8" ht="13.5" thickBot="1" x14ac:dyDescent="0.25">
      <c r="A99" s="718"/>
      <c r="B99" s="719" t="s">
        <v>25</v>
      </c>
      <c r="C99" s="1008">
        <f>C11+C68+C85+C93</f>
        <v>50067.57</v>
      </c>
      <c r="D99" s="1008">
        <f>D11+D68+D85+D93</f>
        <v>6700</v>
      </c>
      <c r="E99" s="1008">
        <f t="shared" ref="E99:F99" si="16">E11+E68+E85+E93</f>
        <v>1300</v>
      </c>
      <c r="F99" s="1008">
        <f t="shared" si="16"/>
        <v>168274.78</v>
      </c>
      <c r="G99" s="1008">
        <f>G11+G68+G85+G93</f>
        <v>226342.35</v>
      </c>
      <c r="H99" s="116"/>
    </row>
    <row r="100" spans="1:8" x14ac:dyDescent="0.2">
      <c r="G100" s="969"/>
    </row>
    <row r="101" spans="1:8" x14ac:dyDescent="0.2">
      <c r="G101" s="721"/>
    </row>
    <row r="110" spans="1:8" x14ac:dyDescent="0.2">
      <c r="A110" s="1288" t="s">
        <v>573</v>
      </c>
      <c r="B110" s="1288"/>
      <c r="C110" s="1288"/>
      <c r="D110" s="1288"/>
      <c r="E110" s="1288"/>
      <c r="F110" s="1288"/>
      <c r="G110" s="1288"/>
    </row>
    <row r="111" spans="1:8" x14ac:dyDescent="0.2">
      <c r="A111" s="1288" t="s">
        <v>101</v>
      </c>
      <c r="B111" s="1288"/>
      <c r="C111" s="1288"/>
      <c r="D111" s="1288"/>
      <c r="E111" s="1288"/>
      <c r="F111" s="1288"/>
      <c r="G111" s="1288"/>
    </row>
    <row r="112" spans="1:8" x14ac:dyDescent="0.2">
      <c r="A112" s="1288" t="s">
        <v>102</v>
      </c>
      <c r="B112" s="1288"/>
      <c r="C112" s="1288"/>
      <c r="D112" s="1288"/>
      <c r="E112" s="1288"/>
      <c r="F112" s="1288"/>
      <c r="G112" s="1288"/>
    </row>
    <row r="113" spans="1:9" x14ac:dyDescent="0.2">
      <c r="A113" s="1288" t="s">
        <v>454</v>
      </c>
      <c r="B113" s="1288"/>
      <c r="C113" s="1288"/>
      <c r="D113" s="1288"/>
      <c r="E113" s="1288"/>
      <c r="F113" s="1288"/>
      <c r="G113" s="1288"/>
    </row>
    <row r="114" spans="1:9" x14ac:dyDescent="0.2">
      <c r="A114" s="1288" t="s">
        <v>741</v>
      </c>
      <c r="B114" s="1288"/>
      <c r="C114" s="1288"/>
      <c r="D114" s="1288"/>
      <c r="E114" s="1288"/>
      <c r="F114" s="1288"/>
      <c r="G114" s="1288"/>
    </row>
    <row r="115" spans="1:9" ht="13.5" thickBot="1" x14ac:dyDescent="0.25"/>
    <row r="116" spans="1:9" ht="13.5" thickBot="1" x14ac:dyDescent="0.25">
      <c r="A116" s="1289" t="s">
        <v>574</v>
      </c>
      <c r="B116" s="1289" t="s">
        <v>14</v>
      </c>
      <c r="C116" s="1292" t="s">
        <v>575</v>
      </c>
      <c r="D116" s="1293"/>
      <c r="E116" s="1293"/>
      <c r="F116" s="1293"/>
      <c r="G116" s="1294"/>
    </row>
    <row r="117" spans="1:9" x14ac:dyDescent="0.2">
      <c r="A117" s="1290"/>
      <c r="B117" s="1290"/>
      <c r="C117" s="1286" t="s">
        <v>105</v>
      </c>
      <c r="D117" s="1286" t="s">
        <v>106</v>
      </c>
      <c r="E117" s="1286" t="s">
        <v>107</v>
      </c>
      <c r="F117" s="1286" t="s">
        <v>186</v>
      </c>
      <c r="G117" s="1286" t="s">
        <v>4</v>
      </c>
    </row>
    <row r="118" spans="1:9" ht="38.25" customHeight="1" thickBot="1" x14ac:dyDescent="0.25">
      <c r="A118" s="1291"/>
      <c r="B118" s="1291"/>
      <c r="C118" s="1287"/>
      <c r="D118" s="1287"/>
      <c r="E118" s="1287"/>
      <c r="F118" s="1287"/>
      <c r="G118" s="1287"/>
    </row>
    <row r="119" spans="1:9" x14ac:dyDescent="0.2">
      <c r="A119" s="676">
        <v>54</v>
      </c>
      <c r="B119" s="677" t="s">
        <v>27</v>
      </c>
      <c r="C119" s="679">
        <f>C120+C140+C146+C163+C168</f>
        <v>37104</v>
      </c>
      <c r="D119" s="679">
        <f>D120+D140+D146+D163</f>
        <v>3550</v>
      </c>
      <c r="E119" s="679">
        <f>E120+E140+E146+E163</f>
        <v>1150</v>
      </c>
      <c r="F119" s="679">
        <f>F120+F140+F146+F163</f>
        <v>48983.45</v>
      </c>
      <c r="G119" s="722">
        <f>G120+G140+G146+G163+G168</f>
        <v>90787.45</v>
      </c>
      <c r="H119" s="113">
        <f>G119-'AG1'!D46</f>
        <v>0</v>
      </c>
    </row>
    <row r="120" spans="1:9" x14ac:dyDescent="0.2">
      <c r="A120" s="681">
        <v>541</v>
      </c>
      <c r="B120" s="682" t="s">
        <v>28</v>
      </c>
      <c r="C120" s="684">
        <f>SUM(C121:C139)</f>
        <v>12175</v>
      </c>
      <c r="D120" s="684">
        <f>SUM(D121:D139)</f>
        <v>2300</v>
      </c>
      <c r="E120" s="684">
        <f>SUM(E121:E139)</f>
        <v>950</v>
      </c>
      <c r="F120" s="684">
        <f>SUM(F121:F139)</f>
        <v>7850.45</v>
      </c>
      <c r="G120" s="705">
        <f>SUM(G121:G139)</f>
        <v>23275.45</v>
      </c>
      <c r="H120" s="113"/>
    </row>
    <row r="121" spans="1:9" x14ac:dyDescent="0.2">
      <c r="A121" s="686">
        <v>54101</v>
      </c>
      <c r="B121" s="687" t="s">
        <v>29</v>
      </c>
      <c r="C121" s="981">
        <v>1100</v>
      </c>
      <c r="D121" s="981">
        <v>0</v>
      </c>
      <c r="E121" s="981">
        <v>0</v>
      </c>
      <c r="F121" s="981">
        <v>0</v>
      </c>
      <c r="G121" s="707">
        <f>SUM(C121:F121)</f>
        <v>1100</v>
      </c>
      <c r="H121" s="113"/>
    </row>
    <row r="122" spans="1:9" hidden="1" x14ac:dyDescent="0.2">
      <c r="A122" s="686">
        <v>54103</v>
      </c>
      <c r="B122" s="687" t="s">
        <v>30</v>
      </c>
      <c r="C122" s="981"/>
      <c r="D122" s="981">
        <v>0</v>
      </c>
      <c r="E122" s="981">
        <v>0</v>
      </c>
      <c r="F122" s="981">
        <v>0</v>
      </c>
      <c r="G122" s="707">
        <f t="shared" ref="G122:G138" si="17">SUM(C122:F122)</f>
        <v>0</v>
      </c>
      <c r="H122" s="113"/>
    </row>
    <row r="123" spans="1:9" x14ac:dyDescent="0.2">
      <c r="A123" s="686">
        <v>54104</v>
      </c>
      <c r="B123" s="687" t="s">
        <v>31</v>
      </c>
      <c r="C123" s="981">
        <v>5000</v>
      </c>
      <c r="D123" s="981">
        <v>0</v>
      </c>
      <c r="E123" s="981">
        <v>0</v>
      </c>
      <c r="F123" s="981">
        <v>0</v>
      </c>
      <c r="G123" s="707">
        <f t="shared" si="17"/>
        <v>5000</v>
      </c>
      <c r="H123" s="113"/>
    </row>
    <row r="124" spans="1:9" x14ac:dyDescent="0.2">
      <c r="A124" s="686">
        <v>54105</v>
      </c>
      <c r="B124" s="687" t="s">
        <v>32</v>
      </c>
      <c r="C124" s="981">
        <v>350</v>
      </c>
      <c r="D124" s="981">
        <v>1000</v>
      </c>
      <c r="E124" s="981">
        <v>200</v>
      </c>
      <c r="F124" s="981">
        <v>75</v>
      </c>
      <c r="G124" s="707">
        <f t="shared" si="17"/>
        <v>1625</v>
      </c>
      <c r="H124" s="113"/>
    </row>
    <row r="125" spans="1:9" x14ac:dyDescent="0.2">
      <c r="A125" s="686">
        <v>54106</v>
      </c>
      <c r="B125" s="687" t="s">
        <v>33</v>
      </c>
      <c r="C125" s="981">
        <v>0</v>
      </c>
      <c r="D125" s="981">
        <v>0</v>
      </c>
      <c r="E125" s="981">
        <v>0</v>
      </c>
      <c r="F125" s="981">
        <v>50</v>
      </c>
      <c r="G125" s="707">
        <f t="shared" si="17"/>
        <v>50</v>
      </c>
      <c r="H125" s="113"/>
    </row>
    <row r="126" spans="1:9" x14ac:dyDescent="0.2">
      <c r="A126" s="686">
        <v>54107</v>
      </c>
      <c r="B126" s="687" t="s">
        <v>34</v>
      </c>
      <c r="C126" s="981">
        <v>0</v>
      </c>
      <c r="D126" s="981">
        <v>0</v>
      </c>
      <c r="E126" s="981">
        <v>0</v>
      </c>
      <c r="F126" s="981">
        <v>2000</v>
      </c>
      <c r="G126" s="707">
        <f t="shared" si="17"/>
        <v>2000</v>
      </c>
      <c r="H126" s="113"/>
    </row>
    <row r="127" spans="1:9" x14ac:dyDescent="0.2">
      <c r="A127" s="686">
        <v>54108</v>
      </c>
      <c r="B127" s="687" t="s">
        <v>35</v>
      </c>
      <c r="C127" s="981">
        <v>0</v>
      </c>
      <c r="D127" s="981">
        <v>0</v>
      </c>
      <c r="E127" s="981">
        <v>0</v>
      </c>
      <c r="F127" s="981">
        <v>0</v>
      </c>
      <c r="G127" s="707">
        <f t="shared" si="17"/>
        <v>0</v>
      </c>
      <c r="H127" s="113"/>
    </row>
    <row r="128" spans="1:9" x14ac:dyDescent="0.2">
      <c r="A128" s="686">
        <v>54109</v>
      </c>
      <c r="B128" s="687" t="s">
        <v>36</v>
      </c>
      <c r="C128" s="981">
        <v>400</v>
      </c>
      <c r="D128" s="981">
        <v>0</v>
      </c>
      <c r="E128" s="981">
        <v>0</v>
      </c>
      <c r="F128" s="981">
        <v>500</v>
      </c>
      <c r="G128" s="707">
        <f t="shared" si="17"/>
        <v>900</v>
      </c>
      <c r="H128" s="113"/>
      <c r="I128"/>
    </row>
    <row r="129" spans="1:9" x14ac:dyDescent="0.2">
      <c r="A129" s="686">
        <v>54110</v>
      </c>
      <c r="B129" s="687" t="s">
        <v>37</v>
      </c>
      <c r="C129" s="981">
        <v>2500</v>
      </c>
      <c r="D129" s="981">
        <v>0</v>
      </c>
      <c r="E129" s="981">
        <v>0</v>
      </c>
      <c r="F129" s="981">
        <v>1500</v>
      </c>
      <c r="G129" s="707">
        <f t="shared" si="17"/>
        <v>4000</v>
      </c>
      <c r="H129" s="113"/>
      <c r="I129"/>
    </row>
    <row r="130" spans="1:9" x14ac:dyDescent="0.2">
      <c r="A130" s="686">
        <v>54111</v>
      </c>
      <c r="B130" s="687" t="s">
        <v>38</v>
      </c>
      <c r="C130" s="981">
        <v>0</v>
      </c>
      <c r="D130" s="981">
        <v>0</v>
      </c>
      <c r="E130" s="981">
        <v>0</v>
      </c>
      <c r="F130" s="981">
        <v>100</v>
      </c>
      <c r="G130" s="707">
        <f t="shared" si="17"/>
        <v>100</v>
      </c>
      <c r="H130" s="113"/>
      <c r="I130"/>
    </row>
    <row r="131" spans="1:9" x14ac:dyDescent="0.2">
      <c r="A131" s="686">
        <v>54112</v>
      </c>
      <c r="B131" s="687" t="s">
        <v>39</v>
      </c>
      <c r="C131" s="981">
        <v>0</v>
      </c>
      <c r="D131" s="981">
        <v>0</v>
      </c>
      <c r="E131" s="981">
        <v>0</v>
      </c>
      <c r="F131" s="981">
        <v>100</v>
      </c>
      <c r="G131" s="707">
        <f t="shared" si="17"/>
        <v>100</v>
      </c>
      <c r="H131" s="113"/>
      <c r="I131"/>
    </row>
    <row r="132" spans="1:9" x14ac:dyDescent="0.2">
      <c r="A132" s="686">
        <v>54114</v>
      </c>
      <c r="B132" s="687" t="s">
        <v>40</v>
      </c>
      <c r="C132" s="981">
        <v>150</v>
      </c>
      <c r="D132" s="981">
        <v>250</v>
      </c>
      <c r="E132" s="981">
        <v>150</v>
      </c>
      <c r="F132" s="981">
        <v>100</v>
      </c>
      <c r="G132" s="707">
        <f t="shared" si="17"/>
        <v>650</v>
      </c>
      <c r="H132" s="113"/>
      <c r="I132"/>
    </row>
    <row r="133" spans="1:9" x14ac:dyDescent="0.2">
      <c r="A133" s="686">
        <v>54115</v>
      </c>
      <c r="B133" s="687" t="s">
        <v>41</v>
      </c>
      <c r="C133" s="981">
        <v>300</v>
      </c>
      <c r="D133" s="981">
        <v>1000</v>
      </c>
      <c r="E133" s="981">
        <v>350</v>
      </c>
      <c r="F133" s="981">
        <v>75</v>
      </c>
      <c r="G133" s="707">
        <f t="shared" si="17"/>
        <v>1725</v>
      </c>
      <c r="H133" s="113"/>
      <c r="I133"/>
    </row>
    <row r="134" spans="1:9" x14ac:dyDescent="0.2">
      <c r="A134" s="686">
        <v>54116</v>
      </c>
      <c r="B134" s="687" t="s">
        <v>42</v>
      </c>
      <c r="C134" s="981">
        <v>200</v>
      </c>
      <c r="D134" s="981">
        <v>0</v>
      </c>
      <c r="E134" s="981">
        <v>0</v>
      </c>
      <c r="F134" s="981">
        <v>0</v>
      </c>
      <c r="G134" s="707">
        <f t="shared" si="17"/>
        <v>200</v>
      </c>
      <c r="H134" s="113"/>
      <c r="I134"/>
    </row>
    <row r="135" spans="1:9" hidden="1" x14ac:dyDescent="0.2">
      <c r="A135" s="686">
        <v>54117</v>
      </c>
      <c r="B135" s="687" t="s">
        <v>43</v>
      </c>
      <c r="C135" s="981">
        <v>0</v>
      </c>
      <c r="D135" s="981">
        <v>0</v>
      </c>
      <c r="E135" s="981">
        <v>0</v>
      </c>
      <c r="F135" s="981">
        <v>0</v>
      </c>
      <c r="G135" s="707">
        <f t="shared" si="17"/>
        <v>0</v>
      </c>
      <c r="H135" s="113"/>
      <c r="I135"/>
    </row>
    <row r="136" spans="1:9" x14ac:dyDescent="0.2">
      <c r="A136" s="686">
        <v>54118</v>
      </c>
      <c r="B136" s="687" t="s">
        <v>44</v>
      </c>
      <c r="C136" s="981">
        <v>50</v>
      </c>
      <c r="D136" s="981">
        <v>0</v>
      </c>
      <c r="E136" s="981">
        <v>50</v>
      </c>
      <c r="F136" s="981">
        <v>2500</v>
      </c>
      <c r="G136" s="707">
        <f t="shared" si="17"/>
        <v>2600</v>
      </c>
      <c r="H136" s="113"/>
      <c r="I136"/>
    </row>
    <row r="137" spans="1:9" x14ac:dyDescent="0.2">
      <c r="A137" s="686">
        <v>54119</v>
      </c>
      <c r="B137" s="687" t="s">
        <v>45</v>
      </c>
      <c r="C137" s="981">
        <v>125</v>
      </c>
      <c r="D137" s="981">
        <v>0</v>
      </c>
      <c r="E137" s="981">
        <v>0</v>
      </c>
      <c r="F137" s="981">
        <v>0</v>
      </c>
      <c r="G137" s="707">
        <f t="shared" si="17"/>
        <v>125</v>
      </c>
      <c r="H137" s="113"/>
      <c r="I137"/>
    </row>
    <row r="138" spans="1:9" x14ac:dyDescent="0.2">
      <c r="A138" s="686">
        <v>54121</v>
      </c>
      <c r="B138" s="687" t="s">
        <v>46</v>
      </c>
      <c r="C138" s="981">
        <v>0</v>
      </c>
      <c r="D138" s="981">
        <v>0</v>
      </c>
      <c r="E138" s="981">
        <v>0</v>
      </c>
      <c r="F138" s="981">
        <v>0</v>
      </c>
      <c r="G138" s="707">
        <f t="shared" si="17"/>
        <v>0</v>
      </c>
      <c r="H138" s="113"/>
      <c r="I138"/>
    </row>
    <row r="139" spans="1:9" x14ac:dyDescent="0.2">
      <c r="A139" s="686">
        <v>54199</v>
      </c>
      <c r="B139" s="687" t="s">
        <v>47</v>
      </c>
      <c r="C139" s="981">
        <v>2000</v>
      </c>
      <c r="D139" s="981">
        <v>50</v>
      </c>
      <c r="E139" s="981">
        <v>200</v>
      </c>
      <c r="F139" s="981">
        <f>500+350.45</f>
        <v>850.45</v>
      </c>
      <c r="G139" s="707">
        <f>SUM(C139:F139)</f>
        <v>3100.45</v>
      </c>
      <c r="H139" s="113"/>
      <c r="I139"/>
    </row>
    <row r="140" spans="1:9" x14ac:dyDescent="0.2">
      <c r="A140" s="681">
        <v>542</v>
      </c>
      <c r="B140" s="682" t="s">
        <v>48</v>
      </c>
      <c r="C140" s="984">
        <f>SUM(C141:C145)</f>
        <v>6379</v>
      </c>
      <c r="D140" s="984">
        <f>SUM(D141:D145)</f>
        <v>0</v>
      </c>
      <c r="E140" s="984">
        <f>SUM(E141:E145)</f>
        <v>0</v>
      </c>
      <c r="F140" s="984">
        <f>SUM(F141:F145)</f>
        <v>35333</v>
      </c>
      <c r="G140" s="705">
        <f>SUM(G141:G145)</f>
        <v>41712</v>
      </c>
      <c r="H140" s="113"/>
      <c r="I140"/>
    </row>
    <row r="141" spans="1:9" x14ac:dyDescent="0.2">
      <c r="A141" s="686">
        <v>54201</v>
      </c>
      <c r="B141" s="687" t="s">
        <v>49</v>
      </c>
      <c r="C141" s="981">
        <v>1000</v>
      </c>
      <c r="D141" s="981">
        <v>0</v>
      </c>
      <c r="E141" s="981">
        <v>0</v>
      </c>
      <c r="F141" s="987">
        <f>55000-3790.65-48.87+105-29632.48+600</f>
        <v>22232.999999999996</v>
      </c>
      <c r="G141" s="707">
        <f>SUM(C141:F141)</f>
        <v>23232.999999999996</v>
      </c>
      <c r="H141" s="113"/>
      <c r="I141"/>
    </row>
    <row r="142" spans="1:9" x14ac:dyDescent="0.2">
      <c r="A142" s="686">
        <v>54202</v>
      </c>
      <c r="B142" s="687" t="s">
        <v>50</v>
      </c>
      <c r="C142" s="981">
        <v>879</v>
      </c>
      <c r="D142" s="981">
        <v>0</v>
      </c>
      <c r="E142" s="981">
        <v>0</v>
      </c>
      <c r="F142" s="981">
        <v>500</v>
      </c>
      <c r="G142" s="707">
        <f>SUM(C142:F142)</f>
        <v>1379</v>
      </c>
      <c r="H142" s="113"/>
      <c r="I142"/>
    </row>
    <row r="143" spans="1:9" x14ac:dyDescent="0.2">
      <c r="A143" s="686">
        <v>54203</v>
      </c>
      <c r="B143" s="687" t="s">
        <v>51</v>
      </c>
      <c r="C143" s="981">
        <v>4500</v>
      </c>
      <c r="D143" s="981">
        <v>0</v>
      </c>
      <c r="E143" s="981">
        <v>0</v>
      </c>
      <c r="F143" s="981">
        <v>600</v>
      </c>
      <c r="G143" s="691">
        <f>SUM(C143:F143)</f>
        <v>5100</v>
      </c>
      <c r="H143" s="113"/>
      <c r="I143"/>
    </row>
    <row r="144" spans="1:9" hidden="1" x14ac:dyDescent="0.2">
      <c r="A144" s="686">
        <v>54204</v>
      </c>
      <c r="B144" s="687" t="s">
        <v>52</v>
      </c>
      <c r="C144" s="981">
        <v>0</v>
      </c>
      <c r="D144" s="981">
        <v>0</v>
      </c>
      <c r="E144" s="981">
        <v>0</v>
      </c>
      <c r="F144" s="981">
        <v>0</v>
      </c>
      <c r="G144" s="707">
        <f>SUM(C144:F144)</f>
        <v>0</v>
      </c>
      <c r="H144" s="113"/>
    </row>
    <row r="145" spans="1:8" x14ac:dyDescent="0.2">
      <c r="A145" s="686">
        <v>54205</v>
      </c>
      <c r="B145" s="687" t="s">
        <v>53</v>
      </c>
      <c r="C145" s="981">
        <v>0</v>
      </c>
      <c r="D145" s="981">
        <v>0</v>
      </c>
      <c r="E145" s="981">
        <v>0</v>
      </c>
      <c r="F145" s="981">
        <v>12000</v>
      </c>
      <c r="G145" s="707">
        <f>SUM(C145:F145)</f>
        <v>12000</v>
      </c>
      <c r="H145" s="113"/>
    </row>
    <row r="146" spans="1:8" x14ac:dyDescent="0.2">
      <c r="A146" s="681">
        <v>543</v>
      </c>
      <c r="B146" s="682" t="s">
        <v>54</v>
      </c>
      <c r="C146" s="984">
        <f>SUM(C147:C162)</f>
        <v>14350</v>
      </c>
      <c r="D146" s="984">
        <f>SUM(D147:D162)</f>
        <v>1050</v>
      </c>
      <c r="E146" s="984">
        <f>SUM(E147:E162)</f>
        <v>100</v>
      </c>
      <c r="F146" s="984">
        <f>SUM(F147:F162)</f>
        <v>5600</v>
      </c>
      <c r="G146" s="705">
        <f>SUM(G147:G162)</f>
        <v>21100</v>
      </c>
      <c r="H146" s="113"/>
    </row>
    <row r="147" spans="1:8" x14ac:dyDescent="0.2">
      <c r="A147" s="686">
        <v>54301</v>
      </c>
      <c r="B147" s="687" t="s">
        <v>55</v>
      </c>
      <c r="C147" s="981">
        <v>850</v>
      </c>
      <c r="D147" s="981">
        <v>250</v>
      </c>
      <c r="E147" s="981">
        <v>100</v>
      </c>
      <c r="F147" s="987">
        <v>300</v>
      </c>
      <c r="G147" s="707">
        <f>SUM(C147:F147)</f>
        <v>1500</v>
      </c>
      <c r="H147" s="113"/>
    </row>
    <row r="148" spans="1:8" x14ac:dyDescent="0.2">
      <c r="A148" s="686">
        <v>54302</v>
      </c>
      <c r="B148" s="687" t="s">
        <v>56</v>
      </c>
      <c r="C148" s="981">
        <v>500</v>
      </c>
      <c r="D148" s="981">
        <v>0</v>
      </c>
      <c r="E148" s="981">
        <v>0</v>
      </c>
      <c r="F148" s="981">
        <v>500</v>
      </c>
      <c r="G148" s="707">
        <f t="shared" ref="G148:G161" si="18">SUM(C148:F148)</f>
        <v>1000</v>
      </c>
      <c r="H148" s="113"/>
    </row>
    <row r="149" spans="1:8" x14ac:dyDescent="0.2">
      <c r="A149" s="686">
        <v>54303</v>
      </c>
      <c r="B149" s="687" t="s">
        <v>57</v>
      </c>
      <c r="C149" s="981"/>
      <c r="D149" s="981">
        <v>0</v>
      </c>
      <c r="E149" s="981">
        <v>0</v>
      </c>
      <c r="F149" s="981">
        <v>0</v>
      </c>
      <c r="G149" s="707">
        <f t="shared" si="18"/>
        <v>0</v>
      </c>
      <c r="H149" s="113"/>
    </row>
    <row r="150" spans="1:8" x14ac:dyDescent="0.2">
      <c r="A150" s="686">
        <v>54304</v>
      </c>
      <c r="B150" s="687" t="s">
        <v>58</v>
      </c>
      <c r="C150" s="981">
        <v>1900</v>
      </c>
      <c r="D150" s="981">
        <v>0</v>
      </c>
      <c r="E150" s="981">
        <v>0</v>
      </c>
      <c r="F150" s="981">
        <v>0</v>
      </c>
      <c r="G150" s="707">
        <f t="shared" si="18"/>
        <v>1900</v>
      </c>
      <c r="H150" s="113"/>
    </row>
    <row r="151" spans="1:8" x14ac:dyDescent="0.2">
      <c r="A151" s="686">
        <v>54305</v>
      </c>
      <c r="B151" s="687" t="s">
        <v>59</v>
      </c>
      <c r="C151" s="981">
        <v>0</v>
      </c>
      <c r="D151" s="981">
        <v>0</v>
      </c>
      <c r="E151" s="981">
        <v>0</v>
      </c>
      <c r="F151" s="981">
        <v>0</v>
      </c>
      <c r="G151" s="707">
        <f t="shared" si="18"/>
        <v>0</v>
      </c>
      <c r="H151" s="113"/>
    </row>
    <row r="152" spans="1:8" hidden="1" x14ac:dyDescent="0.2">
      <c r="A152" s="686">
        <v>54306</v>
      </c>
      <c r="B152" s="687" t="s">
        <v>60</v>
      </c>
      <c r="C152" s="981">
        <v>0</v>
      </c>
      <c r="D152" s="981">
        <v>0</v>
      </c>
      <c r="E152" s="981">
        <v>0</v>
      </c>
      <c r="F152" s="981">
        <v>0</v>
      </c>
      <c r="G152" s="707">
        <f t="shared" si="18"/>
        <v>0</v>
      </c>
      <c r="H152" s="113"/>
    </row>
    <row r="153" spans="1:8" hidden="1" x14ac:dyDescent="0.2">
      <c r="A153" s="686">
        <v>54307</v>
      </c>
      <c r="B153" s="687" t="s">
        <v>61</v>
      </c>
      <c r="C153" s="981">
        <v>0</v>
      </c>
      <c r="D153" s="981">
        <v>0</v>
      </c>
      <c r="E153" s="981">
        <v>0</v>
      </c>
      <c r="F153" s="981">
        <v>0</v>
      </c>
      <c r="G153" s="707">
        <f t="shared" si="18"/>
        <v>0</v>
      </c>
      <c r="H153" s="113"/>
    </row>
    <row r="154" spans="1:8" hidden="1" x14ac:dyDescent="0.2">
      <c r="A154" s="686">
        <v>54309</v>
      </c>
      <c r="B154" s="687" t="s">
        <v>62</v>
      </c>
      <c r="C154" s="981">
        <v>0</v>
      </c>
      <c r="D154" s="981">
        <v>0</v>
      </c>
      <c r="E154" s="981">
        <v>0</v>
      </c>
      <c r="F154" s="981">
        <v>0</v>
      </c>
      <c r="G154" s="707">
        <f t="shared" si="18"/>
        <v>0</v>
      </c>
      <c r="H154" s="113"/>
    </row>
    <row r="155" spans="1:8" hidden="1" x14ac:dyDescent="0.2">
      <c r="A155" s="686">
        <v>54310</v>
      </c>
      <c r="B155" s="687" t="s">
        <v>63</v>
      </c>
      <c r="C155" s="981">
        <v>0</v>
      </c>
      <c r="D155" s="981">
        <v>0</v>
      </c>
      <c r="E155" s="981">
        <v>0</v>
      </c>
      <c r="F155" s="981">
        <v>0</v>
      </c>
      <c r="G155" s="707">
        <f t="shared" si="18"/>
        <v>0</v>
      </c>
      <c r="H155" s="113"/>
    </row>
    <row r="156" spans="1:8" hidden="1" x14ac:dyDescent="0.2">
      <c r="A156" s="686">
        <v>54311</v>
      </c>
      <c r="B156" s="687" t="s">
        <v>64</v>
      </c>
      <c r="C156" s="981">
        <v>0</v>
      </c>
      <c r="D156" s="981">
        <v>0</v>
      </c>
      <c r="E156" s="981">
        <v>0</v>
      </c>
      <c r="F156" s="981">
        <v>0</v>
      </c>
      <c r="G156" s="707">
        <f t="shared" si="18"/>
        <v>0</v>
      </c>
      <c r="H156" s="113"/>
    </row>
    <row r="157" spans="1:8" x14ac:dyDescent="0.2">
      <c r="A157" s="686">
        <v>54313</v>
      </c>
      <c r="B157" s="687" t="s">
        <v>65</v>
      </c>
      <c r="C157" s="981">
        <v>100</v>
      </c>
      <c r="D157" s="981">
        <v>100</v>
      </c>
      <c r="E157" s="981">
        <v>0</v>
      </c>
      <c r="F157" s="981">
        <v>0</v>
      </c>
      <c r="G157" s="707">
        <f t="shared" si="18"/>
        <v>200</v>
      </c>
      <c r="H157" s="113"/>
    </row>
    <row r="158" spans="1:8" x14ac:dyDescent="0.2">
      <c r="A158" s="686">
        <v>54307</v>
      </c>
      <c r="B158" s="687" t="s">
        <v>61</v>
      </c>
      <c r="C158" s="981">
        <v>0</v>
      </c>
      <c r="D158" s="981">
        <v>0</v>
      </c>
      <c r="E158" s="981">
        <v>0</v>
      </c>
      <c r="F158" s="981">
        <v>0</v>
      </c>
      <c r="G158" s="707">
        <f t="shared" si="18"/>
        <v>0</v>
      </c>
      <c r="H158" s="113"/>
    </row>
    <row r="159" spans="1:8" x14ac:dyDescent="0.2">
      <c r="A159" s="686">
        <v>54314</v>
      </c>
      <c r="B159" s="687" t="s">
        <v>66</v>
      </c>
      <c r="C159" s="981">
        <v>10000</v>
      </c>
      <c r="D159" s="981">
        <v>0</v>
      </c>
      <c r="E159" s="981">
        <v>0</v>
      </c>
      <c r="F159" s="981">
        <v>0</v>
      </c>
      <c r="G159" s="707">
        <f t="shared" si="18"/>
        <v>10000</v>
      </c>
      <c r="H159" s="113"/>
    </row>
    <row r="160" spans="1:8" x14ac:dyDescent="0.2">
      <c r="A160" s="686">
        <v>54316</v>
      </c>
      <c r="B160" s="687" t="s">
        <v>67</v>
      </c>
      <c r="C160" s="981">
        <v>0</v>
      </c>
      <c r="D160" s="981">
        <v>0</v>
      </c>
      <c r="E160" s="981">
        <v>0</v>
      </c>
      <c r="F160" s="981">
        <v>0</v>
      </c>
      <c r="G160" s="707">
        <f t="shared" si="18"/>
        <v>0</v>
      </c>
      <c r="H160" s="113"/>
    </row>
    <row r="161" spans="1:8" x14ac:dyDescent="0.2">
      <c r="A161" s="686">
        <v>54317</v>
      </c>
      <c r="B161" s="687" t="s">
        <v>68</v>
      </c>
      <c r="C161" s="981">
        <v>0</v>
      </c>
      <c r="D161" s="981">
        <v>0</v>
      </c>
      <c r="E161" s="981">
        <v>0</v>
      </c>
      <c r="F161" s="981">
        <f>(100+125+150)*12</f>
        <v>4500</v>
      </c>
      <c r="G161" s="707">
        <f t="shared" si="18"/>
        <v>4500</v>
      </c>
      <c r="H161" s="113"/>
    </row>
    <row r="162" spans="1:8" x14ac:dyDescent="0.2">
      <c r="A162" s="686">
        <v>54399</v>
      </c>
      <c r="B162" s="687" t="s">
        <v>69</v>
      </c>
      <c r="C162" s="981">
        <v>1000</v>
      </c>
      <c r="D162" s="981">
        <v>700</v>
      </c>
      <c r="E162" s="981">
        <v>0</v>
      </c>
      <c r="F162" s="981">
        <v>300</v>
      </c>
      <c r="G162" s="707">
        <f>SUM(C162:F162)</f>
        <v>2000</v>
      </c>
      <c r="H162" s="113"/>
    </row>
    <row r="163" spans="1:8" x14ac:dyDescent="0.2">
      <c r="A163" s="681">
        <v>544</v>
      </c>
      <c r="B163" s="682" t="s">
        <v>70</v>
      </c>
      <c r="C163" s="984">
        <f>SUM(C164:C175)</f>
        <v>4200</v>
      </c>
      <c r="D163" s="984">
        <f>SUM(D164:D166)</f>
        <v>200</v>
      </c>
      <c r="E163" s="984">
        <f>SUM(E164:E166)</f>
        <v>100</v>
      </c>
      <c r="F163" s="984">
        <f>SUM(F164:F166)</f>
        <v>200</v>
      </c>
      <c r="G163" s="705">
        <f>SUM(C163:F163)</f>
        <v>4700</v>
      </c>
      <c r="H163" s="113"/>
    </row>
    <row r="164" spans="1:8" x14ac:dyDescent="0.2">
      <c r="A164" s="686">
        <v>54401</v>
      </c>
      <c r="B164" s="687" t="s">
        <v>71</v>
      </c>
      <c r="C164" s="981">
        <v>50</v>
      </c>
      <c r="D164" s="981">
        <v>100</v>
      </c>
      <c r="E164" s="981">
        <v>50</v>
      </c>
      <c r="F164" s="981">
        <v>50</v>
      </c>
      <c r="G164" s="707">
        <f>SUM(C164:F164)</f>
        <v>250</v>
      </c>
      <c r="H164" s="113"/>
    </row>
    <row r="165" spans="1:8" hidden="1" x14ac:dyDescent="0.2">
      <c r="A165" s="686">
        <v>54402</v>
      </c>
      <c r="B165" s="687" t="s">
        <v>72</v>
      </c>
      <c r="C165" s="981">
        <v>0</v>
      </c>
      <c r="D165" s="981">
        <v>0</v>
      </c>
      <c r="E165" s="981">
        <v>0</v>
      </c>
      <c r="F165" s="981">
        <v>0</v>
      </c>
      <c r="G165" s="707">
        <f t="shared" ref="G165:G181" si="19">+C165+F165</f>
        <v>0</v>
      </c>
      <c r="H165" s="113"/>
    </row>
    <row r="166" spans="1:8" x14ac:dyDescent="0.2">
      <c r="A166" s="686">
        <v>54403</v>
      </c>
      <c r="B166" s="687" t="s">
        <v>73</v>
      </c>
      <c r="C166" s="981">
        <v>150</v>
      </c>
      <c r="D166" s="981">
        <v>100</v>
      </c>
      <c r="E166" s="981">
        <v>50</v>
      </c>
      <c r="F166" s="981">
        <v>150</v>
      </c>
      <c r="G166" s="707">
        <f>SUM(C166:F166)</f>
        <v>450</v>
      </c>
      <c r="H166" s="113"/>
    </row>
    <row r="167" spans="1:8" x14ac:dyDescent="0.2">
      <c r="A167" s="686">
        <v>54404</v>
      </c>
      <c r="B167" s="687" t="s">
        <v>74</v>
      </c>
      <c r="C167" s="981">
        <v>4000</v>
      </c>
      <c r="D167" s="981">
        <v>0</v>
      </c>
      <c r="E167" s="981">
        <v>0</v>
      </c>
      <c r="F167" s="981">
        <v>0</v>
      </c>
      <c r="G167" s="707">
        <f t="shared" si="19"/>
        <v>4000</v>
      </c>
      <c r="H167" s="113"/>
    </row>
    <row r="168" spans="1:8" hidden="1" x14ac:dyDescent="0.2">
      <c r="A168" s="681">
        <v>545</v>
      </c>
      <c r="B168" s="682" t="s">
        <v>75</v>
      </c>
      <c r="C168" s="984">
        <f>SUM(C169:C175)</f>
        <v>0</v>
      </c>
      <c r="D168" s="984">
        <f>SUM(D169:D175)</f>
        <v>0</v>
      </c>
      <c r="E168" s="984"/>
      <c r="F168" s="984">
        <f>SUM(F169:F175)</f>
        <v>0</v>
      </c>
      <c r="G168" s="705">
        <f t="shared" si="19"/>
        <v>0</v>
      </c>
      <c r="H168" s="113"/>
    </row>
    <row r="169" spans="1:8" hidden="1" x14ac:dyDescent="0.2">
      <c r="A169" s="686">
        <v>54501</v>
      </c>
      <c r="B169" s="687" t="s">
        <v>76</v>
      </c>
      <c r="C169" s="981">
        <v>0</v>
      </c>
      <c r="D169" s="981"/>
      <c r="E169" s="981"/>
      <c r="F169" s="981"/>
      <c r="G169" s="707">
        <f t="shared" si="19"/>
        <v>0</v>
      </c>
      <c r="H169" s="113"/>
    </row>
    <row r="170" spans="1:8" hidden="1" x14ac:dyDescent="0.2">
      <c r="A170" s="686">
        <v>54503</v>
      </c>
      <c r="B170" s="687" t="s">
        <v>77</v>
      </c>
      <c r="C170" s="981">
        <v>0</v>
      </c>
      <c r="D170" s="981">
        <v>0</v>
      </c>
      <c r="E170" s="981">
        <v>0</v>
      </c>
      <c r="F170" s="981">
        <v>0</v>
      </c>
      <c r="G170" s="707">
        <f t="shared" si="19"/>
        <v>0</v>
      </c>
      <c r="H170" s="113"/>
    </row>
    <row r="171" spans="1:8" hidden="1" x14ac:dyDescent="0.2">
      <c r="A171" s="686">
        <v>54504</v>
      </c>
      <c r="B171" s="687" t="s">
        <v>78</v>
      </c>
      <c r="C171" s="981">
        <v>0</v>
      </c>
      <c r="D171" s="981">
        <v>0</v>
      </c>
      <c r="E171" s="981">
        <v>0</v>
      </c>
      <c r="F171" s="981">
        <v>0</v>
      </c>
      <c r="G171" s="707">
        <f t="shared" si="19"/>
        <v>0</v>
      </c>
      <c r="H171" s="113"/>
    </row>
    <row r="172" spans="1:8" hidden="1" x14ac:dyDescent="0.2">
      <c r="A172" s="686">
        <v>54505</v>
      </c>
      <c r="B172" s="687" t="s">
        <v>79</v>
      </c>
      <c r="C172" s="981">
        <v>0</v>
      </c>
      <c r="D172" s="981">
        <v>0</v>
      </c>
      <c r="E172" s="981">
        <v>0</v>
      </c>
      <c r="F172" s="981">
        <v>0</v>
      </c>
      <c r="G172" s="707">
        <f t="shared" si="19"/>
        <v>0</v>
      </c>
      <c r="H172" s="113"/>
    </row>
    <row r="173" spans="1:8" hidden="1" x14ac:dyDescent="0.2">
      <c r="A173" s="686">
        <v>54507</v>
      </c>
      <c r="B173" s="687" t="s">
        <v>80</v>
      </c>
      <c r="C173" s="981">
        <v>0</v>
      </c>
      <c r="D173" s="981">
        <v>0</v>
      </c>
      <c r="E173" s="981">
        <v>0</v>
      </c>
      <c r="F173" s="981">
        <v>0</v>
      </c>
      <c r="G173" s="707">
        <f t="shared" si="19"/>
        <v>0</v>
      </c>
      <c r="H173" s="113"/>
    </row>
    <row r="174" spans="1:8" hidden="1" x14ac:dyDescent="0.2">
      <c r="A174" s="686">
        <v>54508</v>
      </c>
      <c r="B174" s="687" t="s">
        <v>81</v>
      </c>
      <c r="C174" s="981">
        <v>0</v>
      </c>
      <c r="D174" s="981">
        <v>0</v>
      </c>
      <c r="E174" s="981">
        <v>0</v>
      </c>
      <c r="F174" s="981">
        <v>0</v>
      </c>
      <c r="G174" s="707">
        <f t="shared" si="19"/>
        <v>0</v>
      </c>
      <c r="H174" s="113"/>
    </row>
    <row r="175" spans="1:8" hidden="1" x14ac:dyDescent="0.2">
      <c r="A175" s="686">
        <v>54599</v>
      </c>
      <c r="B175" s="687" t="s">
        <v>82</v>
      </c>
      <c r="C175" s="981">
        <v>0</v>
      </c>
      <c r="D175" s="981">
        <v>0</v>
      </c>
      <c r="E175" s="981">
        <v>0</v>
      </c>
      <c r="F175" s="981">
        <v>0</v>
      </c>
      <c r="G175" s="707">
        <f t="shared" si="19"/>
        <v>0</v>
      </c>
      <c r="H175" s="113"/>
    </row>
    <row r="176" spans="1:8" x14ac:dyDescent="0.2">
      <c r="A176" s="723" t="s">
        <v>463</v>
      </c>
      <c r="B176" s="687"/>
      <c r="C176" s="981"/>
      <c r="D176" s="981"/>
      <c r="E176" s="981"/>
      <c r="F176" s="981"/>
      <c r="G176" s="707"/>
      <c r="H176" s="113"/>
    </row>
    <row r="177" spans="1:9" x14ac:dyDescent="0.2">
      <c r="A177" s="681">
        <v>55</v>
      </c>
      <c r="B177" s="682" t="s">
        <v>83</v>
      </c>
      <c r="C177" s="984">
        <f>C178+C182+C184</f>
        <v>728.86</v>
      </c>
      <c r="D177" s="984">
        <f>D178+D182+D184</f>
        <v>257.18</v>
      </c>
      <c r="E177" s="984">
        <f>E178+E182+E184</f>
        <v>0</v>
      </c>
      <c r="F177" s="984">
        <f>F178+F182+F184</f>
        <v>120.01</v>
      </c>
      <c r="G177" s="705">
        <f>G178+G182+G184</f>
        <v>1106.0500000000002</v>
      </c>
      <c r="H177" s="113"/>
    </row>
    <row r="178" spans="1:9" hidden="1" x14ac:dyDescent="0.2">
      <c r="A178" s="681">
        <v>553</v>
      </c>
      <c r="B178" s="682" t="s">
        <v>84</v>
      </c>
      <c r="C178" s="981">
        <v>0</v>
      </c>
      <c r="D178" s="981">
        <v>0</v>
      </c>
      <c r="E178" s="981">
        <v>0</v>
      </c>
      <c r="F178" s="981">
        <v>0</v>
      </c>
      <c r="G178" s="705">
        <f t="shared" si="19"/>
        <v>0</v>
      </c>
      <c r="H178" s="113"/>
    </row>
    <row r="179" spans="1:9" hidden="1" x14ac:dyDescent="0.2">
      <c r="A179" s="686">
        <v>55303</v>
      </c>
      <c r="B179" s="687" t="s">
        <v>85</v>
      </c>
      <c r="C179" s="981">
        <v>0</v>
      </c>
      <c r="D179" s="981">
        <v>0</v>
      </c>
      <c r="E179" s="981">
        <v>0</v>
      </c>
      <c r="F179" s="981">
        <v>0</v>
      </c>
      <c r="G179" s="707">
        <f t="shared" si="19"/>
        <v>0</v>
      </c>
      <c r="H179" s="113"/>
    </row>
    <row r="180" spans="1:9" hidden="1" x14ac:dyDescent="0.2">
      <c r="A180" s="686">
        <v>55304</v>
      </c>
      <c r="B180" s="687" t="s">
        <v>86</v>
      </c>
      <c r="C180" s="981">
        <v>0</v>
      </c>
      <c r="D180" s="981">
        <v>0</v>
      </c>
      <c r="E180" s="981">
        <v>0</v>
      </c>
      <c r="F180" s="981">
        <v>0</v>
      </c>
      <c r="G180" s="707">
        <f t="shared" si="19"/>
        <v>0</v>
      </c>
      <c r="H180" s="113"/>
    </row>
    <row r="181" spans="1:9" hidden="1" x14ac:dyDescent="0.2">
      <c r="A181" s="686">
        <v>55308</v>
      </c>
      <c r="B181" s="687" t="s">
        <v>87</v>
      </c>
      <c r="C181" s="981">
        <v>0</v>
      </c>
      <c r="D181" s="981">
        <v>0</v>
      </c>
      <c r="E181" s="981">
        <v>0</v>
      </c>
      <c r="F181" s="981">
        <v>0</v>
      </c>
      <c r="G181" s="707">
        <f t="shared" si="19"/>
        <v>0</v>
      </c>
      <c r="H181" s="113"/>
    </row>
    <row r="182" spans="1:9" s="59" customFormat="1" x14ac:dyDescent="0.2">
      <c r="A182" s="681">
        <v>555</v>
      </c>
      <c r="B182" s="682" t="s">
        <v>486</v>
      </c>
      <c r="C182" s="984">
        <f>C183</f>
        <v>28.86</v>
      </c>
      <c r="D182" s="984">
        <f>D183</f>
        <v>0</v>
      </c>
      <c r="E182" s="984">
        <f>E183</f>
        <v>0</v>
      </c>
      <c r="F182" s="984">
        <f>F183</f>
        <v>120.01</v>
      </c>
      <c r="G182" s="705">
        <f>+C182+D182+E182+F182</f>
        <v>148.87</v>
      </c>
      <c r="H182" s="205"/>
      <c r="I182" s="209"/>
    </row>
    <row r="183" spans="1:9" x14ac:dyDescent="0.2">
      <c r="A183" s="686">
        <v>55508</v>
      </c>
      <c r="B183" s="692" t="s">
        <v>338</v>
      </c>
      <c r="C183" s="981">
        <v>28.86</v>
      </c>
      <c r="D183" s="981">
        <v>0</v>
      </c>
      <c r="E183" s="981">
        <v>0</v>
      </c>
      <c r="F183" s="981">
        <v>120.01</v>
      </c>
      <c r="G183" s="706">
        <f>+C183+D183+E183+F183</f>
        <v>148.87</v>
      </c>
      <c r="H183" s="113"/>
    </row>
    <row r="184" spans="1:9" x14ac:dyDescent="0.2">
      <c r="A184" s="681">
        <v>556</v>
      </c>
      <c r="B184" s="682" t="s">
        <v>88</v>
      </c>
      <c r="C184" s="984">
        <f>SUM(C185:C187)</f>
        <v>700</v>
      </c>
      <c r="D184" s="984">
        <f>SUM(D185:D187)</f>
        <v>257.18</v>
      </c>
      <c r="E184" s="984">
        <v>0</v>
      </c>
      <c r="F184" s="984">
        <v>0</v>
      </c>
      <c r="G184" s="705">
        <f>+C184+D184+F184</f>
        <v>957.18000000000006</v>
      </c>
      <c r="H184" s="113"/>
    </row>
    <row r="185" spans="1:9" x14ac:dyDescent="0.2">
      <c r="A185" s="686">
        <v>55601</v>
      </c>
      <c r="B185" s="687" t="s">
        <v>89</v>
      </c>
      <c r="C185" s="987">
        <v>0</v>
      </c>
      <c r="D185" s="987">
        <v>0</v>
      </c>
      <c r="E185" s="987">
        <v>0</v>
      </c>
      <c r="F185" s="987">
        <v>0</v>
      </c>
      <c r="G185" s="707">
        <f t="shared" ref="G185:G186" si="20">+C185+D185+E185+F185</f>
        <v>0</v>
      </c>
      <c r="H185" s="113"/>
    </row>
    <row r="186" spans="1:9" x14ac:dyDescent="0.2">
      <c r="A186" s="686">
        <v>55602</v>
      </c>
      <c r="B186" s="687" t="s">
        <v>90</v>
      </c>
      <c r="C186" s="987">
        <v>700</v>
      </c>
      <c r="D186" s="987">
        <v>0</v>
      </c>
      <c r="E186" s="987">
        <v>0</v>
      </c>
      <c r="F186" s="987">
        <v>0</v>
      </c>
      <c r="G186" s="707">
        <f t="shared" si="20"/>
        <v>700</v>
      </c>
      <c r="H186" s="113"/>
    </row>
    <row r="187" spans="1:9" x14ac:dyDescent="0.2">
      <c r="A187" s="686">
        <v>55603</v>
      </c>
      <c r="B187" s="687" t="s">
        <v>91</v>
      </c>
      <c r="C187" s="981">
        <v>0</v>
      </c>
      <c r="D187" s="981">
        <f>250+7.18</f>
        <v>257.18</v>
      </c>
      <c r="E187" s="981">
        <v>0</v>
      </c>
      <c r="F187" s="981">
        <v>0</v>
      </c>
      <c r="G187" s="707">
        <f>+C187+D187+E187+F187</f>
        <v>257.18</v>
      </c>
      <c r="H187" s="113"/>
    </row>
    <row r="188" spans="1:9" hidden="1" x14ac:dyDescent="0.2">
      <c r="A188" s="681">
        <v>557</v>
      </c>
      <c r="B188" s="682" t="s">
        <v>92</v>
      </c>
      <c r="C188" s="984">
        <f>SUM(C189:C191)</f>
        <v>0</v>
      </c>
      <c r="D188" s="984">
        <f>SUM(D189:D191)</f>
        <v>0</v>
      </c>
      <c r="E188" s="984">
        <f>SUM(E189:E191)</f>
        <v>0</v>
      </c>
      <c r="F188" s="984">
        <f>SUM(F189:F191)</f>
        <v>0</v>
      </c>
      <c r="G188" s="705">
        <f t="shared" ref="G188:G199" si="21">+C188+F188</f>
        <v>0</v>
      </c>
      <c r="H188" s="113"/>
    </row>
    <row r="189" spans="1:9" hidden="1" x14ac:dyDescent="0.2">
      <c r="A189" s="686">
        <v>55701</v>
      </c>
      <c r="B189" s="687" t="s">
        <v>93</v>
      </c>
      <c r="C189" s="981">
        <v>0</v>
      </c>
      <c r="D189" s="981">
        <v>0</v>
      </c>
      <c r="E189" s="981">
        <v>0</v>
      </c>
      <c r="F189" s="981">
        <v>0</v>
      </c>
      <c r="G189" s="707">
        <f t="shared" si="21"/>
        <v>0</v>
      </c>
      <c r="H189" s="113"/>
    </row>
    <row r="190" spans="1:9" hidden="1" x14ac:dyDescent="0.2">
      <c r="A190" s="686">
        <v>55702</v>
      </c>
      <c r="B190" s="687" t="s">
        <v>94</v>
      </c>
      <c r="C190" s="981">
        <v>0</v>
      </c>
      <c r="D190" s="981">
        <v>0</v>
      </c>
      <c r="E190" s="981">
        <v>0</v>
      </c>
      <c r="F190" s="981">
        <v>0</v>
      </c>
      <c r="G190" s="707">
        <f t="shared" si="21"/>
        <v>0</v>
      </c>
      <c r="H190" s="113"/>
    </row>
    <row r="191" spans="1:9" hidden="1" x14ac:dyDescent="0.2">
      <c r="A191" s="686">
        <v>55799</v>
      </c>
      <c r="B191" s="687" t="s">
        <v>95</v>
      </c>
      <c r="C191" s="981">
        <v>0</v>
      </c>
      <c r="D191" s="981">
        <v>0</v>
      </c>
      <c r="E191" s="981">
        <v>0</v>
      </c>
      <c r="F191" s="981">
        <v>0</v>
      </c>
      <c r="G191" s="707">
        <f t="shared" si="21"/>
        <v>0</v>
      </c>
      <c r="H191" s="113"/>
    </row>
    <row r="192" spans="1:9" x14ac:dyDescent="0.2">
      <c r="A192" s="723" t="s">
        <v>463</v>
      </c>
      <c r="B192" s="687"/>
      <c r="C192" s="981"/>
      <c r="D192" s="981"/>
      <c r="E192" s="981"/>
      <c r="F192" s="981"/>
      <c r="G192" s="707"/>
      <c r="H192" s="113"/>
    </row>
    <row r="193" spans="1:9" x14ac:dyDescent="0.2">
      <c r="A193" s="681">
        <v>56</v>
      </c>
      <c r="B193" s="682" t="s">
        <v>96</v>
      </c>
      <c r="C193" s="984">
        <f>C194+C197</f>
        <v>11489.5</v>
      </c>
      <c r="D193" s="984">
        <f>D194+D197</f>
        <v>0</v>
      </c>
      <c r="E193" s="984">
        <v>0</v>
      </c>
      <c r="F193" s="984">
        <v>0</v>
      </c>
      <c r="G193" s="705">
        <f>+C193+F193</f>
        <v>11489.5</v>
      </c>
      <c r="H193" s="113"/>
    </row>
    <row r="194" spans="1:9" x14ac:dyDescent="0.2">
      <c r="A194" s="681">
        <v>562</v>
      </c>
      <c r="B194" s="682" t="s">
        <v>97</v>
      </c>
      <c r="C194" s="984">
        <f>C196</f>
        <v>2489.5</v>
      </c>
      <c r="D194" s="984">
        <f>SUM(D195:D196)</f>
        <v>0</v>
      </c>
      <c r="E194" s="984">
        <v>0</v>
      </c>
      <c r="F194" s="984">
        <v>0</v>
      </c>
      <c r="G194" s="705">
        <f t="shared" si="21"/>
        <v>2489.5</v>
      </c>
      <c r="H194" s="113"/>
    </row>
    <row r="195" spans="1:9" hidden="1" x14ac:dyDescent="0.2">
      <c r="A195" s="686">
        <v>56201</v>
      </c>
      <c r="B195" s="692" t="s">
        <v>494</v>
      </c>
      <c r="C195" s="981">
        <v>0</v>
      </c>
      <c r="D195" s="981">
        <v>0</v>
      </c>
      <c r="E195" s="981">
        <v>0</v>
      </c>
      <c r="F195" s="981">
        <v>0</v>
      </c>
      <c r="G195" s="707">
        <f t="shared" si="21"/>
        <v>0</v>
      </c>
      <c r="H195" s="113"/>
    </row>
    <row r="196" spans="1:9" x14ac:dyDescent="0.2">
      <c r="A196" s="686">
        <v>56201</v>
      </c>
      <c r="B196" s="692" t="s">
        <v>489</v>
      </c>
      <c r="C196" s="981">
        <f>'PLLA MUNICIPAL LEY SAL'!P82</f>
        <v>2489.5</v>
      </c>
      <c r="D196" s="981">
        <v>0</v>
      </c>
      <c r="E196" s="981">
        <v>0</v>
      </c>
      <c r="F196" s="981">
        <v>0</v>
      </c>
      <c r="G196" s="707">
        <f>+C196+F196</f>
        <v>2489.5</v>
      </c>
      <c r="H196" s="113"/>
    </row>
    <row r="197" spans="1:9" x14ac:dyDescent="0.2">
      <c r="A197" s="681">
        <v>563</v>
      </c>
      <c r="B197" s="682" t="s">
        <v>99</v>
      </c>
      <c r="C197" s="984">
        <f>SUM(C198:C199)</f>
        <v>9000</v>
      </c>
      <c r="D197" s="984">
        <f>SUM(D198:D199)</f>
        <v>0</v>
      </c>
      <c r="E197" s="984">
        <v>0</v>
      </c>
      <c r="F197" s="984">
        <v>0</v>
      </c>
      <c r="G197" s="705">
        <f t="shared" si="21"/>
        <v>9000</v>
      </c>
      <c r="H197" s="113"/>
    </row>
    <row r="198" spans="1:9" x14ac:dyDescent="0.2">
      <c r="A198" s="686">
        <v>56303</v>
      </c>
      <c r="B198" s="687" t="s">
        <v>98</v>
      </c>
      <c r="C198" s="981">
        <v>0</v>
      </c>
      <c r="D198" s="981">
        <v>0</v>
      </c>
      <c r="E198" s="981">
        <v>0</v>
      </c>
      <c r="F198" s="981">
        <v>0</v>
      </c>
      <c r="G198" s="707">
        <f t="shared" si="21"/>
        <v>0</v>
      </c>
      <c r="H198" s="113"/>
    </row>
    <row r="199" spans="1:9" x14ac:dyDescent="0.2">
      <c r="A199" s="686">
        <v>56304</v>
      </c>
      <c r="B199" s="687" t="s">
        <v>109</v>
      </c>
      <c r="C199" s="981">
        <v>9000</v>
      </c>
      <c r="D199" s="981">
        <v>0</v>
      </c>
      <c r="E199" s="981">
        <v>0</v>
      </c>
      <c r="F199" s="981">
        <v>0</v>
      </c>
      <c r="G199" s="707">
        <f t="shared" si="21"/>
        <v>9000</v>
      </c>
      <c r="H199" s="113"/>
    </row>
    <row r="200" spans="1:9" x14ac:dyDescent="0.2">
      <c r="A200" s="686"/>
      <c r="B200" s="687"/>
      <c r="C200" s="981"/>
      <c r="D200" s="981"/>
      <c r="E200" s="981"/>
      <c r="F200" s="981"/>
      <c r="G200" s="691"/>
      <c r="H200" s="113"/>
    </row>
    <row r="201" spans="1:9" s="59" customFormat="1" x14ac:dyDescent="0.2">
      <c r="A201" s="681">
        <v>72</v>
      </c>
      <c r="B201" s="682" t="s">
        <v>13</v>
      </c>
      <c r="C201" s="984">
        <f>C202</f>
        <v>30903.88</v>
      </c>
      <c r="D201" s="984">
        <f t="shared" ref="D201:F202" si="22">D202</f>
        <v>0</v>
      </c>
      <c r="E201" s="984">
        <f t="shared" si="22"/>
        <v>0</v>
      </c>
      <c r="F201" s="984">
        <f t="shared" si="22"/>
        <v>35.229999999999997</v>
      </c>
      <c r="G201" s="684">
        <f>G202</f>
        <v>30939.11</v>
      </c>
      <c r="H201" s="205"/>
      <c r="I201" s="209"/>
    </row>
    <row r="202" spans="1:9" s="59" customFormat="1" x14ac:dyDescent="0.2">
      <c r="A202" s="681">
        <v>721</v>
      </c>
      <c r="B202" s="682" t="s">
        <v>182</v>
      </c>
      <c r="C202" s="984">
        <f>C203</f>
        <v>30903.88</v>
      </c>
      <c r="D202" s="984">
        <f t="shared" si="22"/>
        <v>0</v>
      </c>
      <c r="E202" s="984">
        <f t="shared" si="22"/>
        <v>0</v>
      </c>
      <c r="F202" s="984">
        <f t="shared" si="22"/>
        <v>35.229999999999997</v>
      </c>
      <c r="G202" s="684">
        <f>G203</f>
        <v>30939.11</v>
      </c>
      <c r="H202" s="205"/>
      <c r="I202" s="209"/>
    </row>
    <row r="203" spans="1:9" ht="13.5" thickBot="1" x14ac:dyDescent="0.25">
      <c r="A203" s="686">
        <v>72101</v>
      </c>
      <c r="B203" s="687" t="s">
        <v>182</v>
      </c>
      <c r="C203" s="1009">
        <f>71.2+61.69+1584.31+4979.22+6778.55+2567.57+2368.94+525.66+410+50+50+100+1459+2867.88+7029.86</f>
        <v>30903.88</v>
      </c>
      <c r="D203" s="981">
        <v>0</v>
      </c>
      <c r="E203" s="981">
        <v>0</v>
      </c>
      <c r="F203" s="981">
        <v>35.229999999999997</v>
      </c>
      <c r="G203" s="707">
        <f>C203+D203+E203+F203</f>
        <v>30939.11</v>
      </c>
      <c r="H203" s="113"/>
    </row>
    <row r="204" spans="1:9" hidden="1" x14ac:dyDescent="0.2">
      <c r="A204" s="724" t="s">
        <v>162</v>
      </c>
      <c r="B204" s="725" t="s">
        <v>163</v>
      </c>
      <c r="C204" s="710">
        <f>C205</f>
        <v>0</v>
      </c>
      <c r="D204" s="711">
        <f t="shared" ref="D204:F205" si="23">D205</f>
        <v>0</v>
      </c>
      <c r="E204" s="711">
        <f t="shared" si="23"/>
        <v>0</v>
      </c>
      <c r="F204" s="712">
        <f t="shared" si="23"/>
        <v>0</v>
      </c>
      <c r="G204" s="705">
        <f>G205</f>
        <v>0</v>
      </c>
      <c r="H204" s="113"/>
    </row>
    <row r="205" spans="1:9" hidden="1" x14ac:dyDescent="0.2">
      <c r="A205" s="724" t="s">
        <v>254</v>
      </c>
      <c r="B205" s="725" t="s">
        <v>199</v>
      </c>
      <c r="C205" s="710">
        <f>C206</f>
        <v>0</v>
      </c>
      <c r="D205" s="711">
        <f t="shared" si="23"/>
        <v>0</v>
      </c>
      <c r="E205" s="711">
        <f t="shared" si="23"/>
        <v>0</v>
      </c>
      <c r="F205" s="712">
        <f t="shared" si="23"/>
        <v>0</v>
      </c>
      <c r="G205" s="705">
        <f>G206</f>
        <v>0</v>
      </c>
      <c r="H205" s="113"/>
    </row>
    <row r="206" spans="1:9" ht="13.5" hidden="1" thickBot="1" x14ac:dyDescent="0.25">
      <c r="A206" s="726" t="s">
        <v>255</v>
      </c>
      <c r="B206" s="727" t="s">
        <v>256</v>
      </c>
      <c r="C206" s="715">
        <v>0</v>
      </c>
      <c r="D206" s="716">
        <v>0</v>
      </c>
      <c r="E206" s="716">
        <v>0</v>
      </c>
      <c r="F206" s="728">
        <v>0</v>
      </c>
      <c r="G206" s="729">
        <f>+C206+F206</f>
        <v>0</v>
      </c>
      <c r="H206" s="113"/>
    </row>
    <row r="207" spans="1:9" ht="13.5" thickBot="1" x14ac:dyDescent="0.25">
      <c r="A207" s="730"/>
      <c r="B207" s="731" t="s">
        <v>25</v>
      </c>
      <c r="C207" s="720">
        <f>+C193+C177+C119+C201</f>
        <v>80226.240000000005</v>
      </c>
      <c r="D207" s="720">
        <f t="shared" ref="D207:G207" si="24">+D193+D177+D119+D201</f>
        <v>3807.18</v>
      </c>
      <c r="E207" s="720">
        <f t="shared" si="24"/>
        <v>1150</v>
      </c>
      <c r="F207" s="720">
        <f t="shared" si="24"/>
        <v>49138.69</v>
      </c>
      <c r="G207" s="720">
        <f t="shared" si="24"/>
        <v>134322.10999999999</v>
      </c>
      <c r="H207" s="116"/>
    </row>
    <row r="208" spans="1:9" x14ac:dyDescent="0.2">
      <c r="G208" s="721">
        <f>'ING. REALES'!H73-'AG1'!D12</f>
        <v>134322.11000000004</v>
      </c>
    </row>
    <row r="209" spans="3:9" x14ac:dyDescent="0.2">
      <c r="C209" s="675">
        <f>+C203+C95</f>
        <v>41634.350000000006</v>
      </c>
    </row>
    <row r="211" spans="3:9" x14ac:dyDescent="0.2">
      <c r="C211" s="1079">
        <f>C209-200</f>
        <v>41434.350000000006</v>
      </c>
    </row>
    <row r="217" spans="3:9" x14ac:dyDescent="0.2">
      <c r="H217" s="248"/>
      <c r="I217" s="249"/>
    </row>
    <row r="223" spans="3:9" x14ac:dyDescent="0.2">
      <c r="C223" s="583"/>
      <c r="D223" s="583"/>
      <c r="E223" s="583"/>
      <c r="F223" s="583"/>
      <c r="G223" s="583"/>
      <c r="H223"/>
      <c r="I223"/>
    </row>
    <row r="224" spans="3:9" x14ac:dyDescent="0.2">
      <c r="C224" s="583"/>
      <c r="D224" s="583"/>
      <c r="E224" s="583"/>
      <c r="F224" s="583"/>
      <c r="G224" s="583"/>
      <c r="H224"/>
      <c r="I224"/>
    </row>
    <row r="225" spans="3:9" x14ac:dyDescent="0.2">
      <c r="C225" s="583"/>
      <c r="D225" s="583"/>
      <c r="E225" s="583"/>
      <c r="F225" s="583"/>
      <c r="G225" s="583"/>
      <c r="H225"/>
      <c r="I225"/>
    </row>
  </sheetData>
  <autoFilter ref="A116:G207">
    <filterColumn colId="2" showButton="0"/>
    <filterColumn colId="3" showButton="0"/>
    <filterColumn colId="4" showButton="0"/>
    <filterColumn colId="5" showButton="0"/>
  </autoFilter>
  <mergeCells count="26"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  <mergeCell ref="G117:G118"/>
    <mergeCell ref="E117:E118"/>
    <mergeCell ref="A114:G114"/>
    <mergeCell ref="A110:G110"/>
    <mergeCell ref="A111:G111"/>
    <mergeCell ref="A112:G112"/>
    <mergeCell ref="A113:G113"/>
    <mergeCell ref="A116:A118"/>
    <mergeCell ref="B116:B118"/>
    <mergeCell ref="C116:G116"/>
    <mergeCell ref="C117:C118"/>
    <mergeCell ref="D117:D118"/>
    <mergeCell ref="F117:F118"/>
  </mergeCells>
  <phoneticPr fontId="6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O151"/>
  <sheetViews>
    <sheetView showGridLines="0" workbookViewId="0">
      <pane ySplit="11" topLeftCell="A92" activePane="bottomLeft" state="frozen"/>
      <selection pane="bottomLeft" activeCell="C107" sqref="C107"/>
    </sheetView>
  </sheetViews>
  <sheetFormatPr baseColWidth="10" defaultRowHeight="12.75" x14ac:dyDescent="0.2"/>
  <cols>
    <col min="1" max="1" width="9.5703125" style="583" customWidth="1"/>
    <col min="2" max="2" width="35.5703125" style="583" customWidth="1"/>
    <col min="3" max="3" width="14.140625" style="675" customWidth="1"/>
    <col min="4" max="4" width="13.28515625" style="827" customWidth="1"/>
    <col min="5" max="5" width="12.28515625" style="583" hidden="1" customWidth="1"/>
    <col min="6" max="7" width="11.42578125" style="583" hidden="1" customWidth="1"/>
    <col min="8" max="8" width="13.28515625" style="583" customWidth="1"/>
    <col min="9" max="9" width="13.5703125" style="19" customWidth="1"/>
    <col min="10" max="10" width="12.85546875" style="19" bestFit="1" customWidth="1"/>
    <col min="11" max="11" width="3.85546875" style="19" customWidth="1"/>
    <col min="12" max="12" width="12.28515625" bestFit="1" customWidth="1"/>
    <col min="13" max="13" width="3.7109375" customWidth="1"/>
  </cols>
  <sheetData>
    <row r="1" spans="1:15" x14ac:dyDescent="0.2">
      <c r="A1" s="1299" t="s">
        <v>110</v>
      </c>
      <c r="B1" s="1299"/>
      <c r="C1" s="1299"/>
      <c r="D1" s="1299"/>
      <c r="E1" s="1299"/>
      <c r="F1" s="1299"/>
      <c r="G1" s="1299"/>
      <c r="H1" s="1299"/>
    </row>
    <row r="2" spans="1:15" x14ac:dyDescent="0.2">
      <c r="A2" s="1299" t="s">
        <v>111</v>
      </c>
      <c r="B2" s="1299"/>
      <c r="C2" s="1299"/>
      <c r="D2" s="1299"/>
      <c r="E2" s="1299"/>
      <c r="F2" s="1299"/>
      <c r="G2" s="1299"/>
      <c r="H2" s="1299"/>
    </row>
    <row r="3" spans="1:15" x14ac:dyDescent="0.2">
      <c r="A3" s="1299" t="s">
        <v>588</v>
      </c>
      <c r="B3" s="1299"/>
      <c r="C3" s="1299"/>
      <c r="D3" s="1299"/>
      <c r="E3" s="1299"/>
      <c r="F3" s="1299"/>
      <c r="G3" s="1299"/>
      <c r="H3" s="1299"/>
    </row>
    <row r="4" spans="1:15" x14ac:dyDescent="0.2">
      <c r="A4" s="732"/>
      <c r="B4" s="733"/>
      <c r="C4" s="734"/>
      <c r="D4" s="733"/>
      <c r="E4" s="733"/>
      <c r="F4" s="733"/>
      <c r="G4" s="733"/>
      <c r="H4" s="733"/>
    </row>
    <row r="5" spans="1:15" x14ac:dyDescent="0.2">
      <c r="A5" s="735" t="s">
        <v>444</v>
      </c>
      <c r="B5" s="735"/>
      <c r="C5" s="735"/>
      <c r="D5" s="735"/>
      <c r="E5" s="735"/>
      <c r="F5" s="735"/>
      <c r="G5" s="735"/>
      <c r="H5" s="735"/>
    </row>
    <row r="6" spans="1:15" x14ac:dyDescent="0.2">
      <c r="A6" s="735" t="s">
        <v>747</v>
      </c>
      <c r="B6" s="735"/>
      <c r="C6" s="735"/>
      <c r="D6" s="735"/>
      <c r="E6" s="735"/>
      <c r="F6" s="735"/>
      <c r="G6" s="735"/>
      <c r="H6" s="735"/>
    </row>
    <row r="7" spans="1:15" x14ac:dyDescent="0.2">
      <c r="A7" s="735" t="s">
        <v>112</v>
      </c>
      <c r="B7" s="735"/>
      <c r="C7" s="735"/>
      <c r="D7" s="735"/>
      <c r="E7" s="735"/>
      <c r="F7" s="735"/>
      <c r="G7" s="735"/>
      <c r="H7" s="735"/>
    </row>
    <row r="8" spans="1:15" x14ac:dyDescent="0.2">
      <c r="A8" s="735" t="s">
        <v>113</v>
      </c>
      <c r="B8" s="735"/>
      <c r="C8" s="735"/>
      <c r="D8" s="735"/>
      <c r="E8" s="735"/>
      <c r="F8" s="735"/>
      <c r="G8" s="735"/>
      <c r="H8" s="735"/>
    </row>
    <row r="9" spans="1:15" ht="13.5" thickBot="1" x14ac:dyDescent="0.25">
      <c r="A9" s="736" t="s">
        <v>114</v>
      </c>
      <c r="B9" s="736"/>
      <c r="C9" s="736"/>
      <c r="D9" s="736"/>
      <c r="E9" s="736"/>
      <c r="F9" s="736"/>
      <c r="G9" s="736"/>
      <c r="H9" s="736"/>
    </row>
    <row r="10" spans="1:15" ht="13.5" thickBot="1" x14ac:dyDescent="0.25">
      <c r="A10" s="1295" t="s">
        <v>115</v>
      </c>
      <c r="B10" s="1295"/>
      <c r="C10" s="1187" t="s">
        <v>116</v>
      </c>
      <c r="D10" s="1298"/>
      <c r="E10" s="731"/>
      <c r="F10" s="731"/>
      <c r="G10" s="737"/>
      <c r="H10" s="1296" t="s">
        <v>25</v>
      </c>
    </row>
    <row r="11" spans="1:15" ht="23.25" thickBot="1" x14ac:dyDescent="0.25">
      <c r="A11" s="738" t="s">
        <v>117</v>
      </c>
      <c r="B11" s="739" t="s">
        <v>118</v>
      </c>
      <c r="C11" s="740" t="s">
        <v>119</v>
      </c>
      <c r="D11" s="741" t="s">
        <v>120</v>
      </c>
      <c r="E11" s="742" t="s">
        <v>2</v>
      </c>
      <c r="F11" s="742" t="s">
        <v>3</v>
      </c>
      <c r="G11" s="742" t="s">
        <v>121</v>
      </c>
      <c r="H11" s="1297"/>
    </row>
    <row r="12" spans="1:15" x14ac:dyDescent="0.2">
      <c r="A12" s="676">
        <v>51</v>
      </c>
      <c r="B12" s="743" t="s">
        <v>122</v>
      </c>
      <c r="C12" s="744">
        <f>C13+C25+C28+C31+C34+C37+C42</f>
        <v>186193.15000000002</v>
      </c>
      <c r="D12" s="745">
        <f>D13+D25+D28+D31+D34+D37+D42</f>
        <v>271666.42</v>
      </c>
      <c r="E12" s="746"/>
      <c r="F12" s="746"/>
      <c r="G12" s="747"/>
      <c r="H12" s="748">
        <f>SUM(C12:G12)</f>
        <v>457859.57</v>
      </c>
      <c r="I12" s="19">
        <f>'ING. REALES'!C54/2</f>
        <v>187995.41</v>
      </c>
      <c r="J12" s="19">
        <f>+I12-C12</f>
        <v>1802.2599999999802</v>
      </c>
      <c r="L12" s="19"/>
      <c r="O12" s="430"/>
    </row>
    <row r="13" spans="1:15" x14ac:dyDescent="0.2">
      <c r="A13" s="681">
        <v>511</v>
      </c>
      <c r="B13" s="749" t="s">
        <v>123</v>
      </c>
      <c r="C13" s="750">
        <f>C14+C16+C18+C19</f>
        <v>161059.22</v>
      </c>
      <c r="D13" s="751">
        <f>D14+D16+D18+D19</f>
        <v>228038.2</v>
      </c>
      <c r="E13" s="752"/>
      <c r="F13" s="752"/>
      <c r="G13" s="753"/>
      <c r="H13" s="754">
        <f>SUM(C13:G13)</f>
        <v>389097.42000000004</v>
      </c>
      <c r="L13" s="19"/>
    </row>
    <row r="14" spans="1:15" x14ac:dyDescent="0.2">
      <c r="A14" s="755" t="s">
        <v>124</v>
      </c>
      <c r="B14" s="756" t="s">
        <v>125</v>
      </c>
      <c r="C14" s="1010">
        <f>'PLLA MUNICIPAL LEY SAL'!W82</f>
        <v>100362.38</v>
      </c>
      <c r="D14" s="1011">
        <f>'PLLA MUNICIPAL LEY SAL'!AH82</f>
        <v>174399.7</v>
      </c>
      <c r="E14" s="757"/>
      <c r="F14" s="757"/>
      <c r="G14" s="758"/>
      <c r="H14" s="759">
        <f>SUM(C14:G14)</f>
        <v>274762.08</v>
      </c>
      <c r="L14" s="19"/>
    </row>
    <row r="15" spans="1:15" hidden="1" x14ac:dyDescent="0.2">
      <c r="A15" s="686">
        <v>51102</v>
      </c>
      <c r="B15" s="687" t="s">
        <v>126</v>
      </c>
      <c r="C15" s="1010">
        <v>0</v>
      </c>
      <c r="D15" s="1011">
        <v>0</v>
      </c>
      <c r="E15" s="757"/>
      <c r="F15" s="757"/>
      <c r="G15" s="758"/>
      <c r="H15" s="759">
        <f t="shared" ref="H15:H43" si="0">SUM(C15:G15)</f>
        <v>0</v>
      </c>
      <c r="L15" s="19"/>
    </row>
    <row r="16" spans="1:15" x14ac:dyDescent="0.2">
      <c r="A16" s="686">
        <v>51103</v>
      </c>
      <c r="B16" s="756" t="s">
        <v>127</v>
      </c>
      <c r="C16" s="1010">
        <f>'PLLA MUNICIPAL LEY SAL'!L82</f>
        <v>22896.84</v>
      </c>
      <c r="D16" s="1011">
        <v>0</v>
      </c>
      <c r="E16" s="760"/>
      <c r="F16" s="760"/>
      <c r="G16" s="761"/>
      <c r="H16" s="759">
        <f>SUM(C16:G16)</f>
        <v>22896.84</v>
      </c>
      <c r="L16" s="19"/>
    </row>
    <row r="17" spans="1:12" hidden="1" x14ac:dyDescent="0.2">
      <c r="A17" s="686">
        <v>51104</v>
      </c>
      <c r="B17" s="756" t="s">
        <v>128</v>
      </c>
      <c r="C17" s="1010"/>
      <c r="D17" s="1011"/>
      <c r="E17" s="757"/>
      <c r="F17" s="757"/>
      <c r="G17" s="758"/>
      <c r="H17" s="759">
        <f t="shared" si="0"/>
        <v>0</v>
      </c>
      <c r="L17" s="19"/>
    </row>
    <row r="18" spans="1:12" x14ac:dyDescent="0.2">
      <c r="A18" s="755" t="s">
        <v>129</v>
      </c>
      <c r="B18" s="756" t="s">
        <v>130</v>
      </c>
      <c r="C18" s="1010">
        <f>+'PLLA DIETAS'!E19/2</f>
        <v>37800</v>
      </c>
      <c r="D18" s="1011">
        <f>C18</f>
        <v>37800</v>
      </c>
      <c r="E18" s="757"/>
      <c r="F18" s="757"/>
      <c r="G18" s="758"/>
      <c r="H18" s="759">
        <f t="shared" si="0"/>
        <v>75600</v>
      </c>
      <c r="L18" s="19"/>
    </row>
    <row r="19" spans="1:12" x14ac:dyDescent="0.2">
      <c r="A19" s="755" t="s">
        <v>131</v>
      </c>
      <c r="B19" s="756" t="s">
        <v>132</v>
      </c>
      <c r="C19" s="1010">
        <f>'PLLA MUNICIPAL LEY SAL'!X82+'PLLA MUNICIPAL LEY SAL'!Y82</f>
        <v>0</v>
      </c>
      <c r="D19" s="1012">
        <f>'PLLA DIETAS'!F19+'PLLA MUNICIPAL LEY SAL'!AI82+'PLLA MUNICIPAL LEY SAL'!AJ82</f>
        <v>15838.5</v>
      </c>
      <c r="E19" s="760"/>
      <c r="F19" s="760"/>
      <c r="G19" s="761"/>
      <c r="H19" s="759">
        <f t="shared" si="0"/>
        <v>15838.5</v>
      </c>
      <c r="L19" s="19"/>
    </row>
    <row r="20" spans="1:12" hidden="1" x14ac:dyDescent="0.2">
      <c r="A20" s="724" t="s">
        <v>133</v>
      </c>
      <c r="B20" s="725" t="s">
        <v>134</v>
      </c>
      <c r="C20" s="1013">
        <v>0</v>
      </c>
      <c r="D20" s="1014">
        <v>0</v>
      </c>
      <c r="E20" s="762"/>
      <c r="F20" s="762"/>
      <c r="G20" s="763"/>
      <c r="H20" s="764">
        <f t="shared" si="0"/>
        <v>0</v>
      </c>
      <c r="L20" s="19"/>
    </row>
    <row r="21" spans="1:12" hidden="1" x14ac:dyDescent="0.2">
      <c r="A21" s="755" t="s">
        <v>135</v>
      </c>
      <c r="B21" s="756" t="s">
        <v>125</v>
      </c>
      <c r="C21" s="1010">
        <v>0</v>
      </c>
      <c r="D21" s="1011">
        <v>0</v>
      </c>
      <c r="E21" s="762"/>
      <c r="F21" s="762"/>
      <c r="G21" s="763"/>
      <c r="H21" s="759">
        <f t="shared" si="0"/>
        <v>0</v>
      </c>
      <c r="L21" s="19"/>
    </row>
    <row r="22" spans="1:12" hidden="1" x14ac:dyDescent="0.2">
      <c r="A22" s="686">
        <v>51202</v>
      </c>
      <c r="B22" s="687" t="s">
        <v>136</v>
      </c>
      <c r="C22" s="1010">
        <v>0</v>
      </c>
      <c r="D22" s="1011">
        <v>0</v>
      </c>
      <c r="E22" s="765"/>
      <c r="F22" s="765"/>
      <c r="G22" s="766"/>
      <c r="H22" s="759">
        <f t="shared" si="0"/>
        <v>0</v>
      </c>
      <c r="L22" s="19"/>
    </row>
    <row r="23" spans="1:12" hidden="1" x14ac:dyDescent="0.2">
      <c r="A23" s="755" t="s">
        <v>137</v>
      </c>
      <c r="B23" s="756" t="s">
        <v>127</v>
      </c>
      <c r="C23" s="1010"/>
      <c r="D23" s="1011"/>
      <c r="E23" s="757"/>
      <c r="F23" s="757"/>
      <c r="G23" s="758"/>
      <c r="H23" s="759">
        <f t="shared" si="0"/>
        <v>0</v>
      </c>
      <c r="L23" s="19"/>
    </row>
    <row r="24" spans="1:12" hidden="1" x14ac:dyDescent="0.2">
      <c r="A24" s="755" t="s">
        <v>138</v>
      </c>
      <c r="B24" s="756" t="s">
        <v>132</v>
      </c>
      <c r="C24" s="1010"/>
      <c r="D24" s="1011"/>
      <c r="E24" s="760"/>
      <c r="F24" s="760"/>
      <c r="G24" s="761"/>
      <c r="H24" s="759">
        <f t="shared" si="0"/>
        <v>0</v>
      </c>
      <c r="L24" s="19"/>
    </row>
    <row r="25" spans="1:12" x14ac:dyDescent="0.2">
      <c r="A25" s="724" t="s">
        <v>139</v>
      </c>
      <c r="B25" s="767" t="s">
        <v>140</v>
      </c>
      <c r="C25" s="1013">
        <f>SUM(C26:C27)</f>
        <v>350</v>
      </c>
      <c r="D25" s="1014">
        <f>SUM(D26:D27)</f>
        <v>0</v>
      </c>
      <c r="E25" s="757"/>
      <c r="F25" s="757"/>
      <c r="G25" s="758"/>
      <c r="H25" s="764">
        <f>SUM(C25:G25)</f>
        <v>350</v>
      </c>
      <c r="I25" s="331"/>
      <c r="L25" s="19"/>
    </row>
    <row r="26" spans="1:12" x14ac:dyDescent="0.2">
      <c r="A26" s="686">
        <v>51301</v>
      </c>
      <c r="B26" s="687" t="s">
        <v>141</v>
      </c>
      <c r="C26" s="1010">
        <v>350</v>
      </c>
      <c r="D26" s="1011">
        <v>0</v>
      </c>
      <c r="E26" s="760"/>
      <c r="F26" s="760"/>
      <c r="G26" s="761"/>
      <c r="H26" s="759">
        <f t="shared" si="0"/>
        <v>350</v>
      </c>
      <c r="I26" s="331"/>
      <c r="L26" s="19"/>
    </row>
    <row r="27" spans="1:12" hidden="1" x14ac:dyDescent="0.2">
      <c r="A27" s="686">
        <v>51302</v>
      </c>
      <c r="B27" s="687" t="s">
        <v>142</v>
      </c>
      <c r="C27" s="1010"/>
      <c r="D27" s="1011"/>
      <c r="E27" s="762"/>
      <c r="F27" s="762"/>
      <c r="G27" s="763"/>
      <c r="H27" s="759">
        <f t="shared" si="0"/>
        <v>0</v>
      </c>
      <c r="I27" s="331"/>
      <c r="L27" s="19"/>
    </row>
    <row r="28" spans="1:12" ht="22.5" x14ac:dyDescent="0.2">
      <c r="A28" s="681">
        <v>514</v>
      </c>
      <c r="B28" s="767" t="s">
        <v>143</v>
      </c>
      <c r="C28" s="1013">
        <f>SUM(C29:C30)</f>
        <v>9570.76</v>
      </c>
      <c r="D28" s="1014">
        <f>SUM(D29:D30)</f>
        <v>15520.02</v>
      </c>
      <c r="E28" s="762"/>
      <c r="F28" s="762"/>
      <c r="G28" s="763"/>
      <c r="H28" s="768">
        <f>SUM(C28:G28)</f>
        <v>25090.78</v>
      </c>
      <c r="I28" s="331"/>
      <c r="L28" s="19"/>
    </row>
    <row r="29" spans="1:12" x14ac:dyDescent="0.2">
      <c r="A29" s="755" t="s">
        <v>144</v>
      </c>
      <c r="B29" s="756" t="s">
        <v>145</v>
      </c>
      <c r="C29" s="1015">
        <f>'PLLA MUNICIPAL LEY SAL'!Z82+'PLLA MUNICIPAL LEY SAL'!AA82+ROUND(('PLLA DIETAS'!H19/2),2)+ROUND(('PLLA DIETAS'!I19/2),2)+'PLLA MUNICIPAL LEY SAL'!AC82</f>
        <v>9570.76</v>
      </c>
      <c r="D29" s="1016">
        <f>'PLLA MUNICIPAL LEY SAL'!AK82+'PLLA MUNICIPAL LEY SAL'!AL82+ROUND(('PLLA DIETAS'!H19/2),2)+ROUND(('PLLA DIETAS'!I19/2),2)+'PLLA MUNICIPAL LEY SAL'!AN82</f>
        <v>15520.02</v>
      </c>
      <c r="E29" s="765"/>
      <c r="F29" s="765"/>
      <c r="G29" s="766"/>
      <c r="H29" s="759">
        <f t="shared" si="0"/>
        <v>25090.78</v>
      </c>
      <c r="I29" s="331"/>
      <c r="L29" s="19"/>
    </row>
    <row r="30" spans="1:12" hidden="1" x14ac:dyDescent="0.2">
      <c r="A30" s="755" t="s">
        <v>146</v>
      </c>
      <c r="B30" s="756" t="s">
        <v>147</v>
      </c>
      <c r="C30" s="1010"/>
      <c r="D30" s="1011"/>
      <c r="E30" s="762"/>
      <c r="F30" s="762"/>
      <c r="G30" s="763"/>
      <c r="H30" s="759">
        <f t="shared" si="0"/>
        <v>0</v>
      </c>
      <c r="I30" s="331"/>
      <c r="L30" s="19"/>
    </row>
    <row r="31" spans="1:12" ht="22.5" x14ac:dyDescent="0.2">
      <c r="A31" s="681">
        <v>515</v>
      </c>
      <c r="B31" s="767" t="s">
        <v>148</v>
      </c>
      <c r="C31" s="1013">
        <f>SUM(C32:C33)</f>
        <v>7946.51</v>
      </c>
      <c r="D31" s="1014">
        <f>SUM(D32:D33)</f>
        <v>13811.68</v>
      </c>
      <c r="E31" s="762"/>
      <c r="F31" s="762"/>
      <c r="G31" s="763"/>
      <c r="H31" s="771">
        <f>SUM(C31:G31)</f>
        <v>21758.190000000002</v>
      </c>
      <c r="I31" s="331"/>
      <c r="L31" s="19"/>
    </row>
    <row r="32" spans="1:12" x14ac:dyDescent="0.2">
      <c r="A32" s="755" t="s">
        <v>149</v>
      </c>
      <c r="B32" s="756" t="s">
        <v>145</v>
      </c>
      <c r="C32" s="1015">
        <f>'PLLA MUNICIPAL LEY SAL'!AB82-0.02</f>
        <v>7946.51</v>
      </c>
      <c r="D32" s="1016">
        <f>'PLLA MUNICIPAL LEY SAL'!AM82</f>
        <v>13811.68</v>
      </c>
      <c r="E32" s="760"/>
      <c r="F32" s="760"/>
      <c r="G32" s="761"/>
      <c r="H32" s="759">
        <f t="shared" si="0"/>
        <v>21758.190000000002</v>
      </c>
      <c r="I32" s="331"/>
      <c r="L32" s="19"/>
    </row>
    <row r="33" spans="1:12" hidden="1" x14ac:dyDescent="0.2">
      <c r="A33" s="755" t="s">
        <v>150</v>
      </c>
      <c r="B33" s="756" t="s">
        <v>147</v>
      </c>
      <c r="C33" s="1010"/>
      <c r="D33" s="1011"/>
      <c r="E33" s="765"/>
      <c r="F33" s="765"/>
      <c r="G33" s="766"/>
      <c r="H33" s="759">
        <f t="shared" si="0"/>
        <v>0</v>
      </c>
      <c r="I33" s="331"/>
      <c r="L33" s="19"/>
    </row>
    <row r="34" spans="1:12" x14ac:dyDescent="0.2">
      <c r="A34" s="724" t="s">
        <v>151</v>
      </c>
      <c r="B34" s="725" t="s">
        <v>152</v>
      </c>
      <c r="C34" s="1013">
        <f>SUM(C35:C36)</f>
        <v>3600</v>
      </c>
      <c r="D34" s="1014">
        <f>SUM(D35:D36)</f>
        <v>3600</v>
      </c>
      <c r="E34" s="762"/>
      <c r="F34" s="762"/>
      <c r="G34" s="763"/>
      <c r="H34" s="764">
        <f>SUM(C34:G34)</f>
        <v>7200</v>
      </c>
      <c r="I34" s="331"/>
      <c r="L34" s="19"/>
    </row>
    <row r="35" spans="1:12" x14ac:dyDescent="0.2">
      <c r="A35" s="686">
        <v>51601</v>
      </c>
      <c r="B35" s="687" t="s">
        <v>153</v>
      </c>
      <c r="C35" s="1010">
        <f>600*6</f>
        <v>3600</v>
      </c>
      <c r="D35" s="1011">
        <f>C35</f>
        <v>3600</v>
      </c>
      <c r="E35" s="762"/>
      <c r="F35" s="762"/>
      <c r="G35" s="763"/>
      <c r="H35" s="759">
        <f t="shared" si="0"/>
        <v>7200</v>
      </c>
      <c r="I35" s="331"/>
      <c r="L35" s="19"/>
    </row>
    <row r="36" spans="1:12" hidden="1" x14ac:dyDescent="0.2">
      <c r="A36" s="686">
        <v>51602</v>
      </c>
      <c r="B36" s="687" t="s">
        <v>154</v>
      </c>
      <c r="C36" s="1010"/>
      <c r="D36" s="1011"/>
      <c r="E36" s="762"/>
      <c r="F36" s="762"/>
      <c r="G36" s="763"/>
      <c r="H36" s="759">
        <f t="shared" si="0"/>
        <v>0</v>
      </c>
      <c r="I36" s="331"/>
      <c r="L36" s="19"/>
    </row>
    <row r="37" spans="1:12" x14ac:dyDescent="0.2">
      <c r="A37" s="681">
        <v>517</v>
      </c>
      <c r="B37" s="682" t="s">
        <v>155</v>
      </c>
      <c r="C37" s="1013">
        <f>SUM(C38:C39)</f>
        <v>0</v>
      </c>
      <c r="D37" s="1014">
        <f>SUM(D38:D39)</f>
        <v>7029.86</v>
      </c>
      <c r="E37" s="762"/>
      <c r="F37" s="762"/>
      <c r="G37" s="763"/>
      <c r="H37" s="764">
        <f>SUM(C37:G37)</f>
        <v>7029.86</v>
      </c>
      <c r="L37" s="19"/>
    </row>
    <row r="38" spans="1:12" x14ac:dyDescent="0.2">
      <c r="A38" s="686">
        <v>51701</v>
      </c>
      <c r="B38" s="687" t="s">
        <v>156</v>
      </c>
      <c r="C38" s="1010"/>
      <c r="D38" s="1017">
        <v>7029.86</v>
      </c>
      <c r="E38" s="762"/>
      <c r="F38" s="762"/>
      <c r="G38" s="763"/>
      <c r="H38" s="759">
        <f t="shared" si="0"/>
        <v>7029.86</v>
      </c>
      <c r="L38" s="19"/>
    </row>
    <row r="39" spans="1:12" hidden="1" x14ac:dyDescent="0.2">
      <c r="A39" s="686">
        <v>51702</v>
      </c>
      <c r="B39" s="687" t="s">
        <v>157</v>
      </c>
      <c r="C39" s="1010"/>
      <c r="D39" s="1011"/>
      <c r="E39" s="762"/>
      <c r="F39" s="762"/>
      <c r="G39" s="763"/>
      <c r="H39" s="759">
        <f t="shared" si="0"/>
        <v>0</v>
      </c>
      <c r="L39" s="19"/>
    </row>
    <row r="40" spans="1:12" x14ac:dyDescent="0.2">
      <c r="A40" s="681">
        <v>518</v>
      </c>
      <c r="B40" s="767" t="s">
        <v>158</v>
      </c>
      <c r="C40" s="1013">
        <f>SUM(C41:C41)</f>
        <v>0</v>
      </c>
      <c r="D40" s="1014">
        <f>SUM(D41:D41)</f>
        <v>0</v>
      </c>
      <c r="E40" s="762"/>
      <c r="F40" s="762"/>
      <c r="G40" s="763"/>
      <c r="H40" s="759">
        <f t="shared" si="0"/>
        <v>0</v>
      </c>
      <c r="L40" s="19"/>
    </row>
    <row r="41" spans="1:12" x14ac:dyDescent="0.2">
      <c r="A41" s="686">
        <v>51803</v>
      </c>
      <c r="B41" s="687" t="s">
        <v>159</v>
      </c>
      <c r="C41" s="1010"/>
      <c r="D41" s="1011"/>
      <c r="E41" s="762"/>
      <c r="F41" s="762"/>
      <c r="G41" s="763"/>
      <c r="H41" s="759">
        <f t="shared" si="0"/>
        <v>0</v>
      </c>
      <c r="L41" s="19"/>
    </row>
    <row r="42" spans="1:12" x14ac:dyDescent="0.2">
      <c r="A42" s="681">
        <v>519</v>
      </c>
      <c r="B42" s="682" t="s">
        <v>160</v>
      </c>
      <c r="C42" s="1013">
        <f>SUM(C43:C44)</f>
        <v>3666.66</v>
      </c>
      <c r="D42" s="1014">
        <f>SUM(D43:D44)</f>
        <v>3666.66</v>
      </c>
      <c r="E42" s="762"/>
      <c r="F42" s="762"/>
      <c r="G42" s="763"/>
      <c r="H42" s="764">
        <f>SUM(C42:G42)</f>
        <v>7333.32</v>
      </c>
      <c r="L42" s="19"/>
    </row>
    <row r="43" spans="1:12" x14ac:dyDescent="0.2">
      <c r="A43" s="686">
        <v>51901</v>
      </c>
      <c r="B43" s="687" t="s">
        <v>161</v>
      </c>
      <c r="C43" s="1010">
        <f>'PLLA MUNICIPAL HONORARIOS'!J7/2</f>
        <v>3666.66</v>
      </c>
      <c r="D43" s="1017">
        <f>'PLLA MUNICIPAL HONORARIOS'!J7/2</f>
        <v>3666.66</v>
      </c>
      <c r="E43" s="762"/>
      <c r="F43" s="762"/>
      <c r="G43" s="763"/>
      <c r="H43" s="759">
        <f t="shared" si="0"/>
        <v>7333.32</v>
      </c>
      <c r="L43" s="19"/>
    </row>
    <row r="44" spans="1:12" hidden="1" x14ac:dyDescent="0.2">
      <c r="A44" s="686">
        <v>51999</v>
      </c>
      <c r="B44" s="687" t="s">
        <v>160</v>
      </c>
      <c r="C44" s="1010">
        <v>0</v>
      </c>
      <c r="D44" s="1011">
        <v>0</v>
      </c>
      <c r="E44" s="762"/>
      <c r="F44" s="762"/>
      <c r="G44" s="763"/>
      <c r="H44" s="759">
        <f t="shared" ref="H44:H77" si="1">SUM(C44:G44)</f>
        <v>0</v>
      </c>
      <c r="L44" s="19"/>
    </row>
    <row r="45" spans="1:12" x14ac:dyDescent="0.2">
      <c r="A45" s="686"/>
      <c r="B45" s="687"/>
      <c r="C45" s="1010"/>
      <c r="D45" s="1011"/>
      <c r="E45" s="762"/>
      <c r="F45" s="762"/>
      <c r="G45" s="763"/>
      <c r="H45" s="759"/>
      <c r="L45" s="19"/>
    </row>
    <row r="46" spans="1:12" x14ac:dyDescent="0.2">
      <c r="A46" s="681">
        <v>54</v>
      </c>
      <c r="B46" s="682" t="s">
        <v>27</v>
      </c>
      <c r="C46" s="1018">
        <f>C47+C66+C72+C88+C93</f>
        <v>193722.27</v>
      </c>
      <c r="D46" s="1019">
        <f>D47+D66+D72+D88+D93</f>
        <v>90787.45</v>
      </c>
      <c r="E46" s="774"/>
      <c r="F46" s="774"/>
      <c r="G46" s="775"/>
      <c r="H46" s="776">
        <f>SUM(C46:G46)</f>
        <v>284509.71999999997</v>
      </c>
      <c r="I46" s="19">
        <f>'egresos 25% y F.P'!G119</f>
        <v>90787.45</v>
      </c>
      <c r="L46" s="19"/>
    </row>
    <row r="47" spans="1:12" x14ac:dyDescent="0.2">
      <c r="A47" s="681">
        <v>541</v>
      </c>
      <c r="B47" s="682" t="s">
        <v>28</v>
      </c>
      <c r="C47" s="1018">
        <f>SUM(C48:C65)</f>
        <v>17200</v>
      </c>
      <c r="D47" s="1019">
        <f>SUM(D48:D65)</f>
        <v>23275.45</v>
      </c>
      <c r="E47" s="774"/>
      <c r="F47" s="774"/>
      <c r="G47" s="775"/>
      <c r="H47" s="776">
        <f t="shared" si="1"/>
        <v>40475.449999999997</v>
      </c>
      <c r="I47" s="2">
        <f>D47-'egresos 25% y F.P'!G120</f>
        <v>0</v>
      </c>
      <c r="L47" s="19"/>
    </row>
    <row r="48" spans="1:12" x14ac:dyDescent="0.2">
      <c r="A48" s="686">
        <v>54101</v>
      </c>
      <c r="B48" s="687" t="s">
        <v>29</v>
      </c>
      <c r="C48" s="1020">
        <f>'egresos 25% y F.P'!G13</f>
        <v>50</v>
      </c>
      <c r="D48" s="1021">
        <f>'egresos 25% y F.P'!G121</f>
        <v>1100</v>
      </c>
      <c r="E48" s="774"/>
      <c r="F48" s="774"/>
      <c r="G48" s="775"/>
      <c r="H48" s="779">
        <f t="shared" si="1"/>
        <v>1150</v>
      </c>
      <c r="L48" s="19"/>
    </row>
    <row r="49" spans="1:12" x14ac:dyDescent="0.2">
      <c r="A49" s="686">
        <v>54104</v>
      </c>
      <c r="B49" s="687" t="s">
        <v>31</v>
      </c>
      <c r="C49" s="1020">
        <f>'egresos 25% y F.P'!G15</f>
        <v>0</v>
      </c>
      <c r="D49" s="1021">
        <f>'egresos 25% y F.P'!G123</f>
        <v>5000</v>
      </c>
      <c r="E49" s="774"/>
      <c r="F49" s="774"/>
      <c r="G49" s="775"/>
      <c r="H49" s="779">
        <f t="shared" si="1"/>
        <v>5000</v>
      </c>
      <c r="L49" s="19"/>
    </row>
    <row r="50" spans="1:12" x14ac:dyDescent="0.2">
      <c r="A50" s="686">
        <v>54105</v>
      </c>
      <c r="B50" s="687" t="s">
        <v>32</v>
      </c>
      <c r="C50" s="1020">
        <f>'egresos 25% y F.P'!G16</f>
        <v>2500</v>
      </c>
      <c r="D50" s="1021">
        <f>'egresos 25% y F.P'!G124</f>
        <v>1625</v>
      </c>
      <c r="E50" s="774"/>
      <c r="F50" s="774"/>
      <c r="G50" s="775"/>
      <c r="H50" s="779">
        <f t="shared" si="1"/>
        <v>4125</v>
      </c>
      <c r="L50" s="19"/>
    </row>
    <row r="51" spans="1:12" x14ac:dyDescent="0.2">
      <c r="A51" s="686">
        <v>54106</v>
      </c>
      <c r="B51" s="692" t="s">
        <v>634</v>
      </c>
      <c r="C51" s="777">
        <v>0</v>
      </c>
      <c r="D51" s="778">
        <f>'egresos 25% y F.P'!G125</f>
        <v>50</v>
      </c>
      <c r="E51" s="774"/>
      <c r="F51" s="774"/>
      <c r="G51" s="775"/>
      <c r="H51" s="779">
        <f t="shared" si="1"/>
        <v>50</v>
      </c>
      <c r="L51" s="19"/>
    </row>
    <row r="52" spans="1:12" x14ac:dyDescent="0.2">
      <c r="A52" s="686">
        <v>54107</v>
      </c>
      <c r="B52" s="687" t="s">
        <v>34</v>
      </c>
      <c r="C52" s="777">
        <f>'egresos 25% y F.P'!G18</f>
        <v>1100</v>
      </c>
      <c r="D52" s="778">
        <f>'egresos 25% y F.P'!G126</f>
        <v>2000</v>
      </c>
      <c r="E52" s="780"/>
      <c r="F52" s="780"/>
      <c r="G52" s="781"/>
      <c r="H52" s="779">
        <f t="shared" si="1"/>
        <v>3100</v>
      </c>
      <c r="L52" s="19"/>
    </row>
    <row r="53" spans="1:12" hidden="1" x14ac:dyDescent="0.2">
      <c r="A53" s="686">
        <v>54108</v>
      </c>
      <c r="B53" s="687" t="s">
        <v>35</v>
      </c>
      <c r="C53" s="777">
        <v>0</v>
      </c>
      <c r="D53" s="778">
        <v>0</v>
      </c>
      <c r="E53" s="774"/>
      <c r="F53" s="774"/>
      <c r="G53" s="775"/>
      <c r="H53" s="779">
        <f t="shared" si="1"/>
        <v>0</v>
      </c>
      <c r="L53" s="19"/>
    </row>
    <row r="54" spans="1:12" x14ac:dyDescent="0.2">
      <c r="A54" s="686">
        <v>54109</v>
      </c>
      <c r="B54" s="687" t="s">
        <v>36</v>
      </c>
      <c r="C54" s="777">
        <f>'egresos 25% y F.P'!G20</f>
        <v>2200</v>
      </c>
      <c r="D54" s="778">
        <f>'egresos 25% y F.P'!G128</f>
        <v>900</v>
      </c>
      <c r="E54" s="774"/>
      <c r="F54" s="774"/>
      <c r="G54" s="775"/>
      <c r="H54" s="779">
        <f t="shared" si="1"/>
        <v>3100</v>
      </c>
      <c r="L54" s="19"/>
    </row>
    <row r="55" spans="1:12" x14ac:dyDescent="0.2">
      <c r="A55" s="686">
        <v>54110</v>
      </c>
      <c r="B55" s="687" t="s">
        <v>37</v>
      </c>
      <c r="C55" s="777">
        <f>'egresos 25% y F.P'!G21</f>
        <v>3000</v>
      </c>
      <c r="D55" s="778">
        <f>'egresos 25% y F.P'!G129</f>
        <v>4000</v>
      </c>
      <c r="E55" s="774"/>
      <c r="F55" s="774"/>
      <c r="G55" s="775"/>
      <c r="H55" s="779">
        <f t="shared" si="1"/>
        <v>7000</v>
      </c>
      <c r="I55" s="19">
        <f>+H55/12</f>
        <v>583.33333333333337</v>
      </c>
      <c r="L55" s="19"/>
    </row>
    <row r="56" spans="1:12" x14ac:dyDescent="0.2">
      <c r="A56" s="686">
        <v>54111</v>
      </c>
      <c r="B56" s="687" t="s">
        <v>38</v>
      </c>
      <c r="C56" s="777">
        <f>'egresos 25% y F.P'!G22</f>
        <v>0</v>
      </c>
      <c r="D56" s="778">
        <f>'egresos 25% y F.P'!G130</f>
        <v>100</v>
      </c>
      <c r="E56" s="774"/>
      <c r="F56" s="774"/>
      <c r="G56" s="775"/>
      <c r="H56" s="779">
        <f t="shared" si="1"/>
        <v>100</v>
      </c>
      <c r="L56" s="19"/>
    </row>
    <row r="57" spans="1:12" x14ac:dyDescent="0.2">
      <c r="A57" s="686">
        <v>54112</v>
      </c>
      <c r="B57" s="687" t="s">
        <v>39</v>
      </c>
      <c r="C57" s="777">
        <f>'egresos 25% y F.P'!G23</f>
        <v>0</v>
      </c>
      <c r="D57" s="778">
        <f>'egresos 25% y F.P'!G131</f>
        <v>100</v>
      </c>
      <c r="E57" s="780"/>
      <c r="F57" s="780"/>
      <c r="G57" s="781"/>
      <c r="H57" s="779">
        <f t="shared" si="1"/>
        <v>100</v>
      </c>
      <c r="L57" s="19"/>
    </row>
    <row r="58" spans="1:12" x14ac:dyDescent="0.2">
      <c r="A58" s="686">
        <v>54114</v>
      </c>
      <c r="B58" s="687" t="s">
        <v>40</v>
      </c>
      <c r="C58" s="777">
        <f>'egresos 25% y F.P'!G24</f>
        <v>1000</v>
      </c>
      <c r="D58" s="778">
        <f>'egresos 25% y F.P'!G132</f>
        <v>650</v>
      </c>
      <c r="E58" s="774"/>
      <c r="F58" s="774"/>
      <c r="G58" s="775"/>
      <c r="H58" s="779">
        <f t="shared" si="1"/>
        <v>1650</v>
      </c>
      <c r="L58" s="19"/>
    </row>
    <row r="59" spans="1:12" x14ac:dyDescent="0.2">
      <c r="A59" s="686">
        <v>54115</v>
      </c>
      <c r="B59" s="687" t="s">
        <v>41</v>
      </c>
      <c r="C59" s="777">
        <f>'egresos 25% y F.P'!G25</f>
        <v>1050</v>
      </c>
      <c r="D59" s="778">
        <f>'egresos 25% y F.P'!G133</f>
        <v>1725</v>
      </c>
      <c r="E59" s="774"/>
      <c r="F59" s="774"/>
      <c r="G59" s="775"/>
      <c r="H59" s="779">
        <f t="shared" si="1"/>
        <v>2775</v>
      </c>
      <c r="L59" s="19"/>
    </row>
    <row r="60" spans="1:12" ht="22.5" hidden="1" x14ac:dyDescent="0.2">
      <c r="A60" s="686">
        <v>54116</v>
      </c>
      <c r="B60" s="782" t="s">
        <v>42</v>
      </c>
      <c r="C60" s="777">
        <f>'egresos 25% y F.P'!G26</f>
        <v>100</v>
      </c>
      <c r="D60" s="778">
        <f>'egresos 25% y F.P'!G134</f>
        <v>200</v>
      </c>
      <c r="E60" s="774"/>
      <c r="F60" s="774"/>
      <c r="G60" s="775"/>
      <c r="H60" s="779">
        <f t="shared" si="1"/>
        <v>300</v>
      </c>
      <c r="L60" s="19"/>
    </row>
    <row r="61" spans="1:12" ht="22.5" hidden="1" x14ac:dyDescent="0.2">
      <c r="A61" s="686">
        <v>54117</v>
      </c>
      <c r="B61" s="782" t="s">
        <v>43</v>
      </c>
      <c r="C61" s="777"/>
      <c r="D61" s="778"/>
      <c r="E61" s="774"/>
      <c r="F61" s="774"/>
      <c r="G61" s="775"/>
      <c r="H61" s="779">
        <f t="shared" si="1"/>
        <v>0</v>
      </c>
      <c r="L61" s="19"/>
    </row>
    <row r="62" spans="1:12" x14ac:dyDescent="0.2">
      <c r="A62" s="686">
        <v>54118</v>
      </c>
      <c r="B62" s="687" t="s">
        <v>44</v>
      </c>
      <c r="C62" s="777">
        <f>'egresos 25% y F.P'!G28</f>
        <v>1100</v>
      </c>
      <c r="D62" s="778">
        <f>'egresos 25% y F.P'!G136</f>
        <v>2600</v>
      </c>
      <c r="E62" s="774"/>
      <c r="F62" s="774"/>
      <c r="G62" s="775"/>
      <c r="H62" s="779">
        <f t="shared" si="1"/>
        <v>3700</v>
      </c>
      <c r="L62" s="19"/>
    </row>
    <row r="63" spans="1:12" x14ac:dyDescent="0.2">
      <c r="A63" s="686">
        <v>54119</v>
      </c>
      <c r="B63" s="687" t="s">
        <v>45</v>
      </c>
      <c r="C63" s="777">
        <f>'egresos 25% y F.P'!G29</f>
        <v>200</v>
      </c>
      <c r="D63" s="778">
        <f>'egresos 25% y F.P'!G137</f>
        <v>125</v>
      </c>
      <c r="E63" s="774"/>
      <c r="F63" s="774"/>
      <c r="G63" s="775"/>
      <c r="H63" s="779">
        <f t="shared" si="1"/>
        <v>325</v>
      </c>
      <c r="L63" s="19"/>
    </row>
    <row r="64" spans="1:12" x14ac:dyDescent="0.2">
      <c r="A64" s="686">
        <v>54121</v>
      </c>
      <c r="B64" s="687" t="s">
        <v>46</v>
      </c>
      <c r="C64" s="777">
        <f>'egresos 25% y F.P'!G30</f>
        <v>3650</v>
      </c>
      <c r="D64" s="778">
        <v>0</v>
      </c>
      <c r="E64" s="774"/>
      <c r="F64" s="774"/>
      <c r="G64" s="775"/>
      <c r="H64" s="779">
        <f t="shared" si="1"/>
        <v>3650</v>
      </c>
      <c r="L64" s="19"/>
    </row>
    <row r="65" spans="1:12" x14ac:dyDescent="0.2">
      <c r="A65" s="686">
        <v>54199</v>
      </c>
      <c r="B65" s="687" t="s">
        <v>47</v>
      </c>
      <c r="C65" s="777">
        <f>'egresos 25% y F.P'!G31</f>
        <v>1250</v>
      </c>
      <c r="D65" s="778">
        <f>'egresos 25% y F.P'!G139</f>
        <v>3100.45</v>
      </c>
      <c r="E65" s="774"/>
      <c r="F65" s="774"/>
      <c r="G65" s="775"/>
      <c r="H65" s="779">
        <f t="shared" si="1"/>
        <v>4350.45</v>
      </c>
      <c r="L65" s="19"/>
    </row>
    <row r="66" spans="1:12" x14ac:dyDescent="0.2">
      <c r="A66" s="681">
        <v>542</v>
      </c>
      <c r="B66" s="682" t="s">
        <v>48</v>
      </c>
      <c r="C66" s="772">
        <f>SUM(C67:C71)</f>
        <v>170972.27</v>
      </c>
      <c r="D66" s="773">
        <f>SUM(D67:D71)</f>
        <v>41712</v>
      </c>
      <c r="E66" s="774"/>
      <c r="F66" s="774"/>
      <c r="G66" s="775"/>
      <c r="H66" s="776">
        <f t="shared" si="1"/>
        <v>212684.27</v>
      </c>
      <c r="L66" s="19"/>
    </row>
    <row r="67" spans="1:12" x14ac:dyDescent="0.2">
      <c r="A67" s="686">
        <v>54201</v>
      </c>
      <c r="B67" s="687" t="s">
        <v>49</v>
      </c>
      <c r="C67" s="777">
        <f>'egresos 25% y F.P'!G33</f>
        <v>143872</v>
      </c>
      <c r="D67" s="778">
        <f>'egresos 25% y F.P'!G141</f>
        <v>23232.999999999996</v>
      </c>
      <c r="E67" s="774"/>
      <c r="F67" s="774"/>
      <c r="G67" s="775"/>
      <c r="H67" s="779">
        <f t="shared" si="1"/>
        <v>167105</v>
      </c>
      <c r="L67" s="19"/>
    </row>
    <row r="68" spans="1:12" x14ac:dyDescent="0.2">
      <c r="A68" s="686">
        <v>54202</v>
      </c>
      <c r="B68" s="687" t="s">
        <v>50</v>
      </c>
      <c r="C68" s="777">
        <f>'egresos 25% y F.P'!G34</f>
        <v>1717.5</v>
      </c>
      <c r="D68" s="778">
        <f>'egresos 25% y F.P'!G142</f>
        <v>1379</v>
      </c>
      <c r="E68" s="774"/>
      <c r="F68" s="774"/>
      <c r="G68" s="775"/>
      <c r="H68" s="779">
        <f t="shared" si="1"/>
        <v>3096.5</v>
      </c>
      <c r="L68" s="19"/>
    </row>
    <row r="69" spans="1:12" x14ac:dyDescent="0.2">
      <c r="A69" s="686">
        <v>54203</v>
      </c>
      <c r="B69" s="687" t="s">
        <v>51</v>
      </c>
      <c r="C69" s="777">
        <f>'egresos 25% y F.P'!G35</f>
        <v>6000</v>
      </c>
      <c r="D69" s="778">
        <f>'egresos 25% y F.P'!G143</f>
        <v>5100</v>
      </c>
      <c r="E69" s="774"/>
      <c r="F69" s="774"/>
      <c r="G69" s="775"/>
      <c r="H69" s="779">
        <f t="shared" si="1"/>
        <v>11100</v>
      </c>
      <c r="L69" s="19"/>
    </row>
    <row r="70" spans="1:12" hidden="1" x14ac:dyDescent="0.2">
      <c r="A70" s="686">
        <v>54204</v>
      </c>
      <c r="B70" s="687" t="s">
        <v>52</v>
      </c>
      <c r="C70" s="777"/>
      <c r="D70" s="778"/>
      <c r="E70" s="774"/>
      <c r="F70" s="774"/>
      <c r="G70" s="775"/>
      <c r="H70" s="779">
        <f t="shared" si="1"/>
        <v>0</v>
      </c>
      <c r="L70" s="19"/>
    </row>
    <row r="71" spans="1:12" x14ac:dyDescent="0.2">
      <c r="A71" s="686">
        <v>54205</v>
      </c>
      <c r="B71" s="687" t="s">
        <v>53</v>
      </c>
      <c r="C71" s="777">
        <f>'egresos 25% y F.P'!G37</f>
        <v>19382.77</v>
      </c>
      <c r="D71" s="778">
        <f>'egresos 25% y F.P'!G145</f>
        <v>12000</v>
      </c>
      <c r="E71" s="780"/>
      <c r="F71" s="780"/>
      <c r="G71" s="781"/>
      <c r="H71" s="779">
        <f t="shared" si="1"/>
        <v>31382.77</v>
      </c>
      <c r="L71" s="19"/>
    </row>
    <row r="72" spans="1:12" x14ac:dyDescent="0.2">
      <c r="A72" s="702">
        <v>543</v>
      </c>
      <c r="B72" s="703" t="s">
        <v>54</v>
      </c>
      <c r="C72" s="783">
        <f>SUM(C73:C87)</f>
        <v>5550</v>
      </c>
      <c r="D72" s="784">
        <f>SUM(D73:D87)</f>
        <v>21100</v>
      </c>
      <c r="E72" s="785"/>
      <c r="F72" s="785"/>
      <c r="G72" s="786"/>
      <c r="H72" s="787">
        <f t="shared" si="1"/>
        <v>26650</v>
      </c>
      <c r="I72" s="19">
        <f>D72-'egresos 25% y F.P'!G146</f>
        <v>0</v>
      </c>
      <c r="L72" s="19"/>
    </row>
    <row r="73" spans="1:12" ht="22.5" x14ac:dyDescent="0.2">
      <c r="A73" s="788">
        <v>54301</v>
      </c>
      <c r="B73" s="782" t="s">
        <v>55</v>
      </c>
      <c r="C73" s="769">
        <f>'egresos 25% y F.P'!G39</f>
        <v>1050</v>
      </c>
      <c r="D73" s="770">
        <f>'egresos 25% y F.P'!G147</f>
        <v>1500</v>
      </c>
      <c r="E73" s="789"/>
      <c r="F73" s="789"/>
      <c r="G73" s="790"/>
      <c r="H73" s="791">
        <f t="shared" si="1"/>
        <v>2550</v>
      </c>
      <c r="L73" s="19"/>
    </row>
    <row r="74" spans="1:12" ht="22.5" x14ac:dyDescent="0.2">
      <c r="A74" s="788">
        <v>54302</v>
      </c>
      <c r="B74" s="782" t="s">
        <v>56</v>
      </c>
      <c r="C74" s="769">
        <f>'egresos 25% y F.P'!G40</f>
        <v>3000</v>
      </c>
      <c r="D74" s="770">
        <f>'egresos 25% y F.P'!G148</f>
        <v>1000</v>
      </c>
      <c r="E74" s="789"/>
      <c r="F74" s="789"/>
      <c r="G74" s="790"/>
      <c r="H74" s="791">
        <f t="shared" si="1"/>
        <v>4000</v>
      </c>
      <c r="L74" s="19"/>
    </row>
    <row r="75" spans="1:12" ht="22.5" hidden="1" x14ac:dyDescent="0.2">
      <c r="A75" s="686">
        <v>54303</v>
      </c>
      <c r="B75" s="782" t="s">
        <v>57</v>
      </c>
      <c r="C75" s="777">
        <f>'egresos 25% y F.P'!G41</f>
        <v>0</v>
      </c>
      <c r="D75" s="778">
        <f>'egresos 25% y F.P'!G149</f>
        <v>0</v>
      </c>
      <c r="E75" s="774"/>
      <c r="F75" s="774"/>
      <c r="G75" s="775"/>
      <c r="H75" s="779">
        <f t="shared" si="1"/>
        <v>0</v>
      </c>
      <c r="L75" s="19"/>
    </row>
    <row r="76" spans="1:12" x14ac:dyDescent="0.2">
      <c r="A76" s="686">
        <v>54304</v>
      </c>
      <c r="B76" s="687" t="s">
        <v>58</v>
      </c>
      <c r="C76" s="777">
        <f>'egresos 25% y F.P'!G42</f>
        <v>0</v>
      </c>
      <c r="D76" s="778">
        <f>'egresos 25% y F.P'!G150</f>
        <v>1900</v>
      </c>
      <c r="E76" s="774"/>
      <c r="F76" s="774"/>
      <c r="G76" s="775"/>
      <c r="H76" s="779">
        <f t="shared" si="1"/>
        <v>1900</v>
      </c>
      <c r="L76" s="19"/>
    </row>
    <row r="77" spans="1:12" x14ac:dyDescent="0.2">
      <c r="A77" s="686">
        <v>54305</v>
      </c>
      <c r="B77" s="687" t="s">
        <v>59</v>
      </c>
      <c r="C77" s="777">
        <f>'egresos 25% y F.P'!G43</f>
        <v>0</v>
      </c>
      <c r="D77" s="778"/>
      <c r="E77" s="774"/>
      <c r="F77" s="774"/>
      <c r="G77" s="775"/>
      <c r="H77" s="779">
        <f t="shared" si="1"/>
        <v>0</v>
      </c>
      <c r="L77" s="19"/>
    </row>
    <row r="78" spans="1:12" hidden="1" x14ac:dyDescent="0.2">
      <c r="A78" s="686">
        <v>54306</v>
      </c>
      <c r="B78" s="687" t="s">
        <v>60</v>
      </c>
      <c r="C78" s="777"/>
      <c r="D78" s="778"/>
      <c r="E78" s="774"/>
      <c r="F78" s="774"/>
      <c r="G78" s="775"/>
      <c r="H78" s="779">
        <f t="shared" ref="H78:H83" si="2">SUM(C78:G78)</f>
        <v>0</v>
      </c>
      <c r="L78" s="19"/>
    </row>
    <row r="79" spans="1:12" x14ac:dyDescent="0.2">
      <c r="A79" s="686">
        <v>54307</v>
      </c>
      <c r="B79" s="687" t="s">
        <v>61</v>
      </c>
      <c r="C79" s="777">
        <f>'egresos 25% y F.P'!G45</f>
        <v>1200</v>
      </c>
      <c r="D79" s="778">
        <f>'egresos 25% y F.P'!G158</f>
        <v>0</v>
      </c>
      <c r="E79" s="780"/>
      <c r="F79" s="780"/>
      <c r="G79" s="781"/>
      <c r="H79" s="779">
        <f t="shared" si="2"/>
        <v>1200</v>
      </c>
      <c r="L79" s="19"/>
    </row>
    <row r="80" spans="1:12" hidden="1" x14ac:dyDescent="0.2">
      <c r="A80" s="686">
        <v>54309</v>
      </c>
      <c r="B80" s="687" t="s">
        <v>62</v>
      </c>
      <c r="C80" s="777"/>
      <c r="D80" s="778">
        <f>'egresos 25% y F.P'!G154</f>
        <v>0</v>
      </c>
      <c r="E80" s="780"/>
      <c r="F80" s="780"/>
      <c r="G80" s="781"/>
      <c r="H80" s="779">
        <f t="shared" si="2"/>
        <v>0</v>
      </c>
      <c r="L80" s="19"/>
    </row>
    <row r="81" spans="1:12" hidden="1" x14ac:dyDescent="0.2">
      <c r="A81" s="686">
        <v>54310</v>
      </c>
      <c r="B81" s="687" t="s">
        <v>63</v>
      </c>
      <c r="C81" s="777"/>
      <c r="D81" s="778">
        <f>'egresos 25% y F.P'!G155</f>
        <v>0</v>
      </c>
      <c r="E81" s="774"/>
      <c r="F81" s="774"/>
      <c r="G81" s="775"/>
      <c r="H81" s="779">
        <f t="shared" si="2"/>
        <v>0</v>
      </c>
      <c r="L81" s="19"/>
    </row>
    <row r="82" spans="1:12" hidden="1" x14ac:dyDescent="0.2">
      <c r="A82" s="686">
        <v>54311</v>
      </c>
      <c r="B82" s="687" t="s">
        <v>64</v>
      </c>
      <c r="C82" s="777"/>
      <c r="D82" s="778">
        <f>'egresos 25% y F.P'!G156</f>
        <v>0</v>
      </c>
      <c r="E82" s="774"/>
      <c r="F82" s="774"/>
      <c r="G82" s="775"/>
      <c r="H82" s="779">
        <f t="shared" si="2"/>
        <v>0</v>
      </c>
      <c r="L82" s="19"/>
    </row>
    <row r="83" spans="1:12" ht="22.5" x14ac:dyDescent="0.2">
      <c r="A83" s="686">
        <v>54313</v>
      </c>
      <c r="B83" s="782" t="s">
        <v>65</v>
      </c>
      <c r="C83" s="777"/>
      <c r="D83" s="778">
        <f>'egresos 25% y F.P'!G157</f>
        <v>200</v>
      </c>
      <c r="E83" s="780"/>
      <c r="F83" s="780"/>
      <c r="G83" s="781"/>
      <c r="H83" s="779">
        <f t="shared" si="2"/>
        <v>200</v>
      </c>
      <c r="L83" s="19"/>
    </row>
    <row r="84" spans="1:12" x14ac:dyDescent="0.2">
      <c r="A84" s="686">
        <v>54314</v>
      </c>
      <c r="B84" s="687" t="s">
        <v>66</v>
      </c>
      <c r="C84" s="777">
        <f>'egresos 25% y F.P'!G50</f>
        <v>100</v>
      </c>
      <c r="D84" s="778">
        <f>'egresos 25% y F.P'!G159</f>
        <v>10000</v>
      </c>
      <c r="E84" s="774"/>
      <c r="F84" s="774"/>
      <c r="G84" s="775"/>
      <c r="H84" s="779">
        <f>+C84+D84</f>
        <v>10100</v>
      </c>
      <c r="L84" s="19"/>
    </row>
    <row r="85" spans="1:12" hidden="1" x14ac:dyDescent="0.2">
      <c r="A85" s="686">
        <v>54316</v>
      </c>
      <c r="B85" s="687" t="s">
        <v>67</v>
      </c>
      <c r="C85" s="777">
        <f>'egresos 25% y F.P'!G51</f>
        <v>0</v>
      </c>
      <c r="D85" s="778"/>
      <c r="E85" s="774"/>
      <c r="F85" s="774"/>
      <c r="G85" s="775"/>
      <c r="H85" s="779">
        <f t="shared" ref="H85:H106" si="3">SUM(C85:G85)</f>
        <v>0</v>
      </c>
      <c r="L85" s="19"/>
    </row>
    <row r="86" spans="1:12" x14ac:dyDescent="0.2">
      <c r="A86" s="686">
        <v>54317</v>
      </c>
      <c r="B86" s="687" t="s">
        <v>68</v>
      </c>
      <c r="C86" s="777">
        <f>'egresos 25% y F.P'!G52</f>
        <v>0</v>
      </c>
      <c r="D86" s="778">
        <f>'egresos 25% y F.P'!F161</f>
        <v>4500</v>
      </c>
      <c r="E86" s="780"/>
      <c r="F86" s="780"/>
      <c r="G86" s="781"/>
      <c r="H86" s="779">
        <f t="shared" si="3"/>
        <v>4500</v>
      </c>
      <c r="L86" s="19"/>
    </row>
    <row r="87" spans="1:12" ht="22.5" x14ac:dyDescent="0.2">
      <c r="A87" s="686">
        <v>54399</v>
      </c>
      <c r="B87" s="782" t="s">
        <v>69</v>
      </c>
      <c r="C87" s="777">
        <f>'egresos 25% y F.P'!G53</f>
        <v>200</v>
      </c>
      <c r="D87" s="778">
        <f>'egresos 25% y F.P'!G162</f>
        <v>2000</v>
      </c>
      <c r="E87" s="780"/>
      <c r="F87" s="780"/>
      <c r="G87" s="781"/>
      <c r="H87" s="779">
        <f t="shared" si="3"/>
        <v>2200</v>
      </c>
      <c r="L87" s="19"/>
    </row>
    <row r="88" spans="1:12" x14ac:dyDescent="0.2">
      <c r="A88" s="681">
        <v>544</v>
      </c>
      <c r="B88" s="682" t="s">
        <v>70</v>
      </c>
      <c r="C88" s="772">
        <f>SUM(C89:C92)</f>
        <v>0</v>
      </c>
      <c r="D88" s="773">
        <f>SUM(D89:D92)</f>
        <v>4700</v>
      </c>
      <c r="E88" s="774"/>
      <c r="F88" s="774"/>
      <c r="G88" s="775"/>
      <c r="H88" s="776">
        <f t="shared" si="3"/>
        <v>4700</v>
      </c>
      <c r="I88" s="19">
        <f>D88-'egresos 25% y F.P'!G163</f>
        <v>0</v>
      </c>
      <c r="L88" s="19"/>
    </row>
    <row r="89" spans="1:12" x14ac:dyDescent="0.2">
      <c r="A89" s="686">
        <v>54401</v>
      </c>
      <c r="B89" s="687" t="s">
        <v>71</v>
      </c>
      <c r="C89" s="777">
        <f>'egresos 25% y F.P'!G55</f>
        <v>0</v>
      </c>
      <c r="D89" s="778">
        <f>'egresos 25% y F.P'!G164</f>
        <v>250</v>
      </c>
      <c r="E89" s="774"/>
      <c r="F89" s="774"/>
      <c r="G89" s="775"/>
      <c r="H89" s="779">
        <f t="shared" si="3"/>
        <v>250</v>
      </c>
      <c r="L89" s="19"/>
    </row>
    <row r="90" spans="1:12" x14ac:dyDescent="0.2">
      <c r="A90" s="686">
        <v>54402</v>
      </c>
      <c r="B90" s="687" t="s">
        <v>72</v>
      </c>
      <c r="C90" s="777">
        <f>'egresos 25% y F.P'!G56</f>
        <v>0</v>
      </c>
      <c r="D90" s="778">
        <f>'egresos 25% y F.P'!G165</f>
        <v>0</v>
      </c>
      <c r="E90" s="774"/>
      <c r="F90" s="774"/>
      <c r="G90" s="775"/>
      <c r="H90" s="779">
        <f t="shared" si="3"/>
        <v>0</v>
      </c>
      <c r="L90" s="19"/>
    </row>
    <row r="91" spans="1:12" x14ac:dyDescent="0.2">
      <c r="A91" s="686">
        <v>54403</v>
      </c>
      <c r="B91" s="687" t="s">
        <v>73</v>
      </c>
      <c r="C91" s="777">
        <f>'egresos 25% y F.P'!G57</f>
        <v>0</v>
      </c>
      <c r="D91" s="778">
        <f>'egresos 25% y F.P'!G166</f>
        <v>450</v>
      </c>
      <c r="E91" s="774"/>
      <c r="F91" s="774"/>
      <c r="G91" s="775"/>
      <c r="H91" s="779">
        <f t="shared" si="3"/>
        <v>450</v>
      </c>
      <c r="L91" s="19"/>
    </row>
    <row r="92" spans="1:12" x14ac:dyDescent="0.2">
      <c r="A92" s="686">
        <v>54404</v>
      </c>
      <c r="B92" s="687" t="s">
        <v>74</v>
      </c>
      <c r="C92" s="777">
        <f>'egresos 25% y F.P'!G58</f>
        <v>0</v>
      </c>
      <c r="D92" s="778">
        <f>'egresos 25% y F.P'!G167</f>
        <v>4000</v>
      </c>
      <c r="E92" s="774"/>
      <c r="F92" s="774"/>
      <c r="G92" s="775"/>
      <c r="H92" s="779">
        <f t="shared" si="3"/>
        <v>4000</v>
      </c>
      <c r="L92" s="19"/>
    </row>
    <row r="93" spans="1:12" ht="22.5" x14ac:dyDescent="0.2">
      <c r="A93" s="681">
        <v>545</v>
      </c>
      <c r="B93" s="767" t="s">
        <v>75</v>
      </c>
      <c r="C93" s="772">
        <f>SUM(C94:C100)</f>
        <v>0</v>
      </c>
      <c r="D93" s="773">
        <f>SUM(D94:D100)</f>
        <v>0</v>
      </c>
      <c r="E93" s="780"/>
      <c r="F93" s="780"/>
      <c r="G93" s="781"/>
      <c r="H93" s="776">
        <f t="shared" si="3"/>
        <v>0</v>
      </c>
      <c r="L93" s="19"/>
    </row>
    <row r="94" spans="1:12" hidden="1" x14ac:dyDescent="0.2">
      <c r="A94" s="686">
        <v>54501</v>
      </c>
      <c r="B94" s="687" t="s">
        <v>76</v>
      </c>
      <c r="C94" s="777"/>
      <c r="D94" s="778"/>
      <c r="E94" s="780"/>
      <c r="F94" s="780"/>
      <c r="G94" s="781"/>
      <c r="H94" s="779">
        <f t="shared" si="3"/>
        <v>0</v>
      </c>
      <c r="L94" s="19"/>
    </row>
    <row r="95" spans="1:12" x14ac:dyDescent="0.2">
      <c r="A95" s="686">
        <v>54503</v>
      </c>
      <c r="B95" s="687" t="s">
        <v>77</v>
      </c>
      <c r="C95" s="777">
        <f>+'egresos 25% y F.P'!C61</f>
        <v>0</v>
      </c>
      <c r="D95" s="778">
        <f>+'egresos 25% y F.P'!G170</f>
        <v>0</v>
      </c>
      <c r="E95" s="774"/>
      <c r="F95" s="774"/>
      <c r="G95" s="775"/>
      <c r="H95" s="779">
        <f t="shared" si="3"/>
        <v>0</v>
      </c>
      <c r="L95" s="19"/>
    </row>
    <row r="96" spans="1:12" hidden="1" x14ac:dyDescent="0.2">
      <c r="A96" s="686">
        <v>54504</v>
      </c>
      <c r="B96" s="687" t="s">
        <v>78</v>
      </c>
      <c r="C96" s="777"/>
      <c r="D96" s="778"/>
      <c r="E96" s="774"/>
      <c r="F96" s="774"/>
      <c r="G96" s="775"/>
      <c r="H96" s="779">
        <f t="shared" si="3"/>
        <v>0</v>
      </c>
      <c r="L96" s="19"/>
    </row>
    <row r="97" spans="1:12" hidden="1" x14ac:dyDescent="0.2">
      <c r="A97" s="686">
        <v>54505</v>
      </c>
      <c r="B97" s="687" t="s">
        <v>79</v>
      </c>
      <c r="C97" s="777"/>
      <c r="D97" s="778"/>
      <c r="E97" s="780"/>
      <c r="F97" s="780"/>
      <c r="G97" s="781"/>
      <c r="H97" s="779">
        <f t="shared" si="3"/>
        <v>0</v>
      </c>
      <c r="L97" s="19"/>
    </row>
    <row r="98" spans="1:12" hidden="1" x14ac:dyDescent="0.2">
      <c r="A98" s="686">
        <v>54507</v>
      </c>
      <c r="B98" s="687" t="s">
        <v>80</v>
      </c>
      <c r="C98" s="777"/>
      <c r="D98" s="778"/>
      <c r="E98" s="780"/>
      <c r="F98" s="780"/>
      <c r="G98" s="781"/>
      <c r="H98" s="779">
        <f t="shared" si="3"/>
        <v>0</v>
      </c>
      <c r="L98" s="19"/>
    </row>
    <row r="99" spans="1:12" hidden="1" x14ac:dyDescent="0.2">
      <c r="A99" s="686">
        <v>54508</v>
      </c>
      <c r="B99" s="687" t="s">
        <v>81</v>
      </c>
      <c r="C99" s="777"/>
      <c r="D99" s="778"/>
      <c r="E99" s="774"/>
      <c r="F99" s="774"/>
      <c r="G99" s="775"/>
      <c r="H99" s="779">
        <f t="shared" si="3"/>
        <v>0</v>
      </c>
      <c r="L99" s="19"/>
    </row>
    <row r="100" spans="1:12" ht="22.5" hidden="1" x14ac:dyDescent="0.2">
      <c r="A100" s="686">
        <v>54599</v>
      </c>
      <c r="B100" s="782" t="s">
        <v>82</v>
      </c>
      <c r="C100" s="777"/>
      <c r="D100" s="778"/>
      <c r="E100" s="792"/>
      <c r="F100" s="792"/>
      <c r="G100" s="793"/>
      <c r="H100" s="779">
        <f t="shared" si="3"/>
        <v>0</v>
      </c>
      <c r="L100" s="19"/>
    </row>
    <row r="101" spans="1:12" x14ac:dyDescent="0.2">
      <c r="A101" s="686"/>
      <c r="B101" s="782"/>
      <c r="C101" s="794"/>
      <c r="D101" s="778"/>
      <c r="E101" s="792"/>
      <c r="F101" s="792"/>
      <c r="G101" s="793"/>
      <c r="H101" s="779"/>
      <c r="L101" s="19"/>
    </row>
    <row r="102" spans="1:12" x14ac:dyDescent="0.2">
      <c r="A102" s="681">
        <v>55</v>
      </c>
      <c r="B102" s="682" t="s">
        <v>83</v>
      </c>
      <c r="C102" s="795">
        <f>C109+C107</f>
        <v>4270.01</v>
      </c>
      <c r="D102" s="773">
        <f>D109+D107</f>
        <v>1106.0500000000002</v>
      </c>
      <c r="E102" s="796"/>
      <c r="F102" s="796"/>
      <c r="G102" s="797"/>
      <c r="H102" s="776">
        <f t="shared" si="3"/>
        <v>5376.06</v>
      </c>
      <c r="I102" s="19">
        <f>D102-'egresos 25% y F.P'!G177</f>
        <v>0</v>
      </c>
      <c r="L102" s="19"/>
    </row>
    <row r="103" spans="1:12" ht="22.5" hidden="1" x14ac:dyDescent="0.2">
      <c r="A103" s="681">
        <v>553</v>
      </c>
      <c r="B103" s="767" t="s">
        <v>84</v>
      </c>
      <c r="C103" s="795">
        <f>SUM(C104:C106)</f>
        <v>0</v>
      </c>
      <c r="D103" s="773">
        <f>SUM(D104:D106)</f>
        <v>0</v>
      </c>
      <c r="E103" s="796"/>
      <c r="F103" s="796"/>
      <c r="G103" s="797"/>
      <c r="H103" s="776">
        <f t="shared" si="3"/>
        <v>0</v>
      </c>
      <c r="L103" s="19"/>
    </row>
    <row r="104" spans="1:12" hidden="1" x14ac:dyDescent="0.2">
      <c r="A104" s="686">
        <v>55303</v>
      </c>
      <c r="B104" s="687" t="s">
        <v>85</v>
      </c>
      <c r="C104" s="794"/>
      <c r="D104" s="778"/>
      <c r="E104" s="796"/>
      <c r="F104" s="796"/>
      <c r="G104" s="797"/>
      <c r="H104" s="779">
        <f t="shared" si="3"/>
        <v>0</v>
      </c>
      <c r="L104" s="19"/>
    </row>
    <row r="105" spans="1:12" hidden="1" x14ac:dyDescent="0.2">
      <c r="A105" s="686">
        <v>55304</v>
      </c>
      <c r="B105" s="687" t="s">
        <v>86</v>
      </c>
      <c r="C105" s="794"/>
      <c r="D105" s="778"/>
      <c r="E105" s="796"/>
      <c r="F105" s="796"/>
      <c r="G105" s="797"/>
      <c r="H105" s="779">
        <f t="shared" si="3"/>
        <v>0</v>
      </c>
      <c r="L105" s="19"/>
    </row>
    <row r="106" spans="1:12" hidden="1" x14ac:dyDescent="0.2">
      <c r="A106" s="686">
        <v>55308</v>
      </c>
      <c r="B106" s="687" t="s">
        <v>87</v>
      </c>
      <c r="C106" s="794"/>
      <c r="D106" s="778"/>
      <c r="E106" s="796"/>
      <c r="F106" s="796"/>
      <c r="G106" s="797"/>
      <c r="H106" s="779">
        <f t="shared" si="3"/>
        <v>0</v>
      </c>
      <c r="L106" s="19"/>
    </row>
    <row r="107" spans="1:12" s="59" customFormat="1" x14ac:dyDescent="0.2">
      <c r="A107" s="681">
        <v>555</v>
      </c>
      <c r="B107" s="682" t="s">
        <v>486</v>
      </c>
      <c r="C107" s="795">
        <f>C108</f>
        <v>170.01</v>
      </c>
      <c r="D107" s="773">
        <f>D108</f>
        <v>148.87</v>
      </c>
      <c r="E107" s="796">
        <f>E108</f>
        <v>0</v>
      </c>
      <c r="F107" s="796">
        <f>F108</f>
        <v>0</v>
      </c>
      <c r="G107" s="797">
        <f>+C107+D107+E107+F107</f>
        <v>318.88</v>
      </c>
      <c r="H107" s="776">
        <f>SUM(C107:C107)</f>
        <v>170.01</v>
      </c>
      <c r="I107" s="429"/>
      <c r="J107" s="429"/>
      <c r="K107" s="429"/>
      <c r="L107" s="19"/>
    </row>
    <row r="108" spans="1:12" x14ac:dyDescent="0.2">
      <c r="A108" s="686">
        <v>55508</v>
      </c>
      <c r="B108" s="687" t="s">
        <v>338</v>
      </c>
      <c r="C108" s="777">
        <f>+'egresos 25% y F.P'!G74</f>
        <v>170.01</v>
      </c>
      <c r="D108" s="798">
        <f>+'egresos 25% y F.P'!G183</f>
        <v>148.87</v>
      </c>
      <c r="E108" s="796"/>
      <c r="F108" s="796"/>
      <c r="G108" s="797">
        <f>+C108+D108+E108+F108</f>
        <v>318.88</v>
      </c>
      <c r="H108" s="779">
        <f>SUM(C108:C108)</f>
        <v>170.01</v>
      </c>
      <c r="L108" s="19"/>
    </row>
    <row r="109" spans="1:12" x14ac:dyDescent="0.2">
      <c r="A109" s="681">
        <v>556</v>
      </c>
      <c r="B109" s="682" t="s">
        <v>88</v>
      </c>
      <c r="C109" s="772">
        <f>SUM(C110:C112)</f>
        <v>4100</v>
      </c>
      <c r="D109" s="773">
        <f>SUM(D110:D112)</f>
        <v>957.18000000000006</v>
      </c>
      <c r="E109" s="796"/>
      <c r="F109" s="796"/>
      <c r="G109" s="797"/>
      <c r="H109" s="776">
        <f t="shared" ref="H109:H116" si="4">SUM(C109:G109)</f>
        <v>5057.18</v>
      </c>
      <c r="L109" s="19"/>
    </row>
    <row r="110" spans="1:12" x14ac:dyDescent="0.2">
      <c r="A110" s="686">
        <v>55601</v>
      </c>
      <c r="B110" s="687" t="s">
        <v>89</v>
      </c>
      <c r="C110" s="777">
        <f>'egresos 25% y F.P'!G76</f>
        <v>50</v>
      </c>
      <c r="D110" s="778">
        <f>'egresos 25% y F.P'!G185</f>
        <v>0</v>
      </c>
      <c r="E110" s="796"/>
      <c r="F110" s="796"/>
      <c r="G110" s="797"/>
      <c r="H110" s="779">
        <f t="shared" si="4"/>
        <v>50</v>
      </c>
      <c r="L110" s="19"/>
    </row>
    <row r="111" spans="1:12" x14ac:dyDescent="0.2">
      <c r="A111" s="686">
        <v>55602</v>
      </c>
      <c r="B111" s="687" t="s">
        <v>90</v>
      </c>
      <c r="C111" s="777">
        <f>'egresos 25% y F.P'!G77</f>
        <v>4000</v>
      </c>
      <c r="D111" s="778">
        <f>'egresos 25% y F.P'!G186</f>
        <v>700</v>
      </c>
      <c r="E111" s="796"/>
      <c r="F111" s="796"/>
      <c r="G111" s="797"/>
      <c r="H111" s="779">
        <f t="shared" si="4"/>
        <v>4700</v>
      </c>
      <c r="L111" s="19"/>
    </row>
    <row r="112" spans="1:12" x14ac:dyDescent="0.2">
      <c r="A112" s="686">
        <v>55603</v>
      </c>
      <c r="B112" s="687" t="s">
        <v>91</v>
      </c>
      <c r="C112" s="777">
        <f>+'egresos 25% y F.P'!G78</f>
        <v>50</v>
      </c>
      <c r="D112" s="778">
        <f>'egresos 25% y F.P'!G187</f>
        <v>257.18</v>
      </c>
      <c r="E112" s="796"/>
      <c r="F112" s="796"/>
      <c r="G112" s="797"/>
      <c r="H112" s="779">
        <f t="shared" si="4"/>
        <v>307.18</v>
      </c>
      <c r="L112" s="19"/>
    </row>
    <row r="113" spans="1:12" hidden="1" x14ac:dyDescent="0.2">
      <c r="A113" s="681">
        <v>557</v>
      </c>
      <c r="B113" s="682" t="s">
        <v>92</v>
      </c>
      <c r="C113" s="772">
        <f>SUM(C114:C116)</f>
        <v>0</v>
      </c>
      <c r="D113" s="773">
        <f>SUM(D114:D116)</f>
        <v>0</v>
      </c>
      <c r="E113" s="796"/>
      <c r="F113" s="796"/>
      <c r="G113" s="797"/>
      <c r="H113" s="776">
        <f t="shared" si="4"/>
        <v>0</v>
      </c>
      <c r="L113" s="19"/>
    </row>
    <row r="114" spans="1:12" hidden="1" x14ac:dyDescent="0.2">
      <c r="A114" s="686">
        <v>55701</v>
      </c>
      <c r="B114" s="687" t="s">
        <v>93</v>
      </c>
      <c r="C114" s="777">
        <v>0</v>
      </c>
      <c r="D114" s="778">
        <v>0</v>
      </c>
      <c r="E114" s="796"/>
      <c r="F114" s="796"/>
      <c r="G114" s="797"/>
      <c r="H114" s="779">
        <f t="shared" si="4"/>
        <v>0</v>
      </c>
      <c r="L114" s="19"/>
    </row>
    <row r="115" spans="1:12" hidden="1" x14ac:dyDescent="0.2">
      <c r="A115" s="686">
        <v>55702</v>
      </c>
      <c r="B115" s="687" t="s">
        <v>94</v>
      </c>
      <c r="C115" s="777">
        <v>0</v>
      </c>
      <c r="D115" s="778">
        <v>0</v>
      </c>
      <c r="E115" s="796"/>
      <c r="F115" s="796"/>
      <c r="G115" s="797"/>
      <c r="H115" s="779">
        <f t="shared" si="4"/>
        <v>0</v>
      </c>
      <c r="L115" s="19"/>
    </row>
    <row r="116" spans="1:12" hidden="1" x14ac:dyDescent="0.2">
      <c r="A116" s="686">
        <v>55799</v>
      </c>
      <c r="B116" s="687" t="s">
        <v>95</v>
      </c>
      <c r="C116" s="777">
        <v>0</v>
      </c>
      <c r="D116" s="778">
        <v>0</v>
      </c>
      <c r="E116" s="796"/>
      <c r="F116" s="796"/>
      <c r="G116" s="797"/>
      <c r="H116" s="779">
        <f t="shared" si="4"/>
        <v>0</v>
      </c>
      <c r="L116" s="19"/>
    </row>
    <row r="117" spans="1:12" hidden="1" x14ac:dyDescent="0.2">
      <c r="A117" s="686"/>
      <c r="B117" s="687"/>
      <c r="C117" s="777"/>
      <c r="D117" s="778"/>
      <c r="E117" s="796"/>
      <c r="F117" s="796"/>
      <c r="G117" s="797"/>
      <c r="H117" s="779"/>
      <c r="L117" s="19"/>
    </row>
    <row r="118" spans="1:12" x14ac:dyDescent="0.2">
      <c r="A118" s="686"/>
      <c r="B118" s="687"/>
      <c r="C118" s="777"/>
      <c r="D118" s="778"/>
      <c r="E118" s="796"/>
      <c r="F118" s="796"/>
      <c r="G118" s="797"/>
      <c r="H118" s="779"/>
      <c r="L118" s="19"/>
    </row>
    <row r="119" spans="1:12" x14ac:dyDescent="0.2">
      <c r="A119" s="681">
        <v>56</v>
      </c>
      <c r="B119" s="682" t="s">
        <v>96</v>
      </c>
      <c r="C119" s="772">
        <f>C120+C123</f>
        <v>17619.599999999999</v>
      </c>
      <c r="D119" s="773">
        <f>D120+D123</f>
        <v>11489.5</v>
      </c>
      <c r="E119" s="796"/>
      <c r="F119" s="796"/>
      <c r="G119" s="797"/>
      <c r="H119" s="776">
        <f t="shared" ref="H119:H126" si="5">SUM(C119:G119)</f>
        <v>29109.1</v>
      </c>
      <c r="I119" s="19">
        <f>D119-'egresos 25% y F.P'!G193</f>
        <v>0</v>
      </c>
      <c r="L119" s="19"/>
    </row>
    <row r="120" spans="1:12" ht="22.5" x14ac:dyDescent="0.2">
      <c r="A120" s="799">
        <v>562</v>
      </c>
      <c r="B120" s="767" t="s">
        <v>97</v>
      </c>
      <c r="C120" s="750">
        <f>SUM(C121:C122)</f>
        <v>17619.599999999999</v>
      </c>
      <c r="D120" s="800">
        <f>SUM(D121:D122)</f>
        <v>2489.5</v>
      </c>
      <c r="E120" s="801"/>
      <c r="F120" s="801"/>
      <c r="G120" s="802"/>
      <c r="H120" s="803">
        <f t="shared" si="5"/>
        <v>20109.099999999999</v>
      </c>
      <c r="L120" s="19"/>
    </row>
    <row r="121" spans="1:12" x14ac:dyDescent="0.2">
      <c r="A121" s="686">
        <v>56201</v>
      </c>
      <c r="B121" s="687" t="s">
        <v>494</v>
      </c>
      <c r="C121" s="777"/>
      <c r="D121" s="778">
        <v>0</v>
      </c>
      <c r="E121" s="796"/>
      <c r="F121" s="796"/>
      <c r="G121" s="797"/>
      <c r="H121" s="779">
        <f t="shared" si="5"/>
        <v>0</v>
      </c>
      <c r="L121" s="19"/>
    </row>
    <row r="122" spans="1:12" ht="22.5" x14ac:dyDescent="0.2">
      <c r="A122" s="788">
        <v>56201</v>
      </c>
      <c r="B122" s="804" t="s">
        <v>721</v>
      </c>
      <c r="C122" s="769">
        <f>'egresos 25% y F.P'!G88</f>
        <v>17619.599999999999</v>
      </c>
      <c r="D122" s="770">
        <f>'egresos 25% y F.P'!G196</f>
        <v>2489.5</v>
      </c>
      <c r="E122" s="801"/>
      <c r="F122" s="801"/>
      <c r="G122" s="802"/>
      <c r="H122" s="791">
        <f t="shared" si="5"/>
        <v>20109.099999999999</v>
      </c>
      <c r="L122" s="19"/>
    </row>
    <row r="123" spans="1:12" ht="22.5" x14ac:dyDescent="0.2">
      <c r="A123" s="799">
        <v>563</v>
      </c>
      <c r="B123" s="767" t="s">
        <v>99</v>
      </c>
      <c r="C123" s="750">
        <f>SUM(C124:C125)</f>
        <v>0</v>
      </c>
      <c r="D123" s="800">
        <f>SUM(D124:D125)</f>
        <v>9000</v>
      </c>
      <c r="E123" s="801"/>
      <c r="F123" s="801"/>
      <c r="G123" s="802"/>
      <c r="H123" s="803">
        <f t="shared" si="5"/>
        <v>9000</v>
      </c>
      <c r="L123" s="19"/>
    </row>
    <row r="124" spans="1:12" hidden="1" x14ac:dyDescent="0.2">
      <c r="A124" s="686">
        <v>56303</v>
      </c>
      <c r="B124" s="687" t="s">
        <v>98</v>
      </c>
      <c r="C124" s="777">
        <v>0</v>
      </c>
      <c r="D124" s="778">
        <v>0</v>
      </c>
      <c r="E124" s="796"/>
      <c r="F124" s="796"/>
      <c r="G124" s="797"/>
      <c r="H124" s="779">
        <f t="shared" si="5"/>
        <v>0</v>
      </c>
      <c r="L124" s="19"/>
    </row>
    <row r="125" spans="1:12" x14ac:dyDescent="0.2">
      <c r="A125" s="686">
        <v>56304</v>
      </c>
      <c r="B125" s="687" t="s">
        <v>100</v>
      </c>
      <c r="C125" s="777">
        <f>'egresos 25% y F.P'!G91</f>
        <v>0</v>
      </c>
      <c r="D125" s="778">
        <f>'egresos 25% y F.P'!G199</f>
        <v>9000</v>
      </c>
      <c r="E125" s="796"/>
      <c r="F125" s="796"/>
      <c r="G125" s="797"/>
      <c r="H125" s="779">
        <f t="shared" si="5"/>
        <v>9000</v>
      </c>
      <c r="L125" s="19"/>
    </row>
    <row r="126" spans="1:12" hidden="1" x14ac:dyDescent="0.2">
      <c r="A126" s="724" t="s">
        <v>162</v>
      </c>
      <c r="B126" s="725" t="s">
        <v>163</v>
      </c>
      <c r="C126" s="772">
        <f>C127</f>
        <v>0</v>
      </c>
      <c r="D126" s="773">
        <f>D127</f>
        <v>0</v>
      </c>
      <c r="E126" s="796"/>
      <c r="F126" s="796"/>
      <c r="G126" s="797"/>
      <c r="H126" s="776">
        <f t="shared" si="5"/>
        <v>0</v>
      </c>
    </row>
    <row r="127" spans="1:12" hidden="1" x14ac:dyDescent="0.2">
      <c r="A127" s="724" t="s">
        <v>254</v>
      </c>
      <c r="B127" s="805" t="s">
        <v>199</v>
      </c>
      <c r="C127" s="772">
        <f>C128</f>
        <v>0</v>
      </c>
      <c r="D127" s="773">
        <f>D128</f>
        <v>0</v>
      </c>
      <c r="E127" s="796"/>
      <c r="F127" s="796"/>
      <c r="G127" s="797"/>
      <c r="H127" s="776">
        <f>H128</f>
        <v>0</v>
      </c>
    </row>
    <row r="128" spans="1:12" ht="22.5" hidden="1" x14ac:dyDescent="0.2">
      <c r="A128" s="755" t="s">
        <v>255</v>
      </c>
      <c r="B128" s="782" t="s">
        <v>256</v>
      </c>
      <c r="C128" s="777">
        <f>'egresos 25% y F.P'!G98</f>
        <v>0</v>
      </c>
      <c r="D128" s="798">
        <f>'egresos 25% y F.P'!G206</f>
        <v>0</v>
      </c>
      <c r="E128" s="806"/>
      <c r="F128" s="806"/>
      <c r="G128" s="807"/>
      <c r="H128" s="808">
        <f>SUM(C128:C128)</f>
        <v>0</v>
      </c>
    </row>
    <row r="129" spans="1:9" hidden="1" x14ac:dyDescent="0.2">
      <c r="A129" s="724"/>
      <c r="B129" s="756"/>
      <c r="C129" s="809"/>
      <c r="D129" s="798"/>
      <c r="E129" s="806"/>
      <c r="F129" s="806"/>
      <c r="G129" s="807"/>
      <c r="H129" s="808"/>
    </row>
    <row r="130" spans="1:9" ht="12.75" hidden="1" customHeight="1" x14ac:dyDescent="0.2">
      <c r="A130" s="724" t="s">
        <v>164</v>
      </c>
      <c r="B130" s="725" t="s">
        <v>165</v>
      </c>
      <c r="C130" s="772"/>
      <c r="D130" s="773"/>
      <c r="E130" s="796"/>
      <c r="F130" s="796"/>
      <c r="G130" s="797"/>
      <c r="H130" s="776">
        <f t="shared" ref="H130:H141" si="6">SUM(C130:G130)</f>
        <v>0</v>
      </c>
    </row>
    <row r="131" spans="1:9" ht="12.75" hidden="1" customHeight="1" x14ac:dyDescent="0.2">
      <c r="A131" s="755" t="s">
        <v>166</v>
      </c>
      <c r="B131" s="756" t="s">
        <v>167</v>
      </c>
      <c r="C131" s="777"/>
      <c r="D131" s="778"/>
      <c r="E131" s="796"/>
      <c r="F131" s="796"/>
      <c r="G131" s="797"/>
      <c r="H131" s="779">
        <f t="shared" si="6"/>
        <v>0</v>
      </c>
    </row>
    <row r="132" spans="1:9" ht="12.75" hidden="1" customHeight="1" x14ac:dyDescent="0.2">
      <c r="A132" s="755" t="s">
        <v>168</v>
      </c>
      <c r="B132" s="756" t="s">
        <v>169</v>
      </c>
      <c r="C132" s="777"/>
      <c r="D132" s="778"/>
      <c r="E132" s="796"/>
      <c r="F132" s="796"/>
      <c r="G132" s="797"/>
      <c r="H132" s="779">
        <f t="shared" si="6"/>
        <v>0</v>
      </c>
    </row>
    <row r="133" spans="1:9" ht="12.75" hidden="1" customHeight="1" x14ac:dyDescent="0.2">
      <c r="A133" s="755" t="s">
        <v>170</v>
      </c>
      <c r="B133" s="756" t="s">
        <v>171</v>
      </c>
      <c r="C133" s="777"/>
      <c r="D133" s="778"/>
      <c r="E133" s="796"/>
      <c r="F133" s="796"/>
      <c r="G133" s="797"/>
      <c r="H133" s="779">
        <f t="shared" si="6"/>
        <v>0</v>
      </c>
    </row>
    <row r="134" spans="1:9" ht="12.75" hidden="1" customHeight="1" x14ac:dyDescent="0.2">
      <c r="A134" s="755" t="s">
        <v>172</v>
      </c>
      <c r="B134" s="756" t="s">
        <v>173</v>
      </c>
      <c r="C134" s="777"/>
      <c r="D134" s="778"/>
      <c r="E134" s="796"/>
      <c r="F134" s="796"/>
      <c r="G134" s="797"/>
      <c r="H134" s="779">
        <f t="shared" si="6"/>
        <v>0</v>
      </c>
    </row>
    <row r="135" spans="1:9" ht="12.75" hidden="1" customHeight="1" x14ac:dyDescent="0.2">
      <c r="A135" s="755" t="s">
        <v>174</v>
      </c>
      <c r="B135" s="756" t="s">
        <v>175</v>
      </c>
      <c r="C135" s="777"/>
      <c r="D135" s="778"/>
      <c r="E135" s="796"/>
      <c r="F135" s="796"/>
      <c r="G135" s="797"/>
      <c r="H135" s="779">
        <f t="shared" si="6"/>
        <v>0</v>
      </c>
    </row>
    <row r="136" spans="1:9" ht="12.75" hidden="1" customHeight="1" x14ac:dyDescent="0.2">
      <c r="A136" s="755" t="s">
        <v>176</v>
      </c>
      <c r="B136" s="756" t="s">
        <v>177</v>
      </c>
      <c r="C136" s="777"/>
      <c r="D136" s="778"/>
      <c r="E136" s="796"/>
      <c r="F136" s="796"/>
      <c r="G136" s="797"/>
      <c r="H136" s="779">
        <f t="shared" si="6"/>
        <v>0</v>
      </c>
    </row>
    <row r="137" spans="1:9" ht="12.75" hidden="1" customHeight="1" x14ac:dyDescent="0.2">
      <c r="A137" s="755" t="s">
        <v>178</v>
      </c>
      <c r="B137" s="756" t="s">
        <v>179</v>
      </c>
      <c r="C137" s="777"/>
      <c r="D137" s="778"/>
      <c r="E137" s="796"/>
      <c r="F137" s="796"/>
      <c r="G137" s="797"/>
      <c r="H137" s="779">
        <f t="shared" si="6"/>
        <v>0</v>
      </c>
    </row>
    <row r="138" spans="1:9" ht="12.75" hidden="1" customHeight="1" x14ac:dyDescent="0.2">
      <c r="A138" s="755" t="s">
        <v>180</v>
      </c>
      <c r="B138" s="756" t="s">
        <v>181</v>
      </c>
      <c r="C138" s="777"/>
      <c r="D138" s="778"/>
      <c r="E138" s="796"/>
      <c r="F138" s="796"/>
      <c r="G138" s="797"/>
      <c r="H138" s="779">
        <f t="shared" si="6"/>
        <v>0</v>
      </c>
    </row>
    <row r="139" spans="1:9" ht="12.75" customHeight="1" x14ac:dyDescent="0.2">
      <c r="A139" s="681">
        <v>72</v>
      </c>
      <c r="B139" s="682" t="s">
        <v>13</v>
      </c>
      <c r="C139" s="772">
        <f>C140</f>
        <v>10730.470000000001</v>
      </c>
      <c r="D139" s="773">
        <f>D140</f>
        <v>30939.11</v>
      </c>
      <c r="E139" s="796"/>
      <c r="F139" s="796"/>
      <c r="G139" s="797"/>
      <c r="H139" s="776">
        <f t="shared" si="6"/>
        <v>41669.58</v>
      </c>
      <c r="I139" s="19">
        <f>D139-'egresos 25% y F.P'!G201</f>
        <v>0</v>
      </c>
    </row>
    <row r="140" spans="1:9" ht="22.5" customHeight="1" x14ac:dyDescent="0.2">
      <c r="A140" s="799">
        <v>721</v>
      </c>
      <c r="B140" s="767" t="s">
        <v>182</v>
      </c>
      <c r="C140" s="750">
        <f>C141</f>
        <v>10730.470000000001</v>
      </c>
      <c r="D140" s="800">
        <f>D141</f>
        <v>30939.11</v>
      </c>
      <c r="E140" s="801"/>
      <c r="F140" s="801"/>
      <c r="G140" s="802"/>
      <c r="H140" s="803">
        <f t="shared" si="6"/>
        <v>41669.58</v>
      </c>
    </row>
    <row r="141" spans="1:9" ht="22.5" customHeight="1" x14ac:dyDescent="0.2">
      <c r="A141" s="788">
        <v>72101</v>
      </c>
      <c r="B141" s="782" t="s">
        <v>182</v>
      </c>
      <c r="C141" s="769">
        <f>'egresos 25% y F.P'!G93</f>
        <v>10730.470000000001</v>
      </c>
      <c r="D141" s="770">
        <f>'egresos 25% y F.P'!G202</f>
        <v>30939.11</v>
      </c>
      <c r="E141" s="801"/>
      <c r="F141" s="801"/>
      <c r="G141" s="802"/>
      <c r="H141" s="791">
        <f t="shared" si="6"/>
        <v>41669.58</v>
      </c>
    </row>
    <row r="142" spans="1:9" ht="13.5" thickBot="1" x14ac:dyDescent="0.25">
      <c r="A142" s="686"/>
      <c r="B142" s="687"/>
      <c r="C142" s="777"/>
      <c r="D142" s="778"/>
      <c r="E142" s="796"/>
      <c r="F142" s="796"/>
      <c r="G142" s="797"/>
      <c r="H142" s="779"/>
    </row>
    <row r="143" spans="1:9" ht="13.5" hidden="1" thickBot="1" x14ac:dyDescent="0.25">
      <c r="A143" s="681">
        <v>99</v>
      </c>
      <c r="B143" s="682" t="s">
        <v>183</v>
      </c>
      <c r="C143" s="772"/>
      <c r="D143" s="773"/>
      <c r="E143" s="796"/>
      <c r="F143" s="796"/>
      <c r="G143" s="797"/>
      <c r="H143" s="776">
        <f>SUM(C143:G143)</f>
        <v>0</v>
      </c>
    </row>
    <row r="144" spans="1:9" ht="23.25" hidden="1" thickBot="1" x14ac:dyDescent="0.25">
      <c r="A144" s="681">
        <v>991</v>
      </c>
      <c r="B144" s="767" t="s">
        <v>184</v>
      </c>
      <c r="C144" s="810"/>
      <c r="D144" s="773"/>
      <c r="E144" s="796"/>
      <c r="F144" s="796"/>
      <c r="G144" s="797"/>
      <c r="H144" s="776">
        <f>SUM(C144:G144)</f>
        <v>0</v>
      </c>
    </row>
    <row r="145" spans="1:8" ht="23.25" hidden="1" thickBot="1" x14ac:dyDescent="0.25">
      <c r="A145" s="811">
        <v>99101</v>
      </c>
      <c r="B145" s="812" t="s">
        <v>184</v>
      </c>
      <c r="C145" s="813"/>
      <c r="D145" s="814"/>
      <c r="E145" s="815"/>
      <c r="F145" s="815"/>
      <c r="G145" s="816"/>
      <c r="H145" s="817">
        <f>SUM(C145:G145)</f>
        <v>0</v>
      </c>
    </row>
    <row r="146" spans="1:8" ht="13.5" thickBot="1" x14ac:dyDescent="0.25">
      <c r="A146" s="730"/>
      <c r="B146" s="818" t="s">
        <v>185</v>
      </c>
      <c r="C146" s="819">
        <f>+C143+C139+C126+C119+C102+C46+C12</f>
        <v>412535.5</v>
      </c>
      <c r="D146" s="819">
        <f t="shared" ref="D146:G146" si="7">+D143+D139+D126+D119+D102+D46+D12</f>
        <v>405988.52999999997</v>
      </c>
      <c r="E146" s="820">
        <f t="shared" si="7"/>
        <v>0</v>
      </c>
      <c r="F146" s="820">
        <f t="shared" si="7"/>
        <v>0</v>
      </c>
      <c r="G146" s="821">
        <f t="shared" si="7"/>
        <v>0</v>
      </c>
      <c r="H146" s="822">
        <f>+H143+H139+H126+H119+H102+H46+H12</f>
        <v>818524.03</v>
      </c>
    </row>
    <row r="147" spans="1:8" x14ac:dyDescent="0.2">
      <c r="A147" s="823"/>
      <c r="B147" s="970" t="s">
        <v>742</v>
      </c>
      <c r="C147" s="824">
        <f>'ING. REALES'!C73</f>
        <v>412535.5</v>
      </c>
      <c r="D147" s="825">
        <f>'ING. REALES'!H73</f>
        <v>405988.53</v>
      </c>
      <c r="E147" s="826"/>
      <c r="F147" s="826"/>
      <c r="G147" s="826"/>
      <c r="H147" s="826"/>
    </row>
    <row r="148" spans="1:8" x14ac:dyDescent="0.2">
      <c r="A148" s="823"/>
      <c r="C148" s="675">
        <f>+C146-C147</f>
        <v>0</v>
      </c>
      <c r="D148" s="827">
        <f>D146-D147</f>
        <v>0</v>
      </c>
      <c r="E148" s="826"/>
      <c r="F148" s="826"/>
      <c r="G148" s="826"/>
      <c r="H148" s="828"/>
    </row>
    <row r="149" spans="1:8" x14ac:dyDescent="0.2">
      <c r="B149" s="826"/>
      <c r="C149" s="829"/>
      <c r="D149" s="828"/>
      <c r="E149" s="826"/>
      <c r="F149" s="826"/>
      <c r="G149" s="826"/>
      <c r="H149" s="826"/>
    </row>
    <row r="150" spans="1:8" x14ac:dyDescent="0.2">
      <c r="B150" s="830" t="s">
        <v>617</v>
      </c>
      <c r="C150" s="831">
        <f>'ING. REALES'!C73</f>
        <v>412535.5</v>
      </c>
      <c r="D150" s="832">
        <f>'ING. REALES'!H73</f>
        <v>405988.53</v>
      </c>
    </row>
    <row r="151" spans="1:8" x14ac:dyDescent="0.2">
      <c r="B151" s="830" t="s">
        <v>652</v>
      </c>
      <c r="C151" s="831">
        <f>C150-C146</f>
        <v>0</v>
      </c>
      <c r="D151" s="832">
        <f>D150-D146</f>
        <v>0</v>
      </c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94488188976377963" right="0.94488188976377963" top="0.94488188976377963" bottom="0.74803149606299213" header="0" footer="0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indexed="22"/>
  </sheetPr>
  <dimension ref="A2:K193"/>
  <sheetViews>
    <sheetView showGridLines="0" topLeftCell="A181" zoomScale="115" zoomScaleNormal="115" workbookViewId="0">
      <selection activeCell="B164" sqref="B164:G166"/>
    </sheetView>
  </sheetViews>
  <sheetFormatPr baseColWidth="10" defaultRowHeight="12.75" x14ac:dyDescent="0.2"/>
  <cols>
    <col min="1" max="1" width="6.140625" customWidth="1"/>
    <col min="2" max="2" width="8.28515625" style="861" customWidth="1"/>
    <col min="3" max="3" width="9" style="862" customWidth="1"/>
    <col min="4" max="4" width="53.140625" style="648" customWidth="1"/>
    <col min="5" max="5" width="15.28515625" style="583" customWidth="1"/>
    <col min="6" max="6" width="12.5703125" style="583" customWidth="1"/>
    <col min="7" max="7" width="11.85546875" style="583" customWidth="1"/>
    <col min="8" max="8" width="11" style="583" customWidth="1"/>
    <col min="9" max="9" width="15.28515625" style="583" hidden="1" customWidth="1"/>
    <col min="10" max="10" width="12.85546875" style="583" customWidth="1"/>
    <col min="11" max="11" width="15.28515625" style="583" customWidth="1"/>
  </cols>
  <sheetData>
    <row r="2" spans="1:11" ht="15.75" x14ac:dyDescent="0.25">
      <c r="B2" s="1300" t="s">
        <v>187</v>
      </c>
      <c r="C2" s="1300"/>
      <c r="D2" s="1300"/>
      <c r="E2" s="1300"/>
      <c r="F2" s="1300"/>
      <c r="G2" s="1300"/>
      <c r="H2" s="1300"/>
      <c r="I2" s="1300"/>
      <c r="J2" s="1300"/>
      <c r="K2" s="1300"/>
    </row>
    <row r="3" spans="1:11" x14ac:dyDescent="0.2">
      <c r="B3" s="1301" t="s">
        <v>588</v>
      </c>
      <c r="C3" s="1301"/>
      <c r="D3" s="1301"/>
      <c r="E3" s="1301"/>
      <c r="F3" s="1301"/>
      <c r="G3" s="1301"/>
      <c r="H3" s="1301"/>
      <c r="I3" s="1301"/>
      <c r="J3" s="1301"/>
      <c r="K3" s="1301"/>
    </row>
    <row r="4" spans="1:11" ht="9.75" customHeight="1" x14ac:dyDescent="0.3">
      <c r="B4" s="584"/>
      <c r="C4" s="584"/>
      <c r="D4" s="584"/>
      <c r="E4" s="584"/>
      <c r="F4" s="584"/>
      <c r="G4" s="584"/>
      <c r="H4" s="584"/>
      <c r="I4" s="584"/>
      <c r="J4" s="584"/>
      <c r="K4" s="584"/>
    </row>
    <row r="5" spans="1:11" ht="18" customHeight="1" x14ac:dyDescent="0.3">
      <c r="B5" s="1302" t="s">
        <v>445</v>
      </c>
      <c r="C5" s="1302"/>
      <c r="D5" s="1302"/>
      <c r="E5" s="1302"/>
      <c r="F5" s="1302"/>
      <c r="G5" s="1302"/>
      <c r="H5" s="1302"/>
      <c r="I5" s="1302"/>
      <c r="J5" s="1302"/>
      <c r="K5" s="1302"/>
    </row>
    <row r="6" spans="1:11" ht="18" customHeight="1" x14ac:dyDescent="0.3">
      <c r="B6" s="1302" t="s">
        <v>746</v>
      </c>
      <c r="C6" s="1302"/>
      <c r="D6" s="1302"/>
      <c r="E6" s="1302"/>
      <c r="F6" s="1302"/>
      <c r="G6" s="1302"/>
      <c r="H6" s="1302"/>
      <c r="I6" s="1302"/>
      <c r="J6" s="1302"/>
      <c r="K6" s="1302"/>
    </row>
    <row r="7" spans="1:11" ht="18" customHeight="1" x14ac:dyDescent="0.3">
      <c r="B7" s="1302" t="s">
        <v>326</v>
      </c>
      <c r="C7" s="1302"/>
      <c r="D7" s="1302"/>
      <c r="E7" s="1302"/>
      <c r="F7" s="1302"/>
      <c r="G7" s="1302"/>
      <c r="H7" s="1302"/>
      <c r="I7" s="1302"/>
      <c r="J7" s="1302"/>
      <c r="K7" s="1302"/>
    </row>
    <row r="8" spans="1:11" ht="18" customHeight="1" x14ac:dyDescent="0.3">
      <c r="B8" s="1302" t="s">
        <v>327</v>
      </c>
      <c r="C8" s="1302"/>
      <c r="D8" s="1302"/>
      <c r="E8" s="1302"/>
      <c r="F8" s="1302"/>
      <c r="G8" s="1302"/>
      <c r="H8" s="1302"/>
      <c r="I8" s="1302"/>
      <c r="J8" s="1302"/>
      <c r="K8" s="1302"/>
    </row>
    <row r="9" spans="1:11" ht="18" customHeight="1" x14ac:dyDescent="0.3">
      <c r="B9" s="1302" t="s">
        <v>328</v>
      </c>
      <c r="C9" s="1302"/>
      <c r="D9" s="1302"/>
      <c r="E9" s="1302"/>
      <c r="F9" s="1302"/>
      <c r="G9" s="1302"/>
      <c r="H9" s="1302"/>
      <c r="I9" s="1302"/>
      <c r="J9" s="1302"/>
      <c r="K9" s="1302"/>
    </row>
    <row r="10" spans="1:11" ht="10.5" customHeight="1" thickBot="1" x14ac:dyDescent="0.35">
      <c r="B10" s="585"/>
      <c r="C10" s="585"/>
      <c r="D10" s="585"/>
      <c r="E10" s="585"/>
      <c r="F10" s="585"/>
      <c r="G10" s="585"/>
      <c r="H10" s="585"/>
      <c r="I10" s="585"/>
      <c r="J10" s="585"/>
      <c r="K10" s="585"/>
    </row>
    <row r="11" spans="1:11" ht="15.75" customHeight="1" thickBot="1" x14ac:dyDescent="0.25">
      <c r="B11" s="1303" t="s">
        <v>554</v>
      </c>
      <c r="C11" s="1305" t="s">
        <v>555</v>
      </c>
      <c r="D11" s="1289" t="s">
        <v>576</v>
      </c>
      <c r="E11" s="1307" t="s">
        <v>577</v>
      </c>
      <c r="F11" s="1308"/>
      <c r="G11" s="1308"/>
      <c r="H11" s="1308"/>
      <c r="I11" s="1308"/>
      <c r="J11" s="1308"/>
      <c r="K11" s="1303" t="s">
        <v>578</v>
      </c>
    </row>
    <row r="12" spans="1:11" ht="25.5" customHeight="1" thickBot="1" x14ac:dyDescent="0.25">
      <c r="B12" s="1304"/>
      <c r="C12" s="1306"/>
      <c r="D12" s="1304"/>
      <c r="E12" s="833" t="s">
        <v>808</v>
      </c>
      <c r="F12" s="586" t="s">
        <v>799</v>
      </c>
      <c r="G12" s="834" t="s">
        <v>2</v>
      </c>
      <c r="H12" s="586" t="s">
        <v>432</v>
      </c>
      <c r="I12" s="586" t="s">
        <v>121</v>
      </c>
      <c r="J12" s="834" t="s">
        <v>700</v>
      </c>
      <c r="K12" s="1304"/>
    </row>
    <row r="13" spans="1:11" x14ac:dyDescent="0.2">
      <c r="B13" s="577"/>
      <c r="C13" s="835" t="s">
        <v>463</v>
      </c>
      <c r="D13" s="836"/>
      <c r="E13" s="1060"/>
      <c r="F13" s="587"/>
      <c r="G13" s="837"/>
      <c r="H13" s="587"/>
      <c r="I13" s="587"/>
      <c r="J13" s="837"/>
      <c r="K13" s="582"/>
    </row>
    <row r="14" spans="1:11" ht="25.5" x14ac:dyDescent="0.2">
      <c r="A14" s="59"/>
      <c r="B14" s="577"/>
      <c r="C14" s="578" t="s">
        <v>463</v>
      </c>
      <c r="D14" s="839" t="s">
        <v>813</v>
      </c>
      <c r="E14" s="1061">
        <f>SUM(E15:E18)</f>
        <v>29810</v>
      </c>
      <c r="F14" s="588"/>
      <c r="G14" s="855"/>
      <c r="H14" s="588"/>
      <c r="I14" s="588"/>
      <c r="J14" s="838"/>
      <c r="K14" s="589">
        <f>SUM(E14:J14)</f>
        <v>29810</v>
      </c>
    </row>
    <row r="15" spans="1:11" x14ac:dyDescent="0.2">
      <c r="A15" s="59"/>
      <c r="B15" s="577">
        <v>61101</v>
      </c>
      <c r="C15" s="578"/>
      <c r="D15" s="836" t="s">
        <v>783</v>
      </c>
      <c r="E15" s="1062">
        <v>2500</v>
      </c>
      <c r="F15" s="588"/>
      <c r="G15" s="855"/>
      <c r="H15" s="588"/>
      <c r="I15" s="588"/>
      <c r="J15" s="838"/>
      <c r="K15" s="1055">
        <f t="shared" ref="K15:K21" si="0">SUM(E15:J15)</f>
        <v>2500</v>
      </c>
    </row>
    <row r="16" spans="1:11" x14ac:dyDescent="0.2">
      <c r="A16" s="59"/>
      <c r="B16" s="577">
        <v>61102</v>
      </c>
      <c r="C16" s="578"/>
      <c r="D16" s="836" t="s">
        <v>784</v>
      </c>
      <c r="E16" s="1062">
        <v>11690</v>
      </c>
      <c r="F16" s="588"/>
      <c r="G16" s="855"/>
      <c r="H16" s="588"/>
      <c r="I16" s="588"/>
      <c r="J16" s="838"/>
      <c r="K16" s="1055">
        <f t="shared" si="0"/>
        <v>11690</v>
      </c>
    </row>
    <row r="17" spans="1:11" x14ac:dyDescent="0.2">
      <c r="A17" s="59"/>
      <c r="B17" s="577">
        <v>61104</v>
      </c>
      <c r="C17" s="578"/>
      <c r="D17" s="836" t="s">
        <v>785</v>
      </c>
      <c r="E17" s="1062">
        <v>15180</v>
      </c>
      <c r="F17" s="588"/>
      <c r="G17" s="855"/>
      <c r="H17" s="588"/>
      <c r="I17" s="588"/>
      <c r="J17" s="838"/>
      <c r="K17" s="1055">
        <f t="shared" si="0"/>
        <v>15180</v>
      </c>
    </row>
    <row r="18" spans="1:11" x14ac:dyDescent="0.2">
      <c r="A18" s="59"/>
      <c r="B18" s="577">
        <v>54199</v>
      </c>
      <c r="C18" s="578"/>
      <c r="D18" s="836" t="s">
        <v>780</v>
      </c>
      <c r="E18" s="1062">
        <v>440</v>
      </c>
      <c r="F18" s="588"/>
      <c r="G18" s="855"/>
      <c r="H18" s="588"/>
      <c r="I18" s="588"/>
      <c r="J18" s="838"/>
      <c r="K18" s="1055">
        <f t="shared" si="0"/>
        <v>440</v>
      </c>
    </row>
    <row r="19" spans="1:11" x14ac:dyDescent="0.2">
      <c r="A19" s="59"/>
      <c r="B19" s="577"/>
      <c r="C19" s="1153"/>
      <c r="D19" s="839"/>
      <c r="E19" s="1061"/>
      <c r="F19" s="1024"/>
      <c r="G19" s="855"/>
      <c r="H19" s="588"/>
      <c r="I19" s="588"/>
      <c r="J19" s="838"/>
      <c r="K19" s="589"/>
    </row>
    <row r="20" spans="1:11" x14ac:dyDescent="0.2">
      <c r="B20" s="577"/>
      <c r="C20" s="1153"/>
      <c r="D20" s="839" t="s">
        <v>768</v>
      </c>
      <c r="E20" s="1061">
        <f>+SUM(E21)</f>
        <v>30000</v>
      </c>
      <c r="F20" s="1024"/>
      <c r="G20" s="855"/>
      <c r="H20" s="588"/>
      <c r="I20" s="588"/>
      <c r="J20" s="838"/>
      <c r="K20" s="589">
        <f t="shared" si="0"/>
        <v>30000</v>
      </c>
    </row>
    <row r="21" spans="1:11" x14ac:dyDescent="0.2">
      <c r="B21" s="577">
        <v>61105</v>
      </c>
      <c r="C21" s="1153"/>
      <c r="D21" s="836" t="s">
        <v>769</v>
      </c>
      <c r="E21" s="1062">
        <v>30000</v>
      </c>
      <c r="F21" s="1024"/>
      <c r="G21" s="855"/>
      <c r="H21" s="588"/>
      <c r="I21" s="588"/>
      <c r="J21" s="838"/>
      <c r="K21" s="582">
        <f t="shared" si="0"/>
        <v>30000</v>
      </c>
    </row>
    <row r="22" spans="1:11" x14ac:dyDescent="0.2">
      <c r="B22" s="577"/>
      <c r="C22" s="1153"/>
      <c r="D22" s="836"/>
      <c r="E22" s="1062"/>
      <c r="F22" s="1024"/>
      <c r="G22" s="855"/>
      <c r="H22" s="588"/>
      <c r="I22" s="588"/>
      <c r="J22" s="838"/>
      <c r="K22" s="582"/>
    </row>
    <row r="23" spans="1:11" ht="23.25" customHeight="1" x14ac:dyDescent="0.2">
      <c r="B23" s="577"/>
      <c r="C23" s="578" t="s">
        <v>463</v>
      </c>
      <c r="D23" s="839" t="s">
        <v>789</v>
      </c>
      <c r="E23" s="1061">
        <f>SUM(E24:E34)</f>
        <v>30095.190000000002</v>
      </c>
      <c r="F23" s="588"/>
      <c r="G23" s="855"/>
      <c r="H23" s="588"/>
      <c r="I23" s="588"/>
      <c r="J23" s="838"/>
      <c r="K23" s="589">
        <f>SUM(E23:J23)</f>
        <v>30095.190000000002</v>
      </c>
    </row>
    <row r="24" spans="1:11" ht="12.75" customHeight="1" x14ac:dyDescent="0.2">
      <c r="B24" s="577">
        <v>51201</v>
      </c>
      <c r="C24" s="578"/>
      <c r="D24" s="836" t="s">
        <v>706</v>
      </c>
      <c r="E24" s="1062">
        <v>1238.21</v>
      </c>
      <c r="F24" s="588"/>
      <c r="G24" s="855"/>
      <c r="H24" s="588"/>
      <c r="I24" s="588"/>
      <c r="J24" s="838"/>
      <c r="K24" s="1055">
        <f t="shared" ref="K24:K35" si="1">SUM(E24:J24)</f>
        <v>1238.21</v>
      </c>
    </row>
    <row r="25" spans="1:11" ht="12.75" customHeight="1" x14ac:dyDescent="0.2">
      <c r="B25" s="577">
        <v>54105</v>
      </c>
      <c r="C25" s="578"/>
      <c r="D25" s="836" t="s">
        <v>777</v>
      </c>
      <c r="E25" s="1062">
        <v>1245</v>
      </c>
      <c r="F25" s="588"/>
      <c r="G25" s="855"/>
      <c r="H25" s="588"/>
      <c r="I25" s="588"/>
      <c r="J25" s="838"/>
      <c r="K25" s="1055">
        <f t="shared" si="1"/>
        <v>1245</v>
      </c>
    </row>
    <row r="26" spans="1:11" ht="12.75" customHeight="1" x14ac:dyDescent="0.2">
      <c r="B26" s="577">
        <v>54107</v>
      </c>
      <c r="C26" s="578"/>
      <c r="D26" s="836" t="s">
        <v>790</v>
      </c>
      <c r="E26" s="1062">
        <v>304.14999999999998</v>
      </c>
      <c r="F26" s="588"/>
      <c r="G26" s="855"/>
      <c r="H26" s="588"/>
      <c r="I26" s="588"/>
      <c r="J26" s="838"/>
      <c r="K26" s="1055">
        <f t="shared" si="1"/>
        <v>304.14999999999998</v>
      </c>
    </row>
    <row r="27" spans="1:11" ht="12.75" customHeight="1" x14ac:dyDescent="0.2">
      <c r="B27" s="577">
        <v>54111</v>
      </c>
      <c r="C27" s="578"/>
      <c r="D27" s="836" t="s">
        <v>791</v>
      </c>
      <c r="E27" s="1062">
        <v>2870.55</v>
      </c>
      <c r="F27" s="588"/>
      <c r="G27" s="855"/>
      <c r="H27" s="588"/>
      <c r="I27" s="588"/>
      <c r="J27" s="838"/>
      <c r="K27" s="1055">
        <f t="shared" si="1"/>
        <v>2870.55</v>
      </c>
    </row>
    <row r="28" spans="1:11" ht="12.75" customHeight="1" x14ac:dyDescent="0.2">
      <c r="B28" s="577">
        <v>51112</v>
      </c>
      <c r="C28" s="578"/>
      <c r="D28" s="836" t="s">
        <v>792</v>
      </c>
      <c r="E28" s="1062">
        <v>4000</v>
      </c>
      <c r="F28" s="588"/>
      <c r="G28" s="855"/>
      <c r="H28" s="588"/>
      <c r="I28" s="588"/>
      <c r="J28" s="838"/>
      <c r="K28" s="1055">
        <f t="shared" si="1"/>
        <v>4000</v>
      </c>
    </row>
    <row r="29" spans="1:11" ht="12.75" customHeight="1" x14ac:dyDescent="0.2">
      <c r="B29" s="577">
        <v>54119</v>
      </c>
      <c r="C29" s="578"/>
      <c r="D29" s="836" t="s">
        <v>793</v>
      </c>
      <c r="E29" s="1062">
        <v>1408.76</v>
      </c>
      <c r="F29" s="588"/>
      <c r="G29" s="855"/>
      <c r="H29" s="588"/>
      <c r="I29" s="588"/>
      <c r="J29" s="838"/>
      <c r="K29" s="1055">
        <f t="shared" si="1"/>
        <v>1408.76</v>
      </c>
    </row>
    <row r="30" spans="1:11" ht="12.75" customHeight="1" x14ac:dyDescent="0.2">
      <c r="B30" s="577">
        <v>54199</v>
      </c>
      <c r="C30" s="578"/>
      <c r="D30" s="836" t="s">
        <v>780</v>
      </c>
      <c r="E30" s="1062">
        <v>2171.36</v>
      </c>
      <c r="F30" s="588"/>
      <c r="G30" s="855"/>
      <c r="H30" s="588"/>
      <c r="I30" s="588"/>
      <c r="J30" s="838"/>
      <c r="K30" s="1055">
        <f t="shared" si="1"/>
        <v>2171.36</v>
      </c>
    </row>
    <row r="31" spans="1:11" ht="12.75" customHeight="1" x14ac:dyDescent="0.2">
      <c r="B31" s="577">
        <v>54399</v>
      </c>
      <c r="C31" s="578"/>
      <c r="D31" s="836" t="s">
        <v>782</v>
      </c>
      <c r="E31" s="1062">
        <v>3482.16</v>
      </c>
      <c r="F31" s="588"/>
      <c r="G31" s="855"/>
      <c r="H31" s="588"/>
      <c r="I31" s="588"/>
      <c r="J31" s="838"/>
      <c r="K31" s="1055">
        <f t="shared" si="1"/>
        <v>3482.16</v>
      </c>
    </row>
    <row r="32" spans="1:11" ht="12.75" customHeight="1" x14ac:dyDescent="0.2">
      <c r="B32" s="577">
        <v>61101</v>
      </c>
      <c r="C32" s="578"/>
      <c r="D32" s="836" t="s">
        <v>783</v>
      </c>
      <c r="E32" s="1062">
        <v>6450</v>
      </c>
      <c r="F32" s="588"/>
      <c r="G32" s="855"/>
      <c r="H32" s="588"/>
      <c r="I32" s="588"/>
      <c r="J32" s="838"/>
      <c r="K32" s="1055">
        <f t="shared" si="1"/>
        <v>6450</v>
      </c>
    </row>
    <row r="33" spans="1:11" ht="12.75" customHeight="1" x14ac:dyDescent="0.2">
      <c r="B33" s="577">
        <v>61102</v>
      </c>
      <c r="C33" s="578"/>
      <c r="D33" s="836" t="s">
        <v>784</v>
      </c>
      <c r="E33" s="1062">
        <v>500</v>
      </c>
      <c r="F33" s="588"/>
      <c r="G33" s="855"/>
      <c r="H33" s="588"/>
      <c r="I33" s="588"/>
      <c r="J33" s="838"/>
      <c r="K33" s="1055">
        <f t="shared" si="1"/>
        <v>500</v>
      </c>
    </row>
    <row r="34" spans="1:11" ht="12.75" customHeight="1" x14ac:dyDescent="0.2">
      <c r="B34" s="577">
        <v>61199</v>
      </c>
      <c r="C34" s="578"/>
      <c r="D34" s="836" t="s">
        <v>794</v>
      </c>
      <c r="E34" s="1062">
        <v>6425</v>
      </c>
      <c r="F34" s="588"/>
      <c r="G34" s="855"/>
      <c r="H34" s="588"/>
      <c r="I34" s="588"/>
      <c r="J34" s="838"/>
      <c r="K34" s="1055">
        <f t="shared" si="1"/>
        <v>6425</v>
      </c>
    </row>
    <row r="35" spans="1:11" ht="20.25" customHeight="1" x14ac:dyDescent="0.2">
      <c r="B35" s="577"/>
      <c r="C35" s="578"/>
      <c r="D35" s="836"/>
      <c r="E35" s="1062"/>
      <c r="F35" s="588"/>
      <c r="G35" s="855"/>
      <c r="H35" s="588"/>
      <c r="I35" s="588"/>
      <c r="J35" s="838"/>
      <c r="K35" s="1055">
        <f t="shared" si="1"/>
        <v>0</v>
      </c>
    </row>
    <row r="36" spans="1:11" x14ac:dyDescent="0.2">
      <c r="B36" s="577"/>
      <c r="C36" s="578" t="s">
        <v>463</v>
      </c>
      <c r="D36" s="839" t="s">
        <v>749</v>
      </c>
      <c r="E36" s="1061">
        <f>SUM(E37)</f>
        <v>27479.599999999999</v>
      </c>
      <c r="F36" s="588"/>
      <c r="G36" s="855"/>
      <c r="H36" s="588"/>
      <c r="I36" s="588"/>
      <c r="J36" s="838"/>
      <c r="K36" s="589">
        <f>SUM(E36:J36)</f>
        <v>27479.599999999999</v>
      </c>
    </row>
    <row r="37" spans="1:11" x14ac:dyDescent="0.2">
      <c r="B37" s="577" t="s">
        <v>661</v>
      </c>
      <c r="C37" s="578" t="s">
        <v>463</v>
      </c>
      <c r="D37" s="836" t="s">
        <v>490</v>
      </c>
      <c r="E37" s="1062">
        <v>27479.599999999999</v>
      </c>
      <c r="F37" s="588"/>
      <c r="G37" s="855"/>
      <c r="H37" s="588"/>
      <c r="I37" s="588"/>
      <c r="J37" s="838"/>
      <c r="K37" s="582">
        <f>SUM(E37:J37)</f>
        <v>27479.599999999999</v>
      </c>
    </row>
    <row r="38" spans="1:11" x14ac:dyDescent="0.2">
      <c r="B38" s="577"/>
      <c r="C38" s="578" t="s">
        <v>463</v>
      </c>
      <c r="D38" s="839"/>
      <c r="E38" s="1061"/>
      <c r="F38" s="588"/>
      <c r="G38" s="855"/>
      <c r="H38" s="588"/>
      <c r="I38" s="588"/>
      <c r="J38" s="838"/>
      <c r="K38" s="589"/>
    </row>
    <row r="39" spans="1:11" x14ac:dyDescent="0.2">
      <c r="B39" s="848"/>
      <c r="C39" s="849"/>
      <c r="D39" s="852"/>
      <c r="E39" s="1063"/>
      <c r="F39" s="868"/>
      <c r="G39" s="869"/>
      <c r="H39" s="868"/>
      <c r="I39" s="868"/>
      <c r="J39" s="869"/>
      <c r="K39" s="590"/>
    </row>
    <row r="40" spans="1:11" s="59" customFormat="1" x14ac:dyDescent="0.2">
      <c r="B40" s="577"/>
      <c r="C40" s="840" t="s">
        <v>463</v>
      </c>
      <c r="D40" s="839" t="s">
        <v>750</v>
      </c>
      <c r="E40" s="1061">
        <f>SUM(E41)</f>
        <v>46525.54</v>
      </c>
      <c r="F40" s="580"/>
      <c r="G40" s="581"/>
      <c r="H40" s="580"/>
      <c r="I40" s="580"/>
      <c r="J40" s="841"/>
      <c r="K40" s="589">
        <f>SUM(E40:J40)</f>
        <v>46525.54</v>
      </c>
    </row>
    <row r="41" spans="1:11" s="59" customFormat="1" x14ac:dyDescent="0.2">
      <c r="B41" s="577" t="s">
        <v>661</v>
      </c>
      <c r="C41" s="578" t="s">
        <v>463</v>
      </c>
      <c r="D41" s="836" t="s">
        <v>490</v>
      </c>
      <c r="E41" s="1062">
        <v>46525.54</v>
      </c>
      <c r="F41" s="580"/>
      <c r="G41" s="581"/>
      <c r="H41" s="580"/>
      <c r="I41" s="580"/>
      <c r="J41" s="841"/>
      <c r="K41" s="582">
        <f>SUM(E41:J41)</f>
        <v>46525.54</v>
      </c>
    </row>
    <row r="42" spans="1:11" x14ac:dyDescent="0.2">
      <c r="B42" s="577"/>
      <c r="C42" s="578" t="s">
        <v>463</v>
      </c>
      <c r="D42" s="839"/>
      <c r="E42" s="1061"/>
      <c r="F42" s="588"/>
      <c r="G42" s="855"/>
      <c r="H42" s="580"/>
      <c r="I42" s="580"/>
      <c r="J42" s="841"/>
      <c r="K42" s="589"/>
    </row>
    <row r="43" spans="1:11" ht="25.5" x14ac:dyDescent="0.2">
      <c r="B43" s="577"/>
      <c r="C43" s="578" t="s">
        <v>463</v>
      </c>
      <c r="D43" s="842" t="s">
        <v>751</v>
      </c>
      <c r="E43" s="1061">
        <f>SUM(E44)</f>
        <v>8000</v>
      </c>
      <c r="F43" s="580"/>
      <c r="G43" s="581"/>
      <c r="H43" s="580"/>
      <c r="I43" s="580"/>
      <c r="J43" s="841"/>
      <c r="K43" s="589">
        <f>SUM(E43:J43)</f>
        <v>8000</v>
      </c>
    </row>
    <row r="44" spans="1:11" x14ac:dyDescent="0.2">
      <c r="A44" s="59"/>
      <c r="B44" s="577" t="s">
        <v>663</v>
      </c>
      <c r="C44" s="578" t="s">
        <v>463</v>
      </c>
      <c r="D44" s="836" t="s">
        <v>462</v>
      </c>
      <c r="E44" s="1062">
        <v>8000</v>
      </c>
      <c r="F44" s="580"/>
      <c r="G44" s="581"/>
      <c r="H44" s="580"/>
      <c r="I44" s="580"/>
      <c r="J44" s="841"/>
      <c r="K44" s="582">
        <f>SUM(E44:J44)</f>
        <v>8000</v>
      </c>
    </row>
    <row r="45" spans="1:11" x14ac:dyDescent="0.2">
      <c r="A45" s="59"/>
      <c r="B45" s="577"/>
      <c r="C45" s="578" t="s">
        <v>463</v>
      </c>
      <c r="D45" s="866"/>
      <c r="E45" s="1061"/>
      <c r="F45" s="580"/>
      <c r="G45" s="581"/>
      <c r="H45" s="580"/>
      <c r="I45" s="580"/>
      <c r="J45" s="581"/>
      <c r="K45" s="589"/>
    </row>
    <row r="46" spans="1:11" ht="25.5" x14ac:dyDescent="0.2">
      <c r="A46" s="59"/>
      <c r="B46" s="577"/>
      <c r="C46" s="840" t="s">
        <v>463</v>
      </c>
      <c r="D46" s="867" t="s">
        <v>689</v>
      </c>
      <c r="E46" s="1061">
        <f>SUM(E47:E48)</f>
        <v>557.56000000000006</v>
      </c>
      <c r="F46" s="588"/>
      <c r="G46" s="855"/>
      <c r="H46" s="588"/>
      <c r="I46" s="588"/>
      <c r="J46" s="855"/>
      <c r="K46" s="589">
        <f>SUM(E46:J46)</f>
        <v>557.56000000000006</v>
      </c>
    </row>
    <row r="47" spans="1:11" x14ac:dyDescent="0.2">
      <c r="A47" s="59"/>
      <c r="B47" s="577">
        <v>54110</v>
      </c>
      <c r="C47" s="840"/>
      <c r="D47" s="579" t="s">
        <v>778</v>
      </c>
      <c r="E47" s="1062">
        <v>167.58</v>
      </c>
      <c r="F47" s="588"/>
      <c r="G47" s="855"/>
      <c r="H47" s="588"/>
      <c r="I47" s="588"/>
      <c r="J47" s="855"/>
      <c r="K47" s="589"/>
    </row>
    <row r="48" spans="1:11" x14ac:dyDescent="0.2">
      <c r="A48" s="59"/>
      <c r="B48" s="577">
        <v>54399</v>
      </c>
      <c r="C48" s="840"/>
      <c r="D48" s="579" t="s">
        <v>782</v>
      </c>
      <c r="E48" s="1062">
        <v>389.98</v>
      </c>
      <c r="F48" s="588"/>
      <c r="G48" s="855"/>
      <c r="H48" s="588"/>
      <c r="I48" s="588"/>
      <c r="J48" s="855"/>
      <c r="K48" s="589"/>
    </row>
    <row r="49" spans="1:11" x14ac:dyDescent="0.2">
      <c r="A49" s="59"/>
      <c r="B49" s="577"/>
      <c r="C49" s="578"/>
      <c r="D49" s="579"/>
      <c r="E49" s="1062"/>
      <c r="F49" s="588"/>
      <c r="G49" s="855"/>
      <c r="H49" s="588"/>
      <c r="I49" s="588"/>
      <c r="J49" s="855"/>
      <c r="K49" s="582"/>
    </row>
    <row r="50" spans="1:11" ht="25.5" x14ac:dyDescent="0.2">
      <c r="A50" s="59"/>
      <c r="B50" s="577"/>
      <c r="C50" s="840" t="s">
        <v>463</v>
      </c>
      <c r="D50" s="867" t="s">
        <v>752</v>
      </c>
      <c r="E50" s="1061">
        <f>SUM(E51:E58)</f>
        <v>25372.400000000001</v>
      </c>
      <c r="F50" s="588"/>
      <c r="G50" s="855"/>
      <c r="H50" s="588"/>
      <c r="I50" s="588"/>
      <c r="J50" s="855"/>
      <c r="K50" s="589">
        <f>SUM(E50:J50)</f>
        <v>25372.400000000001</v>
      </c>
    </row>
    <row r="51" spans="1:11" x14ac:dyDescent="0.2">
      <c r="A51" s="59"/>
      <c r="B51" s="577">
        <v>51201</v>
      </c>
      <c r="C51" s="840"/>
      <c r="D51" s="851" t="s">
        <v>706</v>
      </c>
      <c r="E51" s="1062">
        <v>10260</v>
      </c>
      <c r="F51" s="588"/>
      <c r="G51" s="855"/>
      <c r="H51" s="588"/>
      <c r="I51" s="588"/>
      <c r="J51" s="855"/>
      <c r="K51" s="582">
        <f t="shared" ref="K51:K58" si="2">SUM(E51:J51)</f>
        <v>10260</v>
      </c>
    </row>
    <row r="52" spans="1:11" x14ac:dyDescent="0.2">
      <c r="A52" s="59"/>
      <c r="B52" s="577">
        <v>54104</v>
      </c>
      <c r="C52" s="840"/>
      <c r="D52" s="851" t="s">
        <v>758</v>
      </c>
      <c r="E52" s="1062">
        <v>500</v>
      </c>
      <c r="F52" s="588"/>
      <c r="G52" s="855"/>
      <c r="H52" s="588"/>
      <c r="I52" s="588"/>
      <c r="J52" s="855"/>
      <c r="K52" s="582">
        <f t="shared" si="2"/>
        <v>500</v>
      </c>
    </row>
    <row r="53" spans="1:11" x14ac:dyDescent="0.2">
      <c r="A53" s="59"/>
      <c r="B53" s="577">
        <v>54105</v>
      </c>
      <c r="C53" s="840"/>
      <c r="D53" s="851" t="s">
        <v>777</v>
      </c>
      <c r="E53" s="1062">
        <v>200</v>
      </c>
      <c r="F53" s="588"/>
      <c r="G53" s="855"/>
      <c r="H53" s="588"/>
      <c r="I53" s="588"/>
      <c r="J53" s="855"/>
      <c r="K53" s="582">
        <f t="shared" si="2"/>
        <v>200</v>
      </c>
    </row>
    <row r="54" spans="1:11" x14ac:dyDescent="0.2">
      <c r="A54" s="59"/>
      <c r="B54" s="843">
        <v>54107</v>
      </c>
      <c r="C54" s="881"/>
      <c r="D54" s="851" t="s">
        <v>759</v>
      </c>
      <c r="E54" s="1062">
        <v>300</v>
      </c>
      <c r="F54" s="588"/>
      <c r="G54" s="855"/>
      <c r="H54" s="588"/>
      <c r="I54" s="588"/>
      <c r="J54" s="855"/>
      <c r="K54" s="582">
        <f t="shared" si="2"/>
        <v>300</v>
      </c>
    </row>
    <row r="55" spans="1:11" x14ac:dyDescent="0.2">
      <c r="A55" s="59"/>
      <c r="B55" s="843">
        <v>54110</v>
      </c>
      <c r="C55" s="881"/>
      <c r="D55" s="851" t="s">
        <v>778</v>
      </c>
      <c r="E55" s="1062">
        <v>2400</v>
      </c>
      <c r="F55" s="588"/>
      <c r="G55" s="855"/>
      <c r="H55" s="588"/>
      <c r="I55" s="588"/>
      <c r="J55" s="855"/>
      <c r="K55" s="582">
        <f t="shared" si="2"/>
        <v>2400</v>
      </c>
    </row>
    <row r="56" spans="1:11" x14ac:dyDescent="0.2">
      <c r="A56" s="59"/>
      <c r="B56" s="843">
        <v>54118</v>
      </c>
      <c r="C56" s="881"/>
      <c r="D56" s="851" t="s">
        <v>779</v>
      </c>
      <c r="E56" s="1062">
        <v>804</v>
      </c>
      <c r="F56" s="588"/>
      <c r="G56" s="855"/>
      <c r="H56" s="588"/>
      <c r="I56" s="588"/>
      <c r="J56" s="855"/>
      <c r="K56" s="582">
        <f t="shared" si="2"/>
        <v>804</v>
      </c>
    </row>
    <row r="57" spans="1:11" x14ac:dyDescent="0.2">
      <c r="A57" s="59"/>
      <c r="B57" s="843">
        <v>54199</v>
      </c>
      <c r="C57" s="881"/>
      <c r="D57" s="851" t="s">
        <v>780</v>
      </c>
      <c r="E57" s="1062">
        <v>1120</v>
      </c>
      <c r="F57" s="588"/>
      <c r="G57" s="855"/>
      <c r="H57" s="588"/>
      <c r="I57" s="588"/>
      <c r="J57" s="855"/>
      <c r="K57" s="582">
        <f t="shared" si="2"/>
        <v>1120</v>
      </c>
    </row>
    <row r="58" spans="1:11" x14ac:dyDescent="0.2">
      <c r="A58" s="59"/>
      <c r="B58" s="577">
        <v>54399</v>
      </c>
      <c r="C58" s="840"/>
      <c r="D58" s="579" t="s">
        <v>782</v>
      </c>
      <c r="E58" s="1062">
        <v>9788.4</v>
      </c>
      <c r="F58" s="588"/>
      <c r="G58" s="855"/>
      <c r="H58" s="588"/>
      <c r="I58" s="588"/>
      <c r="J58" s="855"/>
      <c r="K58" s="582">
        <f t="shared" si="2"/>
        <v>9788.4</v>
      </c>
    </row>
    <row r="59" spans="1:11" x14ac:dyDescent="0.2">
      <c r="A59" s="59"/>
      <c r="B59" s="577"/>
      <c r="C59" s="578"/>
      <c r="D59" s="579"/>
      <c r="E59" s="1062"/>
      <c r="F59" s="588"/>
      <c r="G59" s="855"/>
      <c r="H59" s="588"/>
      <c r="I59" s="588"/>
      <c r="J59" s="855"/>
      <c r="K59" s="582"/>
    </row>
    <row r="60" spans="1:11" x14ac:dyDescent="0.2">
      <c r="A60" s="59"/>
      <c r="B60" s="577"/>
      <c r="C60" s="578"/>
      <c r="D60" s="579"/>
      <c r="E60" s="1062"/>
      <c r="F60" s="588"/>
      <c r="G60" s="855"/>
      <c r="H60" s="588"/>
      <c r="I60" s="588"/>
      <c r="J60" s="855"/>
      <c r="K60" s="582"/>
    </row>
    <row r="61" spans="1:11" x14ac:dyDescent="0.2">
      <c r="A61" s="59"/>
      <c r="B61" s="577"/>
      <c r="C61" s="840" t="s">
        <v>463</v>
      </c>
      <c r="D61" s="867"/>
      <c r="E61" s="1061"/>
      <c r="F61" s="588"/>
      <c r="G61" s="855"/>
      <c r="H61" s="588"/>
      <c r="I61" s="588"/>
      <c r="J61" s="855"/>
      <c r="K61" s="589"/>
    </row>
    <row r="62" spans="1:11" ht="25.5" x14ac:dyDescent="0.2">
      <c r="A62" s="59"/>
      <c r="B62" s="577"/>
      <c r="C62" s="578" t="s">
        <v>463</v>
      </c>
      <c r="D62" s="867" t="s">
        <v>753</v>
      </c>
      <c r="E62" s="1061">
        <f>SUM(E63)</f>
        <v>8000</v>
      </c>
      <c r="F62" s="588"/>
      <c r="G62" s="855"/>
      <c r="H62" s="588"/>
      <c r="I62" s="588"/>
      <c r="J62" s="855"/>
      <c r="K62" s="589">
        <f>SUM(E62:J62)</f>
        <v>8000</v>
      </c>
    </row>
    <row r="63" spans="1:11" x14ac:dyDescent="0.2">
      <c r="B63" s="577" t="s">
        <v>663</v>
      </c>
      <c r="C63" s="578" t="s">
        <v>463</v>
      </c>
      <c r="D63" s="579" t="s">
        <v>462</v>
      </c>
      <c r="E63" s="1062">
        <v>8000</v>
      </c>
      <c r="F63" s="588"/>
      <c r="G63" s="855"/>
      <c r="H63" s="588"/>
      <c r="I63" s="588"/>
      <c r="J63" s="855"/>
      <c r="K63" s="582">
        <f>SUM(E63:J63)</f>
        <v>8000</v>
      </c>
    </row>
    <row r="64" spans="1:11" x14ac:dyDescent="0.2">
      <c r="B64" s="848"/>
      <c r="C64" s="849" t="s">
        <v>463</v>
      </c>
      <c r="D64" s="852"/>
      <c r="E64" s="1063"/>
      <c r="F64" s="868"/>
      <c r="G64" s="869"/>
      <c r="H64" s="868"/>
      <c r="I64" s="868"/>
      <c r="J64" s="869"/>
      <c r="K64" s="590"/>
    </row>
    <row r="65" spans="2:11" ht="63.75" x14ac:dyDescent="0.2">
      <c r="B65" s="577"/>
      <c r="C65" s="578"/>
      <c r="D65" s="839" t="s">
        <v>754</v>
      </c>
      <c r="E65" s="1061">
        <f>SUM(E66)</f>
        <v>6000</v>
      </c>
      <c r="F65" s="588"/>
      <c r="G65" s="855"/>
      <c r="H65" s="588"/>
      <c r="I65" s="588"/>
      <c r="J65" s="838"/>
      <c r="K65" s="589">
        <f>SUM(E65:J65)</f>
        <v>6000</v>
      </c>
    </row>
    <row r="66" spans="2:11" x14ac:dyDescent="0.2">
      <c r="B66" s="577" t="s">
        <v>663</v>
      </c>
      <c r="C66" s="578"/>
      <c r="D66" s="836" t="s">
        <v>462</v>
      </c>
      <c r="E66" s="1062">
        <v>6000</v>
      </c>
      <c r="F66" s="588"/>
      <c r="G66" s="855"/>
      <c r="H66" s="588"/>
      <c r="I66" s="588"/>
      <c r="J66" s="838"/>
      <c r="K66" s="1055">
        <f>SUM(E66:J66)</f>
        <v>6000</v>
      </c>
    </row>
    <row r="67" spans="2:11" x14ac:dyDescent="0.2">
      <c r="B67" s="577"/>
      <c r="C67" s="578"/>
      <c r="D67" s="836"/>
      <c r="E67" s="1061"/>
      <c r="F67" s="588"/>
      <c r="G67" s="855"/>
      <c r="H67" s="588"/>
      <c r="I67" s="588"/>
      <c r="J67" s="838"/>
      <c r="K67" s="589"/>
    </row>
    <row r="68" spans="2:11" ht="38.25" x14ac:dyDescent="0.2">
      <c r="B68" s="577"/>
      <c r="C68" s="578"/>
      <c r="D68" s="839" t="s">
        <v>755</v>
      </c>
      <c r="E68" s="1061">
        <f>SUM(E69)</f>
        <v>5000</v>
      </c>
      <c r="F68" s="588"/>
      <c r="G68" s="855"/>
      <c r="H68" s="588"/>
      <c r="I68" s="588"/>
      <c r="J68" s="838"/>
      <c r="K68" s="589">
        <f>SUM(E68:J68)</f>
        <v>5000</v>
      </c>
    </row>
    <row r="69" spans="2:11" x14ac:dyDescent="0.2">
      <c r="B69" s="577" t="s">
        <v>663</v>
      </c>
      <c r="C69" s="578"/>
      <c r="D69" s="836" t="s">
        <v>462</v>
      </c>
      <c r="E69" s="1062">
        <v>5000</v>
      </c>
      <c r="F69" s="588"/>
      <c r="G69" s="855"/>
      <c r="H69" s="588"/>
      <c r="I69" s="588"/>
      <c r="J69" s="838"/>
      <c r="K69" s="1055">
        <f>SUM(E69:J69)</f>
        <v>5000</v>
      </c>
    </row>
    <row r="70" spans="2:11" x14ac:dyDescent="0.2">
      <c r="B70" s="577"/>
      <c r="C70" s="578"/>
      <c r="D70" s="836"/>
      <c r="E70" s="1061"/>
      <c r="F70" s="588"/>
      <c r="G70" s="855"/>
      <c r="H70" s="588"/>
      <c r="I70" s="588"/>
      <c r="J70" s="838"/>
      <c r="K70" s="589"/>
    </row>
    <row r="71" spans="2:11" x14ac:dyDescent="0.2">
      <c r="B71" s="577"/>
      <c r="C71" s="578"/>
      <c r="D71" s="839"/>
      <c r="E71" s="1061"/>
      <c r="F71" s="588"/>
      <c r="G71" s="855"/>
      <c r="H71" s="588"/>
      <c r="I71" s="588"/>
      <c r="J71" s="838"/>
      <c r="K71" s="589"/>
    </row>
    <row r="72" spans="2:11" ht="25.5" x14ac:dyDescent="0.2">
      <c r="B72" s="843"/>
      <c r="C72" s="844" t="s">
        <v>463</v>
      </c>
      <c r="D72" s="845" t="s">
        <v>669</v>
      </c>
      <c r="E72" s="1064">
        <f>SUM(E73)</f>
        <v>18132.03</v>
      </c>
      <c r="F72" s="582"/>
      <c r="G72" s="1069"/>
      <c r="H72" s="582"/>
      <c r="I72" s="582"/>
      <c r="J72" s="846"/>
      <c r="K72" s="589">
        <f>SUM(E72:J72)</f>
        <v>18132.03</v>
      </c>
    </row>
    <row r="73" spans="2:11" x14ac:dyDescent="0.2">
      <c r="B73" s="577" t="s">
        <v>663</v>
      </c>
      <c r="C73" s="578" t="s">
        <v>463</v>
      </c>
      <c r="D73" s="836" t="s">
        <v>462</v>
      </c>
      <c r="E73" s="1065">
        <v>18132.03</v>
      </c>
      <c r="F73" s="582"/>
      <c r="G73" s="1069"/>
      <c r="H73" s="582"/>
      <c r="I73" s="582"/>
      <c r="J73" s="846"/>
      <c r="K73" s="582">
        <f>SUM(E73:J73)</f>
        <v>18132.03</v>
      </c>
    </row>
    <row r="74" spans="2:11" x14ac:dyDescent="0.2">
      <c r="B74" s="843"/>
      <c r="C74" s="844" t="s">
        <v>463</v>
      </c>
      <c r="D74" s="845"/>
      <c r="E74" s="1064"/>
      <c r="F74" s="582"/>
      <c r="G74" s="1069"/>
      <c r="H74" s="582"/>
      <c r="I74" s="582"/>
      <c r="J74" s="846"/>
      <c r="K74" s="589"/>
    </row>
    <row r="75" spans="2:11" ht="25.5" x14ac:dyDescent="0.2">
      <c r="B75" s="577"/>
      <c r="C75" s="578" t="s">
        <v>463</v>
      </c>
      <c r="D75" s="839" t="s">
        <v>814</v>
      </c>
      <c r="E75" s="1061">
        <f>SUM(E76)</f>
        <v>20300</v>
      </c>
      <c r="F75" s="588"/>
      <c r="G75" s="855"/>
      <c r="H75" s="588"/>
      <c r="I75" s="588"/>
      <c r="J75" s="838"/>
      <c r="K75" s="589">
        <f>SUM(E75:J75)</f>
        <v>20300</v>
      </c>
    </row>
    <row r="76" spans="2:11" x14ac:dyDescent="0.2">
      <c r="B76" s="577" t="s">
        <v>663</v>
      </c>
      <c r="C76" s="578" t="s">
        <v>463</v>
      </c>
      <c r="D76" s="836" t="s">
        <v>462</v>
      </c>
      <c r="E76" s="1062">
        <v>20300</v>
      </c>
      <c r="F76" s="588"/>
      <c r="G76" s="855"/>
      <c r="H76" s="588"/>
      <c r="I76" s="588"/>
      <c r="J76" s="838"/>
      <c r="K76" s="582">
        <f>SUM(E76:J76)</f>
        <v>20300</v>
      </c>
    </row>
    <row r="77" spans="2:11" ht="15" customHeight="1" x14ac:dyDescent="0.2">
      <c r="B77" s="577"/>
      <c r="C77" s="578"/>
      <c r="D77" s="839"/>
      <c r="E77" s="1061"/>
      <c r="F77" s="588"/>
      <c r="G77" s="855"/>
      <c r="H77" s="588"/>
      <c r="I77" s="588"/>
      <c r="J77" s="838"/>
      <c r="K77" s="589"/>
    </row>
    <row r="78" spans="2:11" ht="25.5" x14ac:dyDescent="0.2">
      <c r="B78" s="577"/>
      <c r="C78" s="578"/>
      <c r="D78" s="839" t="s">
        <v>770</v>
      </c>
      <c r="E78" s="1061"/>
      <c r="F78" s="580">
        <f>F79</f>
        <v>108857.97</v>
      </c>
      <c r="G78" s="855"/>
      <c r="H78" s="588"/>
      <c r="I78" s="588"/>
      <c r="J78" s="838"/>
      <c r="K78" s="589">
        <f>SUM(E78:J78)</f>
        <v>108857.97</v>
      </c>
    </row>
    <row r="79" spans="2:11" x14ac:dyDescent="0.2">
      <c r="B79" s="577">
        <v>61602</v>
      </c>
      <c r="C79" s="578" t="s">
        <v>463</v>
      </c>
      <c r="D79" s="836" t="s">
        <v>462</v>
      </c>
      <c r="E79" s="1062"/>
      <c r="F79" s="1024">
        <v>108857.97</v>
      </c>
      <c r="G79" s="855"/>
      <c r="H79" s="588"/>
      <c r="I79" s="588"/>
      <c r="J79" s="838"/>
      <c r="K79" s="1055">
        <f>SUM(E79:J79)</f>
        <v>108857.97</v>
      </c>
    </row>
    <row r="80" spans="2:11" x14ac:dyDescent="0.2">
      <c r="B80" s="577"/>
      <c r="C80" s="578"/>
      <c r="D80" s="836"/>
      <c r="E80" s="1062"/>
      <c r="F80" s="588"/>
      <c r="G80" s="855"/>
      <c r="H80" s="588"/>
      <c r="I80" s="588"/>
      <c r="J80" s="838"/>
      <c r="K80" s="589"/>
    </row>
    <row r="81" spans="1:11" x14ac:dyDescent="0.2">
      <c r="B81" s="843"/>
      <c r="C81" s="844"/>
      <c r="D81" s="845"/>
      <c r="E81" s="1064"/>
      <c r="F81" s="582"/>
      <c r="G81" s="1069"/>
      <c r="H81" s="582"/>
      <c r="I81" s="582"/>
      <c r="J81" s="1069"/>
      <c r="K81" s="589"/>
    </row>
    <row r="82" spans="1:11" x14ac:dyDescent="0.2">
      <c r="B82" s="843"/>
      <c r="C82" s="844" t="s">
        <v>463</v>
      </c>
      <c r="D82" s="845" t="s">
        <v>690</v>
      </c>
      <c r="E82" s="1064">
        <f>SUM(E83:E83)</f>
        <v>977</v>
      </c>
      <c r="F82" s="582"/>
      <c r="G82" s="1069"/>
      <c r="H82" s="582"/>
      <c r="I82" s="582"/>
      <c r="J82" s="1069"/>
      <c r="K82" s="589">
        <f>SUM(E82:J82)</f>
        <v>977</v>
      </c>
    </row>
    <row r="83" spans="1:11" x14ac:dyDescent="0.2">
      <c r="A83" s="59"/>
      <c r="B83" s="843">
        <v>56305</v>
      </c>
      <c r="C83" s="844" t="s">
        <v>463</v>
      </c>
      <c r="D83" s="1091" t="s">
        <v>717</v>
      </c>
      <c r="E83" s="1062">
        <v>977</v>
      </c>
      <c r="F83" s="588"/>
      <c r="G83" s="855"/>
      <c r="H83" s="580"/>
      <c r="I83" s="580"/>
      <c r="J83" s="581"/>
      <c r="K83" s="582">
        <f>SUM(E83:J83)</f>
        <v>977</v>
      </c>
    </row>
    <row r="84" spans="1:11" x14ac:dyDescent="0.2">
      <c r="B84" s="843"/>
      <c r="C84" s="844" t="s">
        <v>463</v>
      </c>
      <c r="D84" s="866"/>
      <c r="E84" s="1064"/>
      <c r="F84" s="582"/>
      <c r="G84" s="1069"/>
      <c r="H84" s="582"/>
      <c r="I84" s="582"/>
      <c r="J84" s="1069"/>
      <c r="K84" s="589"/>
    </row>
    <row r="85" spans="1:11" x14ac:dyDescent="0.2">
      <c r="B85" s="870"/>
      <c r="C85" s="871"/>
      <c r="D85" s="1092"/>
      <c r="E85" s="1066"/>
      <c r="F85" s="850"/>
      <c r="G85" s="865"/>
      <c r="H85" s="850"/>
      <c r="I85" s="850"/>
      <c r="J85" s="865"/>
      <c r="K85" s="590"/>
    </row>
    <row r="86" spans="1:11" x14ac:dyDescent="0.2">
      <c r="B86" s="843"/>
      <c r="C86" s="844" t="s">
        <v>463</v>
      </c>
      <c r="D86" s="845" t="s">
        <v>756</v>
      </c>
      <c r="E86" s="1064">
        <f>SUM(E87:E89)</f>
        <v>124935</v>
      </c>
      <c r="F86" s="582"/>
      <c r="G86" s="1069"/>
      <c r="H86" s="582"/>
      <c r="I86" s="582"/>
      <c r="J86" s="846"/>
      <c r="K86" s="589">
        <f t="shared" ref="K86:K93" si="3">SUM(E86:J86)</f>
        <v>124935</v>
      </c>
    </row>
    <row r="87" spans="1:11" x14ac:dyDescent="0.2">
      <c r="B87" s="843">
        <v>51201</v>
      </c>
      <c r="C87" s="844" t="s">
        <v>463</v>
      </c>
      <c r="D87" s="851" t="s">
        <v>706</v>
      </c>
      <c r="E87" s="1065">
        <v>40600</v>
      </c>
      <c r="F87" s="582"/>
      <c r="G87" s="1069"/>
      <c r="H87" s="582"/>
      <c r="I87" s="582"/>
      <c r="J87" s="846"/>
      <c r="K87" s="582">
        <f t="shared" si="3"/>
        <v>40600</v>
      </c>
    </row>
    <row r="88" spans="1:11" x14ac:dyDescent="0.2">
      <c r="B88" s="843">
        <v>56305</v>
      </c>
      <c r="C88" s="844" t="s">
        <v>463</v>
      </c>
      <c r="D88" s="1072" t="s">
        <v>717</v>
      </c>
      <c r="E88" s="1025">
        <v>84335</v>
      </c>
      <c r="F88" s="582"/>
      <c r="G88" s="1069"/>
      <c r="H88" s="582"/>
      <c r="I88" s="582"/>
      <c r="J88" s="846"/>
      <c r="K88" s="582">
        <f t="shared" si="3"/>
        <v>84335</v>
      </c>
    </row>
    <row r="89" spans="1:11" x14ac:dyDescent="0.2">
      <c r="B89" s="577"/>
      <c r="C89" s="578"/>
      <c r="D89" s="579"/>
      <c r="E89" s="1062"/>
      <c r="F89" s="588"/>
      <c r="G89" s="855"/>
      <c r="H89" s="580"/>
      <c r="I89" s="580"/>
      <c r="J89" s="581"/>
      <c r="K89" s="582">
        <f t="shared" si="3"/>
        <v>0</v>
      </c>
    </row>
    <row r="90" spans="1:11" x14ac:dyDescent="0.2">
      <c r="B90" s="843"/>
      <c r="C90" s="840" t="s">
        <v>463</v>
      </c>
      <c r="D90" s="842" t="s">
        <v>691</v>
      </c>
      <c r="E90" s="1064">
        <f>SUM(E91:E93)</f>
        <v>1663.6399999999999</v>
      </c>
      <c r="F90" s="582"/>
      <c r="G90" s="1069"/>
      <c r="H90" s="582"/>
      <c r="I90" s="582"/>
      <c r="J90" s="846"/>
      <c r="K90" s="589">
        <f t="shared" si="3"/>
        <v>1663.6399999999999</v>
      </c>
    </row>
    <row r="91" spans="1:11" x14ac:dyDescent="0.2">
      <c r="B91" s="843">
        <v>51201</v>
      </c>
      <c r="C91" s="844" t="s">
        <v>463</v>
      </c>
      <c r="D91" s="851" t="s">
        <v>706</v>
      </c>
      <c r="E91" s="1065">
        <v>163.63999999999999</v>
      </c>
      <c r="F91" s="582"/>
      <c r="G91" s="1069"/>
      <c r="H91" s="582"/>
      <c r="I91" s="582"/>
      <c r="J91" s="846"/>
      <c r="K91" s="582">
        <f t="shared" si="3"/>
        <v>163.63999999999999</v>
      </c>
    </row>
    <row r="92" spans="1:11" x14ac:dyDescent="0.2">
      <c r="B92" s="843">
        <v>56304</v>
      </c>
      <c r="C92" s="844" t="s">
        <v>463</v>
      </c>
      <c r="D92" s="851" t="s">
        <v>710</v>
      </c>
      <c r="E92" s="1065">
        <v>1500</v>
      </c>
      <c r="F92" s="582"/>
      <c r="G92" s="1069"/>
      <c r="H92" s="582"/>
      <c r="I92" s="582"/>
      <c r="J92" s="846"/>
      <c r="K92" s="582">
        <f t="shared" si="3"/>
        <v>1500</v>
      </c>
    </row>
    <row r="93" spans="1:11" x14ac:dyDescent="0.2">
      <c r="A93" s="59"/>
      <c r="B93" s="1058"/>
      <c r="C93" s="1022"/>
      <c r="D93" s="1059"/>
      <c r="E93" s="1062"/>
      <c r="F93" s="588"/>
      <c r="G93" s="855"/>
      <c r="H93" s="580"/>
      <c r="I93" s="580"/>
      <c r="J93" s="581"/>
      <c r="K93" s="582">
        <f t="shared" si="3"/>
        <v>0</v>
      </c>
    </row>
    <row r="94" spans="1:11" x14ac:dyDescent="0.2">
      <c r="A94" s="59"/>
      <c r="B94" s="577"/>
      <c r="C94" s="578"/>
      <c r="D94" s="579"/>
      <c r="E94" s="1062"/>
      <c r="F94" s="588"/>
      <c r="G94" s="855"/>
      <c r="H94" s="580"/>
      <c r="I94" s="580"/>
      <c r="J94" s="581"/>
      <c r="K94" s="582"/>
    </row>
    <row r="95" spans="1:11" x14ac:dyDescent="0.2">
      <c r="A95" s="59"/>
      <c r="B95" s="577"/>
      <c r="C95" s="578" t="s">
        <v>463</v>
      </c>
      <c r="D95" s="867" t="s">
        <v>757</v>
      </c>
      <c r="E95" s="1061">
        <f>SUM(E96:E100)</f>
        <v>36260.400000000001</v>
      </c>
      <c r="F95" s="588"/>
      <c r="G95" s="855"/>
      <c r="H95" s="580"/>
      <c r="I95" s="580"/>
      <c r="J95" s="581"/>
      <c r="K95" s="589">
        <f>SUM(E95:J95)</f>
        <v>36260.400000000001</v>
      </c>
    </row>
    <row r="96" spans="1:11" x14ac:dyDescent="0.2">
      <c r="A96" s="59"/>
      <c r="B96" s="577">
        <v>51201</v>
      </c>
      <c r="C96" s="578" t="s">
        <v>463</v>
      </c>
      <c r="D96" s="579" t="s">
        <v>706</v>
      </c>
      <c r="E96" s="1062">
        <v>4800</v>
      </c>
      <c r="F96" s="588"/>
      <c r="G96" s="855"/>
      <c r="H96" s="580"/>
      <c r="I96" s="580"/>
      <c r="J96" s="581"/>
      <c r="K96" s="582">
        <f t="shared" ref="K96:K100" si="4">SUM(E96:J96)</f>
        <v>4800</v>
      </c>
    </row>
    <row r="97" spans="1:11" x14ac:dyDescent="0.2">
      <c r="A97" s="59"/>
      <c r="B97" s="577">
        <v>54104</v>
      </c>
      <c r="C97" s="578" t="s">
        <v>463</v>
      </c>
      <c r="D97" s="579" t="s">
        <v>707</v>
      </c>
      <c r="E97" s="1062">
        <v>2000</v>
      </c>
      <c r="F97" s="588"/>
      <c r="G97" s="855"/>
      <c r="H97" s="580"/>
      <c r="I97" s="580"/>
      <c r="J97" s="581"/>
      <c r="K97" s="582">
        <f t="shared" si="4"/>
        <v>2000</v>
      </c>
    </row>
    <row r="98" spans="1:11" x14ac:dyDescent="0.2">
      <c r="A98" s="59"/>
      <c r="B98" s="577">
        <v>54116</v>
      </c>
      <c r="C98" s="578" t="s">
        <v>463</v>
      </c>
      <c r="D98" s="579" t="s">
        <v>708</v>
      </c>
      <c r="E98" s="1062">
        <v>5848.25</v>
      </c>
      <c r="F98" s="588"/>
      <c r="G98" s="855"/>
      <c r="H98" s="580"/>
      <c r="I98" s="580"/>
      <c r="J98" s="581"/>
      <c r="K98" s="582">
        <f t="shared" si="4"/>
        <v>5848.25</v>
      </c>
    </row>
    <row r="99" spans="1:11" x14ac:dyDescent="0.2">
      <c r="A99" s="59"/>
      <c r="B99" s="577">
        <v>54199</v>
      </c>
      <c r="C99" s="578" t="s">
        <v>463</v>
      </c>
      <c r="D99" s="579" t="s">
        <v>709</v>
      </c>
      <c r="E99" s="1062">
        <v>912.15</v>
      </c>
      <c r="F99" s="588"/>
      <c r="G99" s="855"/>
      <c r="H99" s="580"/>
      <c r="I99" s="580"/>
      <c r="J99" s="581"/>
      <c r="K99" s="582">
        <f t="shared" si="4"/>
        <v>912.15</v>
      </c>
    </row>
    <row r="100" spans="1:11" x14ac:dyDescent="0.2">
      <c r="A100" s="59"/>
      <c r="B100" s="577">
        <v>56304</v>
      </c>
      <c r="C100" s="578" t="s">
        <v>463</v>
      </c>
      <c r="D100" s="579" t="s">
        <v>710</v>
      </c>
      <c r="E100" s="1062">
        <v>22700</v>
      </c>
      <c r="F100" s="588"/>
      <c r="G100" s="855"/>
      <c r="H100" s="580"/>
      <c r="I100" s="580"/>
      <c r="J100" s="581"/>
      <c r="K100" s="582">
        <f t="shared" si="4"/>
        <v>22700</v>
      </c>
    </row>
    <row r="101" spans="1:11" x14ac:dyDescent="0.2">
      <c r="A101" s="59"/>
      <c r="B101" s="577"/>
      <c r="C101" s="578"/>
      <c r="D101" s="579"/>
      <c r="E101" s="1062"/>
      <c r="F101" s="588"/>
      <c r="G101" s="855"/>
      <c r="H101" s="580"/>
      <c r="I101" s="580"/>
      <c r="J101" s="581"/>
      <c r="K101" s="582"/>
    </row>
    <row r="102" spans="1:11" x14ac:dyDescent="0.2">
      <c r="B102" s="577"/>
      <c r="C102" s="578" t="s">
        <v>463</v>
      </c>
      <c r="D102" s="839" t="s">
        <v>692</v>
      </c>
      <c r="E102" s="1064">
        <f>SUM(E103:E103)</f>
        <v>2743.81</v>
      </c>
      <c r="F102" s="588"/>
      <c r="G102" s="855"/>
      <c r="H102" s="588"/>
      <c r="I102" s="588"/>
      <c r="J102" s="838"/>
      <c r="K102" s="589">
        <f>SUM(E102:J102)</f>
        <v>2743.81</v>
      </c>
    </row>
    <row r="103" spans="1:11" x14ac:dyDescent="0.2">
      <c r="A103" s="59"/>
      <c r="B103" s="843">
        <v>51201</v>
      </c>
      <c r="C103" s="844" t="s">
        <v>463</v>
      </c>
      <c r="D103" s="851" t="s">
        <v>706</v>
      </c>
      <c r="E103" s="1062">
        <v>2743.81</v>
      </c>
      <c r="F103" s="588"/>
      <c r="G103" s="855"/>
      <c r="H103" s="580"/>
      <c r="I103" s="580"/>
      <c r="J103" s="581"/>
      <c r="K103" s="582">
        <f>SUM(E103:J103)</f>
        <v>2743.81</v>
      </c>
    </row>
    <row r="104" spans="1:11" ht="9.75" customHeight="1" x14ac:dyDescent="0.2">
      <c r="B104" s="577"/>
      <c r="C104" s="578"/>
      <c r="D104" s="839"/>
      <c r="E104" s="1061"/>
      <c r="F104" s="588"/>
      <c r="G104" s="855"/>
      <c r="H104" s="588"/>
      <c r="I104" s="588"/>
      <c r="J104" s="838"/>
      <c r="K104" s="589"/>
    </row>
    <row r="105" spans="1:11" x14ac:dyDescent="0.2">
      <c r="B105" s="577"/>
      <c r="C105" s="578" t="s">
        <v>463</v>
      </c>
      <c r="D105" s="839" t="s">
        <v>815</v>
      </c>
      <c r="E105" s="1064">
        <f>SUM(E106:E118)</f>
        <v>48988.18</v>
      </c>
      <c r="F105" s="588"/>
      <c r="G105" s="855"/>
      <c r="H105" s="588"/>
      <c r="I105" s="588"/>
      <c r="J105" s="838"/>
      <c r="K105" s="589">
        <f>SUM(E105:J105)</f>
        <v>48988.18</v>
      </c>
    </row>
    <row r="106" spans="1:11" x14ac:dyDescent="0.2">
      <c r="B106" s="843">
        <v>51201</v>
      </c>
      <c r="C106" s="844" t="s">
        <v>463</v>
      </c>
      <c r="D106" s="851" t="s">
        <v>706</v>
      </c>
      <c r="E106" s="1062">
        <f>20824+4982</f>
        <v>25806</v>
      </c>
      <c r="F106" s="588"/>
      <c r="G106" s="855"/>
      <c r="H106" s="588"/>
      <c r="I106" s="588"/>
      <c r="J106" s="838"/>
      <c r="K106" s="582">
        <f>SUM(E106:J106)</f>
        <v>25806</v>
      </c>
    </row>
    <row r="107" spans="1:11" x14ac:dyDescent="0.2">
      <c r="B107" s="843">
        <v>54104</v>
      </c>
      <c r="C107" s="844"/>
      <c r="D107" s="851" t="s">
        <v>758</v>
      </c>
      <c r="E107" s="1062">
        <v>39</v>
      </c>
      <c r="F107" s="588"/>
      <c r="G107" s="855"/>
      <c r="H107" s="588"/>
      <c r="I107" s="588"/>
      <c r="J107" s="838"/>
      <c r="K107" s="582">
        <f t="shared" ref="K107:K118" si="5">SUM(E107:J107)</f>
        <v>39</v>
      </c>
    </row>
    <row r="108" spans="1:11" x14ac:dyDescent="0.2">
      <c r="B108" s="843">
        <v>54105</v>
      </c>
      <c r="C108" s="844" t="s">
        <v>463</v>
      </c>
      <c r="D108" s="851" t="s">
        <v>711</v>
      </c>
      <c r="E108" s="1062">
        <v>41</v>
      </c>
      <c r="F108" s="588"/>
      <c r="G108" s="855"/>
      <c r="H108" s="588"/>
      <c r="I108" s="588"/>
      <c r="J108" s="838"/>
      <c r="K108" s="582">
        <f t="shared" si="5"/>
        <v>41</v>
      </c>
    </row>
    <row r="109" spans="1:11" x14ac:dyDescent="0.2">
      <c r="B109" s="843">
        <v>54107</v>
      </c>
      <c r="C109" s="844"/>
      <c r="D109" s="851" t="s">
        <v>759</v>
      </c>
      <c r="E109" s="1062">
        <v>203.88</v>
      </c>
      <c r="F109" s="588"/>
      <c r="G109" s="855"/>
      <c r="H109" s="588"/>
      <c r="I109" s="588"/>
      <c r="J109" s="838"/>
      <c r="K109" s="582">
        <f t="shared" si="5"/>
        <v>203.88</v>
      </c>
    </row>
    <row r="110" spans="1:11" x14ac:dyDescent="0.2">
      <c r="B110" s="843">
        <v>54116</v>
      </c>
      <c r="C110" s="844"/>
      <c r="D110" s="851" t="s">
        <v>764</v>
      </c>
      <c r="E110" s="1062">
        <v>100</v>
      </c>
      <c r="F110" s="588"/>
      <c r="G110" s="855"/>
      <c r="H110" s="588"/>
      <c r="I110" s="588"/>
      <c r="J110" s="838"/>
      <c r="K110" s="582">
        <f t="shared" si="5"/>
        <v>100</v>
      </c>
    </row>
    <row r="111" spans="1:11" x14ac:dyDescent="0.2">
      <c r="B111" s="843">
        <v>54199</v>
      </c>
      <c r="C111" s="844" t="s">
        <v>463</v>
      </c>
      <c r="D111" s="851" t="s">
        <v>709</v>
      </c>
      <c r="E111" s="1062">
        <f>2167.8+200</f>
        <v>2367.8000000000002</v>
      </c>
      <c r="F111" s="588"/>
      <c r="G111" s="855"/>
      <c r="H111" s="588"/>
      <c r="I111" s="588"/>
      <c r="J111" s="838"/>
      <c r="K111" s="582">
        <f t="shared" si="5"/>
        <v>2367.8000000000002</v>
      </c>
    </row>
    <row r="112" spans="1:11" x14ac:dyDescent="0.2">
      <c r="B112" s="843">
        <v>54201</v>
      </c>
      <c r="C112" s="844"/>
      <c r="D112" s="851" t="s">
        <v>760</v>
      </c>
      <c r="E112" s="1062">
        <v>192</v>
      </c>
      <c r="F112" s="588"/>
      <c r="G112" s="855"/>
      <c r="H112" s="588"/>
      <c r="I112" s="588"/>
      <c r="J112" s="838"/>
      <c r="K112" s="582">
        <f t="shared" si="5"/>
        <v>192</v>
      </c>
    </row>
    <row r="113" spans="1:11" x14ac:dyDescent="0.2">
      <c r="B113" s="843">
        <v>54301</v>
      </c>
      <c r="C113" s="844"/>
      <c r="D113" s="851" t="s">
        <v>795</v>
      </c>
      <c r="E113" s="1062">
        <v>955</v>
      </c>
      <c r="F113" s="588"/>
      <c r="G113" s="855"/>
      <c r="H113" s="588"/>
      <c r="I113" s="588"/>
      <c r="J113" s="838"/>
      <c r="K113" s="582">
        <f t="shared" si="5"/>
        <v>955</v>
      </c>
    </row>
    <row r="114" spans="1:11" x14ac:dyDescent="0.2">
      <c r="B114" s="843">
        <v>54304</v>
      </c>
      <c r="C114" s="844" t="s">
        <v>463</v>
      </c>
      <c r="D114" s="851" t="s">
        <v>712</v>
      </c>
      <c r="E114" s="1062">
        <v>1800</v>
      </c>
      <c r="F114" s="588"/>
      <c r="G114" s="855"/>
      <c r="H114" s="588"/>
      <c r="I114" s="588"/>
      <c r="J114" s="838"/>
      <c r="K114" s="582">
        <f t="shared" si="5"/>
        <v>1800</v>
      </c>
    </row>
    <row r="115" spans="1:11" x14ac:dyDescent="0.2">
      <c r="B115" s="843">
        <v>54314</v>
      </c>
      <c r="C115" s="844" t="s">
        <v>463</v>
      </c>
      <c r="D115" s="851" t="s">
        <v>713</v>
      </c>
      <c r="E115" s="1062">
        <v>14068.5</v>
      </c>
      <c r="F115" s="588"/>
      <c r="G115" s="855"/>
      <c r="H115" s="588"/>
      <c r="I115" s="588"/>
      <c r="J115" s="838"/>
      <c r="K115" s="582">
        <f t="shared" si="5"/>
        <v>14068.5</v>
      </c>
    </row>
    <row r="116" spans="1:11" ht="13.5" thickBot="1" x14ac:dyDescent="0.25">
      <c r="A116" s="1149"/>
      <c r="B116" s="1143">
        <v>54317</v>
      </c>
      <c r="C116" s="1144"/>
      <c r="D116" s="1145" t="s">
        <v>761</v>
      </c>
      <c r="E116" s="1146">
        <v>1200</v>
      </c>
      <c r="F116" s="1147"/>
      <c r="G116" s="1147"/>
      <c r="H116" s="1147"/>
      <c r="I116" s="1147"/>
      <c r="J116" s="1147"/>
      <c r="K116" s="1148">
        <f t="shared" si="5"/>
        <v>1200</v>
      </c>
    </row>
    <row r="117" spans="1:11" x14ac:dyDescent="0.2">
      <c r="B117" s="843">
        <v>54399</v>
      </c>
      <c r="C117" s="844" t="s">
        <v>463</v>
      </c>
      <c r="D117" s="1091" t="s">
        <v>714</v>
      </c>
      <c r="E117" s="1062">
        <v>875</v>
      </c>
      <c r="F117" s="588"/>
      <c r="G117" s="855"/>
      <c r="H117" s="588"/>
      <c r="I117" s="588"/>
      <c r="J117" s="855"/>
      <c r="K117" s="582">
        <f t="shared" si="5"/>
        <v>875</v>
      </c>
    </row>
    <row r="118" spans="1:11" x14ac:dyDescent="0.2">
      <c r="B118" s="843">
        <v>61102</v>
      </c>
      <c r="C118" s="844"/>
      <c r="D118" s="1091" t="s">
        <v>762</v>
      </c>
      <c r="E118" s="1062">
        <v>1340</v>
      </c>
      <c r="F118" s="588"/>
      <c r="G118" s="855"/>
      <c r="H118" s="588"/>
      <c r="I118" s="588"/>
      <c r="J118" s="855"/>
      <c r="K118" s="582">
        <f t="shared" si="5"/>
        <v>1340</v>
      </c>
    </row>
    <row r="119" spans="1:11" x14ac:dyDescent="0.2">
      <c r="B119" s="577"/>
      <c r="C119" s="578"/>
      <c r="D119" s="867"/>
      <c r="E119" s="1061"/>
      <c r="F119" s="588"/>
      <c r="G119" s="855"/>
      <c r="H119" s="588"/>
      <c r="I119" s="588"/>
      <c r="J119" s="855"/>
      <c r="K119" s="589"/>
    </row>
    <row r="120" spans="1:11" x14ac:dyDescent="0.2">
      <c r="B120" s="577"/>
      <c r="C120" s="578" t="s">
        <v>463</v>
      </c>
      <c r="D120" s="839" t="s">
        <v>763</v>
      </c>
      <c r="E120" s="1064">
        <f>SUM(E121:E129)</f>
        <v>32996.959999999999</v>
      </c>
      <c r="F120" s="588"/>
      <c r="G120" s="855"/>
      <c r="H120" s="580"/>
      <c r="I120" s="580"/>
      <c r="J120" s="841"/>
      <c r="K120" s="589">
        <f t="shared" ref="K120:K129" si="6">SUM(E120:J120)</f>
        <v>32996.959999999999</v>
      </c>
    </row>
    <row r="121" spans="1:11" x14ac:dyDescent="0.2">
      <c r="B121" s="843">
        <v>51201</v>
      </c>
      <c r="C121" s="844" t="s">
        <v>463</v>
      </c>
      <c r="D121" s="851" t="s">
        <v>706</v>
      </c>
      <c r="E121" s="1062">
        <v>755.1</v>
      </c>
      <c r="F121" s="588"/>
      <c r="G121" s="855"/>
      <c r="H121" s="580"/>
      <c r="I121" s="580"/>
      <c r="J121" s="841"/>
      <c r="K121" s="582">
        <f t="shared" si="6"/>
        <v>755.1</v>
      </c>
    </row>
    <row r="122" spans="1:11" x14ac:dyDescent="0.2">
      <c r="B122" s="843">
        <v>54104</v>
      </c>
      <c r="C122" s="844" t="s">
        <v>463</v>
      </c>
      <c r="D122" s="851" t="s">
        <v>707</v>
      </c>
      <c r="E122" s="1062">
        <v>3668</v>
      </c>
      <c r="F122" s="588"/>
      <c r="G122" s="855"/>
      <c r="H122" s="580"/>
      <c r="I122" s="580"/>
      <c r="J122" s="841"/>
      <c r="K122" s="582">
        <f t="shared" si="6"/>
        <v>3668</v>
      </c>
    </row>
    <row r="123" spans="1:11" x14ac:dyDescent="0.2">
      <c r="B123" s="843">
        <v>54119</v>
      </c>
      <c r="C123" s="844" t="s">
        <v>463</v>
      </c>
      <c r="D123" s="851" t="s">
        <v>715</v>
      </c>
      <c r="E123" s="1062">
        <v>2000</v>
      </c>
      <c r="F123" s="588"/>
      <c r="G123" s="855"/>
      <c r="H123" s="580"/>
      <c r="I123" s="580"/>
      <c r="J123" s="841"/>
      <c r="K123" s="582">
        <f t="shared" si="6"/>
        <v>2000</v>
      </c>
    </row>
    <row r="124" spans="1:11" x14ac:dyDescent="0.2">
      <c r="B124" s="843">
        <v>54199</v>
      </c>
      <c r="C124" s="844" t="s">
        <v>463</v>
      </c>
      <c r="D124" s="851" t="s">
        <v>709</v>
      </c>
      <c r="E124" s="1062">
        <v>6543.3</v>
      </c>
      <c r="F124" s="588"/>
      <c r="G124" s="855"/>
      <c r="H124" s="580"/>
      <c r="I124" s="580"/>
      <c r="J124" s="841"/>
      <c r="K124" s="582">
        <f t="shared" si="6"/>
        <v>6543.3</v>
      </c>
    </row>
    <row r="125" spans="1:11" x14ac:dyDescent="0.2">
      <c r="B125" s="843">
        <v>54304</v>
      </c>
      <c r="C125" s="844" t="s">
        <v>463</v>
      </c>
      <c r="D125" s="851" t="s">
        <v>712</v>
      </c>
      <c r="E125" s="1062">
        <v>1450</v>
      </c>
      <c r="F125" s="588"/>
      <c r="G125" s="855"/>
      <c r="H125" s="580"/>
      <c r="I125" s="580"/>
      <c r="J125" s="841"/>
      <c r="K125" s="582">
        <f t="shared" si="6"/>
        <v>1450</v>
      </c>
    </row>
    <row r="126" spans="1:11" x14ac:dyDescent="0.2">
      <c r="B126" s="843">
        <v>54305</v>
      </c>
      <c r="C126" s="844" t="s">
        <v>463</v>
      </c>
      <c r="D126" s="851" t="s">
        <v>716</v>
      </c>
      <c r="E126" s="1062">
        <v>720</v>
      </c>
      <c r="F126" s="588"/>
      <c r="G126" s="855"/>
      <c r="H126" s="580"/>
      <c r="I126" s="580"/>
      <c r="J126" s="841"/>
      <c r="K126" s="582">
        <f t="shared" si="6"/>
        <v>720</v>
      </c>
    </row>
    <row r="127" spans="1:11" x14ac:dyDescent="0.2">
      <c r="B127" s="843">
        <v>54314</v>
      </c>
      <c r="C127" s="844" t="s">
        <v>463</v>
      </c>
      <c r="D127" s="851" t="s">
        <v>713</v>
      </c>
      <c r="E127" s="1062">
        <v>9307.31</v>
      </c>
      <c r="F127" s="588"/>
      <c r="G127" s="855"/>
      <c r="H127" s="580"/>
      <c r="I127" s="580"/>
      <c r="J127" s="841"/>
      <c r="K127" s="582">
        <f t="shared" si="6"/>
        <v>9307.31</v>
      </c>
    </row>
    <row r="128" spans="1:11" x14ac:dyDescent="0.2">
      <c r="B128" s="843">
        <v>54399</v>
      </c>
      <c r="C128" s="844" t="s">
        <v>463</v>
      </c>
      <c r="D128" s="851" t="s">
        <v>714</v>
      </c>
      <c r="E128" s="1062">
        <v>7103.25</v>
      </c>
      <c r="F128" s="588"/>
      <c r="G128" s="855"/>
      <c r="H128" s="580"/>
      <c r="I128" s="580"/>
      <c r="J128" s="841"/>
      <c r="K128" s="582">
        <f t="shared" si="6"/>
        <v>7103.25</v>
      </c>
    </row>
    <row r="129" spans="1:11" x14ac:dyDescent="0.2">
      <c r="B129" s="843">
        <v>56304</v>
      </c>
      <c r="C129" s="844" t="s">
        <v>463</v>
      </c>
      <c r="D129" s="851" t="s">
        <v>710</v>
      </c>
      <c r="E129" s="1062">
        <v>1450</v>
      </c>
      <c r="F129" s="588"/>
      <c r="G129" s="855"/>
      <c r="H129" s="580"/>
      <c r="I129" s="580"/>
      <c r="J129" s="841"/>
      <c r="K129" s="582">
        <f t="shared" si="6"/>
        <v>1450</v>
      </c>
    </row>
    <row r="130" spans="1:11" x14ac:dyDescent="0.2">
      <c r="B130" s="577"/>
      <c r="C130" s="578"/>
      <c r="D130" s="839"/>
      <c r="E130" s="1061"/>
      <c r="F130" s="588"/>
      <c r="G130" s="855"/>
      <c r="H130" s="580"/>
      <c r="I130" s="580"/>
      <c r="J130" s="841"/>
      <c r="K130" s="589"/>
    </row>
    <row r="131" spans="1:11" s="59" customFormat="1" x14ac:dyDescent="0.2">
      <c r="B131" s="577"/>
      <c r="C131" s="840" t="s">
        <v>463</v>
      </c>
      <c r="D131" s="839" t="s">
        <v>765</v>
      </c>
      <c r="E131" s="1064">
        <f>SUM(E132:E137)</f>
        <v>33825.31</v>
      </c>
      <c r="F131" s="580"/>
      <c r="G131" s="581"/>
      <c r="H131" s="580"/>
      <c r="I131" s="580"/>
      <c r="J131" s="841"/>
      <c r="K131" s="589">
        <f t="shared" ref="K131:K136" si="7">SUM(E131:J131)</f>
        <v>33825.31</v>
      </c>
    </row>
    <row r="132" spans="1:11" s="59" customFormat="1" x14ac:dyDescent="0.2">
      <c r="A132"/>
      <c r="B132" s="843">
        <v>54116</v>
      </c>
      <c r="C132" s="844" t="s">
        <v>463</v>
      </c>
      <c r="D132" s="851" t="s">
        <v>708</v>
      </c>
      <c r="E132" s="1062">
        <v>775</v>
      </c>
      <c r="F132" s="580"/>
      <c r="G132" s="581"/>
      <c r="H132" s="580"/>
      <c r="I132" s="580"/>
      <c r="J132" s="841"/>
      <c r="K132" s="582">
        <f t="shared" si="7"/>
        <v>775</v>
      </c>
    </row>
    <row r="133" spans="1:11" s="59" customFormat="1" x14ac:dyDescent="0.2">
      <c r="A133"/>
      <c r="B133" s="843">
        <v>54199</v>
      </c>
      <c r="C133" s="844" t="s">
        <v>463</v>
      </c>
      <c r="D133" s="851" t="s">
        <v>709</v>
      </c>
      <c r="E133" s="1062">
        <v>9324</v>
      </c>
      <c r="F133" s="580"/>
      <c r="G133" s="581"/>
      <c r="H133" s="580"/>
      <c r="I133" s="580"/>
      <c r="J133" s="841"/>
      <c r="K133" s="582">
        <f t="shared" si="7"/>
        <v>9324</v>
      </c>
    </row>
    <row r="134" spans="1:11" s="59" customFormat="1" x14ac:dyDescent="0.2">
      <c r="A134"/>
      <c r="B134" s="843">
        <v>54304</v>
      </c>
      <c r="C134" s="844" t="s">
        <v>463</v>
      </c>
      <c r="D134" s="851" t="s">
        <v>712</v>
      </c>
      <c r="E134" s="1062">
        <v>400</v>
      </c>
      <c r="F134" s="580"/>
      <c r="G134" s="581"/>
      <c r="H134" s="580"/>
      <c r="I134" s="580"/>
      <c r="J134" s="841"/>
      <c r="K134" s="582">
        <f t="shared" si="7"/>
        <v>400</v>
      </c>
    </row>
    <row r="135" spans="1:11" s="59" customFormat="1" x14ac:dyDescent="0.2">
      <c r="A135"/>
      <c r="B135" s="843">
        <v>54314</v>
      </c>
      <c r="C135" s="844" t="s">
        <v>463</v>
      </c>
      <c r="D135" s="851" t="s">
        <v>713</v>
      </c>
      <c r="E135" s="1062">
        <v>13038.3</v>
      </c>
      <c r="F135" s="580"/>
      <c r="G135" s="581"/>
      <c r="H135" s="580"/>
      <c r="I135" s="580"/>
      <c r="J135" s="841"/>
      <c r="K135" s="582">
        <f t="shared" si="7"/>
        <v>13038.3</v>
      </c>
    </row>
    <row r="136" spans="1:11" s="59" customFormat="1" x14ac:dyDescent="0.2">
      <c r="A136"/>
      <c r="B136" s="843">
        <v>54399</v>
      </c>
      <c r="C136" s="844" t="s">
        <v>463</v>
      </c>
      <c r="D136" s="851" t="s">
        <v>714</v>
      </c>
      <c r="E136" s="1062">
        <v>8688.01</v>
      </c>
      <c r="F136" s="580"/>
      <c r="G136" s="581"/>
      <c r="H136" s="580"/>
      <c r="I136" s="580"/>
      <c r="J136" s="841"/>
      <c r="K136" s="582">
        <f t="shared" si="7"/>
        <v>8688.01</v>
      </c>
    </row>
    <row r="137" spans="1:11" s="59" customFormat="1" x14ac:dyDescent="0.2">
      <c r="A137"/>
      <c r="B137" s="843">
        <v>56304</v>
      </c>
      <c r="C137" s="844" t="s">
        <v>463</v>
      </c>
      <c r="D137" s="851" t="s">
        <v>710</v>
      </c>
      <c r="E137" s="1062">
        <v>1600</v>
      </c>
      <c r="F137" s="580"/>
      <c r="G137" s="581"/>
      <c r="H137" s="580"/>
      <c r="I137" s="580"/>
      <c r="J137" s="841"/>
      <c r="K137" s="582">
        <f>SUM(E137:J137)</f>
        <v>1600</v>
      </c>
    </row>
    <row r="138" spans="1:11" s="59" customFormat="1" x14ac:dyDescent="0.2">
      <c r="A138"/>
      <c r="B138" s="577"/>
      <c r="C138" s="840" t="s">
        <v>463</v>
      </c>
      <c r="D138" s="839"/>
      <c r="E138" s="1061"/>
      <c r="F138" s="580"/>
      <c r="G138" s="581"/>
      <c r="H138" s="580"/>
      <c r="I138" s="580"/>
      <c r="J138" s="841"/>
      <c r="K138" s="589"/>
    </row>
    <row r="139" spans="1:11" x14ac:dyDescent="0.2">
      <c r="B139" s="577"/>
      <c r="C139" s="578"/>
      <c r="D139" s="839"/>
      <c r="E139" s="1061"/>
      <c r="F139" s="588"/>
      <c r="G139" s="855"/>
      <c r="H139" s="588"/>
      <c r="I139" s="588"/>
      <c r="J139" s="838"/>
      <c r="K139" s="589"/>
    </row>
    <row r="140" spans="1:11" ht="25.5" x14ac:dyDescent="0.2">
      <c r="B140" s="577"/>
      <c r="C140" s="578" t="s">
        <v>463</v>
      </c>
      <c r="D140" s="839" t="s">
        <v>675</v>
      </c>
      <c r="E140" s="1064">
        <f>SUM(E141)</f>
        <v>1000</v>
      </c>
      <c r="F140" s="588"/>
      <c r="G140" s="855"/>
      <c r="H140" s="580"/>
      <c r="I140" s="580"/>
      <c r="J140" s="841"/>
      <c r="K140" s="589">
        <f>SUM(E140:J140)</f>
        <v>1000</v>
      </c>
    </row>
    <row r="141" spans="1:11" x14ac:dyDescent="0.2">
      <c r="B141" s="843" t="s">
        <v>664</v>
      </c>
      <c r="C141" s="844" t="s">
        <v>463</v>
      </c>
      <c r="D141" s="851" t="s">
        <v>461</v>
      </c>
      <c r="E141" s="1062">
        <v>1000</v>
      </c>
      <c r="F141" s="588"/>
      <c r="G141" s="855"/>
      <c r="H141" s="580"/>
      <c r="I141" s="580"/>
      <c r="J141" s="841"/>
      <c r="K141" s="582">
        <f>SUM(E141:J141)</f>
        <v>1000</v>
      </c>
    </row>
    <row r="142" spans="1:11" x14ac:dyDescent="0.2">
      <c r="B142" s="577"/>
      <c r="C142" s="578" t="s">
        <v>463</v>
      </c>
      <c r="D142" s="839"/>
      <c r="E142" s="1061"/>
      <c r="F142" s="588"/>
      <c r="G142" s="855"/>
      <c r="H142" s="580"/>
      <c r="I142" s="580"/>
      <c r="J142" s="841"/>
      <c r="K142" s="589"/>
    </row>
    <row r="143" spans="1:11" ht="25.5" x14ac:dyDescent="0.2">
      <c r="B143" s="577"/>
      <c r="C143" s="578" t="s">
        <v>463</v>
      </c>
      <c r="D143" s="839" t="s">
        <v>696</v>
      </c>
      <c r="E143" s="1061">
        <f>SUM(E144)</f>
        <v>50448.85</v>
      </c>
      <c r="F143" s="588"/>
      <c r="G143" s="855"/>
      <c r="H143" s="588"/>
      <c r="I143" s="588"/>
      <c r="J143" s="838"/>
      <c r="K143" s="589">
        <f>SUM(E143:J143)</f>
        <v>50448.85</v>
      </c>
    </row>
    <row r="144" spans="1:11" x14ac:dyDescent="0.2">
      <c r="B144" s="848" t="s">
        <v>664</v>
      </c>
      <c r="C144" s="849" t="s">
        <v>463</v>
      </c>
      <c r="D144" s="1093" t="s">
        <v>461</v>
      </c>
      <c r="E144" s="1094">
        <v>50448.85</v>
      </c>
      <c r="F144" s="868"/>
      <c r="G144" s="869"/>
      <c r="H144" s="868"/>
      <c r="I144" s="868"/>
      <c r="J144" s="869"/>
      <c r="K144" s="1095">
        <f>SUM(E144:J144)</f>
        <v>50448.85</v>
      </c>
    </row>
    <row r="145" spans="2:11" x14ac:dyDescent="0.2">
      <c r="B145" s="577"/>
      <c r="C145" s="578"/>
      <c r="D145" s="839"/>
      <c r="E145" s="1061"/>
      <c r="F145" s="588"/>
      <c r="G145" s="855"/>
      <c r="H145" s="588"/>
      <c r="I145" s="588"/>
      <c r="J145" s="838"/>
      <c r="K145" s="589"/>
    </row>
    <row r="146" spans="2:11" ht="25.5" x14ac:dyDescent="0.2">
      <c r="B146" s="577" t="s">
        <v>665</v>
      </c>
      <c r="C146" s="578" t="s">
        <v>463</v>
      </c>
      <c r="D146" s="839" t="s">
        <v>766</v>
      </c>
      <c r="E146" s="1064">
        <f>SUM(E147:E151)</f>
        <v>30000</v>
      </c>
      <c r="F146" s="588"/>
      <c r="G146" s="855"/>
      <c r="H146" s="588"/>
      <c r="I146" s="588"/>
      <c r="J146" s="838"/>
      <c r="K146" s="589">
        <f>SUM(E146:J146)</f>
        <v>30000</v>
      </c>
    </row>
    <row r="147" spans="2:11" x14ac:dyDescent="0.2">
      <c r="B147" s="577">
        <v>51201</v>
      </c>
      <c r="C147" s="578" t="s">
        <v>463</v>
      </c>
      <c r="D147" s="836" t="s">
        <v>706</v>
      </c>
      <c r="E147" s="1062">
        <v>3750</v>
      </c>
      <c r="F147" s="588"/>
      <c r="G147" s="855"/>
      <c r="H147" s="588"/>
      <c r="I147" s="588"/>
      <c r="J147" s="838"/>
      <c r="K147" s="582">
        <f>SUM(E147:J147)</f>
        <v>3750</v>
      </c>
    </row>
    <row r="148" spans="2:11" x14ac:dyDescent="0.2">
      <c r="B148" s="577">
        <v>54103</v>
      </c>
      <c r="C148" s="578"/>
      <c r="D148" s="836" t="s">
        <v>786</v>
      </c>
      <c r="E148" s="1062">
        <v>4800</v>
      </c>
      <c r="F148" s="588"/>
      <c r="G148" s="855"/>
      <c r="H148" s="588"/>
      <c r="I148" s="588"/>
      <c r="J148" s="838"/>
      <c r="K148" s="582">
        <f t="shared" ref="K148:K151" si="8">SUM(E148:J148)</f>
        <v>4800</v>
      </c>
    </row>
    <row r="149" spans="2:11" x14ac:dyDescent="0.2">
      <c r="B149" s="577">
        <v>54111</v>
      </c>
      <c r="C149" s="578"/>
      <c r="D149" s="836" t="s">
        <v>787</v>
      </c>
      <c r="E149" s="1062">
        <v>5605</v>
      </c>
      <c r="F149" s="588"/>
      <c r="G149" s="855"/>
      <c r="H149" s="588"/>
      <c r="I149" s="588"/>
      <c r="J149" s="838"/>
      <c r="K149" s="582">
        <f t="shared" si="8"/>
        <v>5605</v>
      </c>
    </row>
    <row r="150" spans="2:11" x14ac:dyDescent="0.2">
      <c r="B150" s="577">
        <v>54112</v>
      </c>
      <c r="C150" s="578"/>
      <c r="D150" s="836" t="s">
        <v>788</v>
      </c>
      <c r="E150" s="1062">
        <v>15377.25</v>
      </c>
      <c r="F150" s="588"/>
      <c r="G150" s="855"/>
      <c r="H150" s="588"/>
      <c r="I150" s="588"/>
      <c r="J150" s="838"/>
      <c r="K150" s="582">
        <f t="shared" si="8"/>
        <v>15377.25</v>
      </c>
    </row>
    <row r="151" spans="2:11" x14ac:dyDescent="0.2">
      <c r="B151" s="577">
        <v>54199</v>
      </c>
      <c r="C151" s="578"/>
      <c r="D151" s="836" t="s">
        <v>709</v>
      </c>
      <c r="E151" s="1062">
        <v>467.75</v>
      </c>
      <c r="F151" s="588"/>
      <c r="G151" s="855"/>
      <c r="H151" s="588"/>
      <c r="I151" s="588"/>
      <c r="J151" s="838"/>
      <c r="K151" s="582">
        <f t="shared" si="8"/>
        <v>467.75</v>
      </c>
    </row>
    <row r="152" spans="2:11" x14ac:dyDescent="0.2">
      <c r="B152" s="577"/>
      <c r="C152" s="578" t="s">
        <v>463</v>
      </c>
      <c r="D152" s="839"/>
      <c r="E152" s="1061"/>
      <c r="F152" s="588"/>
      <c r="G152" s="855"/>
      <c r="H152" s="588"/>
      <c r="I152" s="588"/>
      <c r="J152" s="838"/>
      <c r="K152" s="582"/>
    </row>
    <row r="153" spans="2:11" ht="25.5" x14ac:dyDescent="0.2">
      <c r="B153" s="577"/>
      <c r="C153" s="578" t="s">
        <v>463</v>
      </c>
      <c r="D153" s="839" t="s">
        <v>767</v>
      </c>
      <c r="E153" s="1064">
        <f>SUM(E154)</f>
        <v>21144.639999999999</v>
      </c>
      <c r="F153" s="588"/>
      <c r="G153" s="855"/>
      <c r="H153" s="588"/>
      <c r="I153" s="588"/>
      <c r="J153" s="838"/>
      <c r="K153" s="589">
        <f>SUM(E153:J153)</f>
        <v>21144.639999999999</v>
      </c>
    </row>
    <row r="154" spans="2:11" x14ac:dyDescent="0.2">
      <c r="B154" s="577" t="s">
        <v>666</v>
      </c>
      <c r="C154" s="578" t="s">
        <v>463</v>
      </c>
      <c r="D154" s="836" t="s">
        <v>623</v>
      </c>
      <c r="E154" s="1062">
        <v>21144.639999999999</v>
      </c>
      <c r="F154" s="588"/>
      <c r="G154" s="855"/>
      <c r="H154" s="588"/>
      <c r="I154" s="588"/>
      <c r="J154" s="838"/>
      <c r="K154" s="582">
        <f>SUM(E154:J154)</f>
        <v>21144.639999999999</v>
      </c>
    </row>
    <row r="155" spans="2:11" x14ac:dyDescent="0.2">
      <c r="B155" s="577"/>
      <c r="C155" s="578"/>
      <c r="D155" s="836"/>
      <c r="E155" s="1062"/>
      <c r="F155" s="1024"/>
      <c r="G155" s="855"/>
      <c r="H155" s="588"/>
      <c r="I155" s="588"/>
      <c r="J155" s="838"/>
      <c r="K155" s="582"/>
    </row>
    <row r="156" spans="2:11" ht="10.5" customHeight="1" x14ac:dyDescent="0.2">
      <c r="B156" s="577"/>
      <c r="C156" s="578" t="s">
        <v>463</v>
      </c>
      <c r="D156" s="839"/>
      <c r="E156" s="1061"/>
      <c r="F156" s="1024"/>
      <c r="G156" s="855"/>
      <c r="H156" s="580"/>
      <c r="I156" s="580"/>
      <c r="J156" s="841"/>
      <c r="K156" s="589"/>
    </row>
    <row r="157" spans="2:11" x14ac:dyDescent="0.2">
      <c r="B157" s="577"/>
      <c r="C157" s="578" t="s">
        <v>463</v>
      </c>
      <c r="D157" s="839" t="s">
        <v>816</v>
      </c>
      <c r="E157" s="1064">
        <f>SUM(E158)</f>
        <v>17576</v>
      </c>
      <c r="F157" s="1024"/>
      <c r="G157" s="855"/>
      <c r="H157" s="580"/>
      <c r="I157" s="580"/>
      <c r="J157" s="841"/>
      <c r="K157" s="589">
        <f>SUM(E157:J157)</f>
        <v>17576</v>
      </c>
    </row>
    <row r="158" spans="2:11" x14ac:dyDescent="0.2">
      <c r="B158" s="577" t="s">
        <v>667</v>
      </c>
      <c r="C158" s="578" t="s">
        <v>463</v>
      </c>
      <c r="D158" s="836" t="s">
        <v>492</v>
      </c>
      <c r="E158" s="1062">
        <v>17576</v>
      </c>
      <c r="F158" s="1024"/>
      <c r="G158" s="855"/>
      <c r="H158" s="580"/>
      <c r="I158" s="580"/>
      <c r="J158" s="841"/>
      <c r="K158" s="582">
        <f>SUM(E158:J158)</f>
        <v>17576</v>
      </c>
    </row>
    <row r="159" spans="2:11" ht="10.5" customHeight="1" x14ac:dyDescent="0.2">
      <c r="B159" s="577"/>
      <c r="C159" s="578" t="s">
        <v>463</v>
      </c>
      <c r="D159" s="839"/>
      <c r="E159" s="1062"/>
      <c r="F159" s="1024"/>
      <c r="G159" s="855"/>
      <c r="H159" s="580"/>
      <c r="I159" s="580"/>
      <c r="J159" s="841"/>
      <c r="K159" s="589"/>
    </row>
    <row r="160" spans="2:11" x14ac:dyDescent="0.2">
      <c r="B160" s="577"/>
      <c r="C160" s="578"/>
      <c r="D160" s="836"/>
      <c r="E160" s="1062"/>
      <c r="F160" s="588"/>
      <c r="G160" s="855"/>
      <c r="H160" s="580"/>
      <c r="I160" s="580"/>
      <c r="J160" s="841"/>
      <c r="K160" s="582"/>
    </row>
    <row r="161" spans="2:11" ht="9.75" customHeight="1" x14ac:dyDescent="0.2">
      <c r="B161" s="577"/>
      <c r="C161" s="578"/>
      <c r="D161" s="839"/>
      <c r="E161" s="1062"/>
      <c r="F161" s="588"/>
      <c r="G161" s="855"/>
      <c r="H161" s="580"/>
      <c r="I161" s="580"/>
      <c r="J161" s="841"/>
      <c r="K161" s="589"/>
    </row>
    <row r="162" spans="2:11" ht="25.5" x14ac:dyDescent="0.2">
      <c r="B162" s="577"/>
      <c r="C162" s="578" t="s">
        <v>463</v>
      </c>
      <c r="D162" s="867" t="s">
        <v>693</v>
      </c>
      <c r="E162" s="1064">
        <f>SUM(E163)</f>
        <v>2000</v>
      </c>
      <c r="F162" s="588"/>
      <c r="G162" s="855"/>
      <c r="H162" s="580"/>
      <c r="I162" s="580"/>
      <c r="J162" s="581"/>
      <c r="K162" s="589">
        <f>SUM(E162:J162)</f>
        <v>2000</v>
      </c>
    </row>
    <row r="163" spans="2:11" x14ac:dyDescent="0.2">
      <c r="B163" s="577" t="s">
        <v>667</v>
      </c>
      <c r="C163" s="578" t="s">
        <v>463</v>
      </c>
      <c r="D163" s="579" t="s">
        <v>492</v>
      </c>
      <c r="E163" s="1062">
        <v>2000</v>
      </c>
      <c r="F163" s="588"/>
      <c r="G163" s="855"/>
      <c r="H163" s="580"/>
      <c r="I163" s="580"/>
      <c r="J163" s="581"/>
      <c r="K163" s="582">
        <f>SUM(E163:J163)</f>
        <v>2000</v>
      </c>
    </row>
    <row r="164" spans="2:11" x14ac:dyDescent="0.2">
      <c r="B164" s="577"/>
      <c r="C164" s="1153"/>
      <c r="D164" s="579"/>
      <c r="E164" s="1062"/>
      <c r="F164" s="1024"/>
      <c r="G164" s="1154"/>
      <c r="H164" s="580"/>
      <c r="I164" s="580"/>
      <c r="J164" s="581"/>
      <c r="K164" s="582"/>
    </row>
    <row r="165" spans="2:11" x14ac:dyDescent="0.2">
      <c r="B165" s="577"/>
      <c r="C165" s="1153"/>
      <c r="D165" s="867" t="s">
        <v>809</v>
      </c>
      <c r="E165" s="1061">
        <f>E166</f>
        <v>15000</v>
      </c>
      <c r="F165" s="1024"/>
      <c r="G165" s="1154"/>
      <c r="H165" s="580"/>
      <c r="I165" s="580"/>
      <c r="J165" s="581"/>
      <c r="K165" s="589">
        <f>K166</f>
        <v>15000</v>
      </c>
    </row>
    <row r="166" spans="2:11" x14ac:dyDescent="0.2">
      <c r="B166" s="577" t="s">
        <v>667</v>
      </c>
      <c r="C166" s="1153"/>
      <c r="D166" s="579" t="s">
        <v>492</v>
      </c>
      <c r="E166" s="1062">
        <v>15000</v>
      </c>
      <c r="F166" s="1024"/>
      <c r="G166" s="1154"/>
      <c r="H166" s="580"/>
      <c r="I166" s="580"/>
      <c r="J166" s="581"/>
      <c r="K166" s="582">
        <f>SUM(E166:J166)</f>
        <v>15000</v>
      </c>
    </row>
    <row r="167" spans="2:11" x14ac:dyDescent="0.2">
      <c r="B167" s="577"/>
      <c r="C167" s="578"/>
      <c r="D167" s="867"/>
      <c r="E167" s="1061"/>
      <c r="F167" s="588"/>
      <c r="G167" s="855"/>
      <c r="H167" s="580"/>
      <c r="I167" s="580"/>
      <c r="J167" s="581"/>
      <c r="K167" s="582"/>
    </row>
    <row r="168" spans="2:11" ht="25.5" x14ac:dyDescent="0.2">
      <c r="B168" s="577"/>
      <c r="C168" s="578"/>
      <c r="D168" s="867" t="s">
        <v>817</v>
      </c>
      <c r="E168" s="1061">
        <f>E169</f>
        <v>15000</v>
      </c>
      <c r="F168" s="588"/>
      <c r="G168" s="855"/>
      <c r="H168" s="580"/>
      <c r="I168" s="580"/>
      <c r="J168" s="581"/>
      <c r="K168" s="589">
        <f>K169</f>
        <v>15000</v>
      </c>
    </row>
    <row r="169" spans="2:11" x14ac:dyDescent="0.2">
      <c r="B169" s="577" t="s">
        <v>667</v>
      </c>
      <c r="C169" s="578"/>
      <c r="D169" s="579" t="s">
        <v>492</v>
      </c>
      <c r="E169" s="1062">
        <v>15000</v>
      </c>
      <c r="F169" s="588"/>
      <c r="G169" s="855"/>
      <c r="H169" s="580"/>
      <c r="I169" s="580"/>
      <c r="J169" s="581"/>
      <c r="K169" s="582">
        <f>SUM(E169:J169)</f>
        <v>15000</v>
      </c>
    </row>
    <row r="170" spans="2:11" x14ac:dyDescent="0.2">
      <c r="B170" s="848"/>
      <c r="C170" s="849"/>
      <c r="D170" s="1093"/>
      <c r="E170" s="1094"/>
      <c r="F170" s="868"/>
      <c r="G170" s="869"/>
      <c r="H170" s="1096"/>
      <c r="I170" s="1096"/>
      <c r="J170" s="1097"/>
      <c r="K170" s="850">
        <f>SUM(E170:J170)</f>
        <v>0</v>
      </c>
    </row>
    <row r="171" spans="2:11" ht="25.5" x14ac:dyDescent="0.2">
      <c r="B171" s="577"/>
      <c r="C171" s="578"/>
      <c r="D171" s="867" t="s">
        <v>812</v>
      </c>
      <c r="E171" s="1061">
        <f>E172</f>
        <v>1500</v>
      </c>
      <c r="F171" s="588"/>
      <c r="G171" s="855"/>
      <c r="H171" s="580"/>
      <c r="I171" s="580"/>
      <c r="J171" s="581"/>
      <c r="K171" s="589">
        <f>SUM(E171:J171)</f>
        <v>1500</v>
      </c>
    </row>
    <row r="172" spans="2:11" x14ac:dyDescent="0.2">
      <c r="B172" s="577" t="s">
        <v>667</v>
      </c>
      <c r="C172" s="578"/>
      <c r="D172" s="579" t="s">
        <v>492</v>
      </c>
      <c r="E172" s="1062">
        <v>1500</v>
      </c>
      <c r="F172" s="588"/>
      <c r="G172" s="855"/>
      <c r="H172" s="580"/>
      <c r="I172" s="580"/>
      <c r="J172" s="581"/>
      <c r="K172" s="582">
        <f>SUM(E172:J172)</f>
        <v>1500</v>
      </c>
    </row>
    <row r="173" spans="2:11" x14ac:dyDescent="0.2">
      <c r="B173" s="577"/>
      <c r="C173" s="578"/>
      <c r="D173" s="579"/>
      <c r="E173" s="1062"/>
      <c r="F173" s="588"/>
      <c r="G173" s="855"/>
      <c r="H173" s="580"/>
      <c r="I173" s="580"/>
      <c r="J173" s="581"/>
      <c r="K173" s="582">
        <f>SUM(E173:J173)</f>
        <v>0</v>
      </c>
    </row>
    <row r="174" spans="2:11" x14ac:dyDescent="0.2">
      <c r="B174" s="577"/>
      <c r="C174" s="578"/>
      <c r="D174" s="867" t="s">
        <v>822</v>
      </c>
      <c r="E174" s="1061">
        <f>E175</f>
        <v>16489.650000000001</v>
      </c>
      <c r="F174" s="588"/>
      <c r="G174" s="855"/>
      <c r="H174" s="580"/>
      <c r="I174" s="580"/>
      <c r="J174" s="581"/>
      <c r="K174" s="589">
        <f>K175</f>
        <v>16489.650000000001</v>
      </c>
    </row>
    <row r="175" spans="2:11" x14ac:dyDescent="0.2">
      <c r="B175" s="577" t="s">
        <v>667</v>
      </c>
      <c r="C175" s="578"/>
      <c r="D175" s="579" t="s">
        <v>492</v>
      </c>
      <c r="E175" s="1062">
        <v>16489.650000000001</v>
      </c>
      <c r="F175" s="588"/>
      <c r="G175" s="855"/>
      <c r="H175" s="580"/>
      <c r="I175" s="580"/>
      <c r="J175" s="581"/>
      <c r="K175" s="582">
        <f>SUM(E175:J175)</f>
        <v>16489.650000000001</v>
      </c>
    </row>
    <row r="176" spans="2:11" x14ac:dyDescent="0.2">
      <c r="B176" s="577"/>
      <c r="C176" s="578"/>
      <c r="D176" s="579"/>
      <c r="E176" s="1061"/>
      <c r="F176" s="588"/>
      <c r="G176" s="855"/>
      <c r="H176" s="580"/>
      <c r="I176" s="580"/>
      <c r="J176" s="581"/>
      <c r="K176" s="582"/>
    </row>
    <row r="177" spans="1:11" x14ac:dyDescent="0.2">
      <c r="B177" s="577"/>
      <c r="C177" s="578"/>
      <c r="D177" s="867" t="s">
        <v>774</v>
      </c>
      <c r="E177" s="1061">
        <f>E178</f>
        <v>80244.160000000003</v>
      </c>
      <c r="F177" s="588"/>
      <c r="G177" s="855"/>
      <c r="H177" s="580"/>
      <c r="I177" s="580"/>
      <c r="J177" s="581"/>
      <c r="K177" s="589">
        <f>SUM(E177:J177)</f>
        <v>80244.160000000003</v>
      </c>
    </row>
    <row r="178" spans="1:11" x14ac:dyDescent="0.2">
      <c r="B178" s="577" t="s">
        <v>667</v>
      </c>
      <c r="C178" s="578"/>
      <c r="D178" s="579" t="s">
        <v>492</v>
      </c>
      <c r="E178" s="1062">
        <v>80244.160000000003</v>
      </c>
      <c r="F178" s="588"/>
      <c r="G178" s="855"/>
      <c r="H178" s="580"/>
      <c r="I178" s="580"/>
      <c r="J178" s="581"/>
      <c r="K178" s="582">
        <f>SUM(E178:J178)</f>
        <v>80244.160000000003</v>
      </c>
    </row>
    <row r="179" spans="1:11" x14ac:dyDescent="0.2">
      <c r="B179" s="577"/>
      <c r="C179" s="578"/>
      <c r="D179" s="579"/>
      <c r="E179" s="1062"/>
      <c r="F179" s="588"/>
      <c r="G179" s="855"/>
      <c r="H179" s="580"/>
      <c r="I179" s="580"/>
      <c r="J179" s="581"/>
      <c r="K179" s="582">
        <f t="shared" ref="K179:K181" si="9">SUM(E179:J179)</f>
        <v>0</v>
      </c>
    </row>
    <row r="180" spans="1:11" x14ac:dyDescent="0.2">
      <c r="B180" s="577"/>
      <c r="C180" s="578"/>
      <c r="D180" s="867" t="s">
        <v>805</v>
      </c>
      <c r="E180" s="1061">
        <f>E181</f>
        <v>2655.8999999999996</v>
      </c>
      <c r="F180" s="588"/>
      <c r="G180" s="855"/>
      <c r="H180" s="580"/>
      <c r="I180" s="580"/>
      <c r="J180" s="581"/>
      <c r="K180" s="582">
        <f>K181</f>
        <v>2655.8999999999996</v>
      </c>
    </row>
    <row r="181" spans="1:11" s="59" customFormat="1" x14ac:dyDescent="0.2">
      <c r="A181"/>
      <c r="B181" s="577">
        <v>72201</v>
      </c>
      <c r="C181" s="840" t="s">
        <v>463</v>
      </c>
      <c r="D181" s="836" t="s">
        <v>704</v>
      </c>
      <c r="E181" s="1067">
        <f>138.33+34.66+895.6+172.57+30.56+507.83+117.79+49.12+89.6+32.4+250+249.38+88.06</f>
        <v>2655.8999999999996</v>
      </c>
      <c r="F181" s="580"/>
      <c r="G181" s="581"/>
      <c r="H181" s="580"/>
      <c r="I181" s="580"/>
      <c r="J181" s="841"/>
      <c r="K181" s="589">
        <f t="shared" si="9"/>
        <v>2655.8999999999996</v>
      </c>
    </row>
    <row r="182" spans="1:11" ht="13.5" thickBot="1" x14ac:dyDescent="0.25">
      <c r="B182" s="856" t="s">
        <v>463</v>
      </c>
      <c r="C182" s="578" t="s">
        <v>463</v>
      </c>
      <c r="D182" s="836"/>
      <c r="E182" s="1067"/>
      <c r="F182" s="588"/>
      <c r="G182" s="855"/>
      <c r="H182" s="588"/>
      <c r="I182" s="588"/>
      <c r="J182" s="838"/>
      <c r="K182" s="589"/>
    </row>
    <row r="183" spans="1:11" ht="17.25" customHeight="1" thickBot="1" x14ac:dyDescent="0.25">
      <c r="B183" s="857"/>
      <c r="C183" s="858" t="s">
        <v>463</v>
      </c>
      <c r="D183" s="859" t="s">
        <v>579</v>
      </c>
      <c r="E183" s="1068">
        <f>E14+E20+E23+E36+E40+E43+E46+E50+E62+E65+E68+E72+E75+E82+E86+E90+E95+E102+E105+E120+E131+E140+E143+E146+E153+E157+E162+E165+E168+E171+E174+E177+E180</f>
        <v>790721.82000000018</v>
      </c>
      <c r="F183" s="1071">
        <f>F14+F20+F23+F36+F40+F43+F46+F50+F62+F65+F68+F72+F75+F78+F82+F86+F90+F95+F102+F105+F120+F131+F140+F143+F146+F153+F157+F162+F166+F169+F172+F178+F175</f>
        <v>108857.97</v>
      </c>
      <c r="G183" s="1070">
        <f>G14+G20+G23+G36+G40+G43+G46+G50+G62+G65+G68+G72+G75+G78+G82+G86+G90+G95+G102+G105+G120+G131+G140+G143+G146+G153+G157+G162+G166+G169+G172+G178+G175</f>
        <v>0</v>
      </c>
      <c r="H183" s="860">
        <f>H14+H20+H23+H36+H40+H43+H46+H50+H62+H65+H68+H72+H75+H78+H82+H86+H90+H95+H102+H105+H120+H131+H140+H143+H146+H153+H157+H162+H166+H169+H172+H178+H175</f>
        <v>0</v>
      </c>
      <c r="I183" s="860">
        <f>I14+I20+I23+I36+I40+I43+I46+I50+I62+I65+I68+I72+I75+I78+I82+I86+I90+I95+I102+I105+I120+I131+I140+I143+I146+I153+I157+I162+I166+I169+I172+I178+I175</f>
        <v>0</v>
      </c>
      <c r="J183" s="860">
        <f>J14+J20+J23+J36+J40+J43+J46+J50+J62+J65+J68+J72+J75+J78+J82+J86+J90+J95+J102+J105+J120+J131+J140+J143+J146+J153+J157+J162+J166+J169+J172+J178+J175</f>
        <v>0</v>
      </c>
      <c r="K183" s="860">
        <f>K14+K20+K23+K36+K40+K43+K46+K50+K62+K65+K68+K72+K75+K78+K82+K86+K90+K95+K102+K105+K120+K131+K140+K143+K146+K153+K157+K162+K166+K169+K172+K178+K175+K181</f>
        <v>899579.79000000015</v>
      </c>
    </row>
    <row r="184" spans="1:11" x14ac:dyDescent="0.2">
      <c r="E184" s="592"/>
      <c r="I184" s="592"/>
      <c r="J184" s="592"/>
      <c r="K184" s="592"/>
    </row>
    <row r="185" spans="1:11" x14ac:dyDescent="0.2">
      <c r="E185" s="863"/>
      <c r="H185" s="591"/>
      <c r="I185" s="592"/>
      <c r="J185" s="592"/>
      <c r="K185" s="592"/>
    </row>
    <row r="186" spans="1:11" x14ac:dyDescent="0.2">
      <c r="E186" s="591"/>
      <c r="H186" s="592"/>
      <c r="I186" s="592"/>
      <c r="J186" s="864"/>
    </row>
    <row r="187" spans="1:11" x14ac:dyDescent="0.2">
      <c r="E187" s="863"/>
      <c r="H187" s="592"/>
      <c r="I187" s="592"/>
    </row>
    <row r="188" spans="1:11" x14ac:dyDescent="0.2">
      <c r="D188" s="970"/>
      <c r="F188" s="1080"/>
      <c r="G188" s="1080"/>
      <c r="H188" s="1081"/>
      <c r="I188" s="1082"/>
      <c r="J188" s="1080"/>
    </row>
    <row r="189" spans="1:11" x14ac:dyDescent="0.2">
      <c r="F189" s="1083"/>
      <c r="G189" s="1080"/>
      <c r="H189" s="1083"/>
      <c r="I189" s="1080"/>
      <c r="J189" s="1080"/>
    </row>
    <row r="190" spans="1:11" x14ac:dyDescent="0.2">
      <c r="F190" s="1080"/>
      <c r="G190" s="1080"/>
      <c r="H190" s="1080"/>
      <c r="I190" s="1080"/>
      <c r="J190" s="1080"/>
    </row>
    <row r="191" spans="1:11" x14ac:dyDescent="0.2">
      <c r="F191" s="1080"/>
      <c r="G191" s="1080"/>
      <c r="H191" s="1083"/>
      <c r="I191" s="1080"/>
      <c r="J191" s="1080"/>
    </row>
    <row r="192" spans="1:11" x14ac:dyDescent="0.2">
      <c r="D192" s="648" t="s">
        <v>463</v>
      </c>
      <c r="F192" s="1083"/>
      <c r="G192" s="1080"/>
      <c r="H192" s="1080"/>
      <c r="I192" s="1080"/>
      <c r="J192" s="1080"/>
    </row>
    <row r="193" spans="4:10" x14ac:dyDescent="0.2">
      <c r="D193" s="648" t="s">
        <v>463</v>
      </c>
      <c r="F193" s="1080"/>
      <c r="G193" s="1080"/>
      <c r="H193" s="1080"/>
      <c r="I193" s="1080"/>
      <c r="J193" s="1080"/>
    </row>
  </sheetData>
  <autoFilter ref="B13:K183"/>
  <mergeCells count="12">
    <mergeCell ref="B8:K8"/>
    <mergeCell ref="B9:K9"/>
    <mergeCell ref="B11:B12"/>
    <mergeCell ref="C11:C12"/>
    <mergeCell ref="D11:D12"/>
    <mergeCell ref="K11:K12"/>
    <mergeCell ref="E11:J11"/>
    <mergeCell ref="B2:K2"/>
    <mergeCell ref="B3:K3"/>
    <mergeCell ref="B5:K5"/>
    <mergeCell ref="B6:K6"/>
    <mergeCell ref="B7:K7"/>
  </mergeCells>
  <phoneticPr fontId="6" type="noConversion"/>
  <printOptions horizontalCentered="1"/>
  <pageMargins left="0.27559055118110237" right="0.23622047244094491" top="0.82677165354330717" bottom="0.86614173228346458" header="0" footer="0"/>
  <pageSetup scale="8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SEGUROS</vt:lpstr>
      <vt:lpstr>'AG1'!Área_de_impresión</vt:lpstr>
      <vt:lpstr>CONSOLIDADO!Área_de_impresión</vt:lpstr>
      <vt:lpstr>'egresos 25% y F.P'!Área_de_impresión</vt:lpstr>
      <vt:lpstr>'ESTRUCTURA PRESP.'!Área_de_impresión</vt:lpstr>
      <vt:lpstr>'PLLA MUNICIPAL LEY SAL'!Área_de_impresión</vt:lpstr>
      <vt:lpstr>'PRESUP.DE EGRESOS'!Área_de_impresión</vt:lpstr>
      <vt:lpstr>RESUMEN1!Área_de_impresión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2021-02-08T22:42:20Z</cp:lastPrinted>
  <dcterms:created xsi:type="dcterms:W3CDTF">2009-03-12T16:54:49Z</dcterms:created>
  <dcterms:modified xsi:type="dcterms:W3CDTF">2021-08-10T18:19:27Z</dcterms:modified>
</cp:coreProperties>
</file>