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8 Ok\"/>
    </mc:Choice>
  </mc:AlternateContent>
  <bookViews>
    <workbookView xWindow="-120" yWindow="-120" windowWidth="24240" windowHeight="13140" tabRatio="928" firstSheet="7" activeTab="18"/>
  </bookViews>
  <sheets>
    <sheet name="Hoja1" sheetId="25" r:id="rId1"/>
    <sheet name="ESTRUCTURA PRESP." sheetId="15" r:id="rId2"/>
    <sheet name="ING. REALES" sheetId="18" r:id="rId3"/>
    <sheet name="DISTRIBUCIÓN" sheetId="23" r:id="rId4"/>
    <sheet name="PLLA MUNICIPAL HONORARIOS" sheetId="20" r:id="rId5"/>
    <sheet name="PLLA MUNICIPAL LEY SAL" sheetId="22" r:id="rId6"/>
    <sheet name="PLLA DIETAS" sheetId="21" r:id="rId7"/>
    <sheet name="egresos 25% y F.P" sheetId="4" r:id="rId8"/>
    <sheet name="AG1" sheetId="5" r:id="rId9"/>
    <sheet name="AG3" sheetId="6" r:id="rId10"/>
    <sheet name="AG4" sheetId="7" r:id="rId11"/>
    <sheet name="AG5" sheetId="8" r:id="rId12"/>
    <sheet name="CONSOLIDADO" sheetId="9" r:id="rId13"/>
    <sheet name="PRESUP.DE EGRESOS" sheetId="10" r:id="rId14"/>
    <sheet name="RESUMEN1" sheetId="11" r:id="rId15"/>
    <sheet name="RESUMEN2" sheetId="12" r:id="rId16"/>
    <sheet name="RESUMEN3" sheetId="13" r:id="rId17"/>
    <sheet name="RESUMEN4" sheetId="14" r:id="rId18"/>
    <sheet name="SEGUROS" sheetId="24" r:id="rId19"/>
  </sheets>
  <definedNames>
    <definedName name="_xlnm._FilterDatabase" localSheetId="9" hidden="1">'AG3'!$A$13:$J$117</definedName>
    <definedName name="_xlnm._FilterDatabase" localSheetId="12" hidden="1">CONSOLIDADO!$A$3:$G$160</definedName>
    <definedName name="_xlnm._FilterDatabase" localSheetId="3" hidden="1">DISTRIBUCIÓN!$A$5:$P$73</definedName>
    <definedName name="_xlnm._FilterDatabase" localSheetId="7" hidden="1">'egresos 25% y F.P'!$A$117:$G$208</definedName>
    <definedName name="_xlnm.Print_Area" localSheetId="8">'AG1'!$A$1:$H$149</definedName>
    <definedName name="_xlnm.Print_Area" localSheetId="7">'egresos 25% y F.P'!$A$1:$G$212</definedName>
    <definedName name="_xlnm.Print_Area" localSheetId="1">'ESTRUCTURA PRESP.'!$B$1:$E$23</definedName>
    <definedName name="_xlnm.Print_Area" localSheetId="5">'PLLA MUNICIPAL LEY SAL'!$A$1:$R$89</definedName>
    <definedName name="_xlnm.Print_Area" localSheetId="13">'PRESUP.DE EGRESOS'!$A$1:$E$166</definedName>
    <definedName name="_xlnm.Print_Titles" localSheetId="8">'AG1'!$1:$11</definedName>
    <definedName name="_xlnm.Print_Titles" localSheetId="9">'AG3'!$2:$12</definedName>
    <definedName name="_xlnm.Print_Titles" localSheetId="10">'AG4'!$1:$11</definedName>
    <definedName name="_xlnm.Print_Titles" localSheetId="12">CONSOLIDADO!$A:$B,CONSOLIDADO!$1:$8</definedName>
    <definedName name="_xlnm.Print_Titles" localSheetId="3">DISTRIBUCIÓN!$1:$7</definedName>
    <definedName name="_xlnm.Print_Titles" localSheetId="13">'PRESUP.DE EGRESOS'!$1:$7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88" i="22" l="1"/>
  <c r="AL88" i="22" s="1"/>
  <c r="AD88" i="22"/>
  <c r="AA88" i="22"/>
  <c r="AI88" i="22"/>
  <c r="H88" i="22"/>
  <c r="I88" i="22" s="1"/>
  <c r="AG87" i="22"/>
  <c r="AL87" i="22" s="1"/>
  <c r="AA87" i="22"/>
  <c r="Y87" i="22"/>
  <c r="AI87" i="22"/>
  <c r="AH87" i="22" l="1"/>
  <c r="AH88" i="22"/>
  <c r="I87" i="22"/>
  <c r="W87" i="22"/>
  <c r="AD87" i="22"/>
  <c r="W88" i="22"/>
  <c r="O147" i="9"/>
  <c r="D57" i="7"/>
  <c r="O87" i="22" l="1"/>
  <c r="Z87" i="22" s="1"/>
  <c r="P87" i="22"/>
  <c r="AC87" i="22" s="1"/>
  <c r="M87" i="22"/>
  <c r="P88" i="22"/>
  <c r="O88" i="22"/>
  <c r="M88" i="22"/>
  <c r="F142" i="4"/>
  <c r="H67" i="18"/>
  <c r="C67" i="18"/>
  <c r="F68" i="18"/>
  <c r="J68" i="18" s="1"/>
  <c r="AM87" i="22" l="1"/>
  <c r="Q87" i="22"/>
  <c r="AN87" i="22"/>
  <c r="AB87" i="22"/>
  <c r="AK87" i="22"/>
  <c r="R87" i="22"/>
  <c r="R91" i="22" s="1"/>
  <c r="R95" i="22" s="1"/>
  <c r="AN88" i="22"/>
  <c r="AC88" i="22"/>
  <c r="Q88" i="22"/>
  <c r="R88" i="22" s="1"/>
  <c r="R92" i="22" s="1"/>
  <c r="R96" i="22" s="1"/>
  <c r="AM88" i="22"/>
  <c r="AB88" i="22"/>
  <c r="AR88" i="22" s="1"/>
  <c r="Z88" i="22"/>
  <c r="AK88" i="22"/>
  <c r="AP88" i="22" s="1"/>
  <c r="G73" i="7"/>
  <c r="I69" i="18"/>
  <c r="I67" i="18" s="1"/>
  <c r="G70" i="7"/>
  <c r="G64" i="7"/>
  <c r="R97" i="22" l="1"/>
  <c r="AR87" i="22"/>
  <c r="AP87" i="22"/>
  <c r="AE87" i="22"/>
  <c r="AE88" i="22"/>
  <c r="I73" i="7"/>
  <c r="G72" i="7"/>
  <c r="F72" i="7"/>
  <c r="F61" i="7"/>
  <c r="W174" i="9"/>
  <c r="W175" i="9" s="1"/>
  <c r="E69" i="18"/>
  <c r="E67" i="18" s="1"/>
  <c r="J107" i="6"/>
  <c r="I70" i="7"/>
  <c r="G69" i="7"/>
  <c r="I69" i="7" s="1"/>
  <c r="J110" i="6"/>
  <c r="J56" i="6"/>
  <c r="J83" i="6"/>
  <c r="I109" i="6"/>
  <c r="J109" i="6" s="1"/>
  <c r="I55" i="6"/>
  <c r="I82" i="6"/>
  <c r="J82" i="6" s="1"/>
  <c r="I72" i="7" l="1"/>
  <c r="J55" i="6"/>
  <c r="I35" i="6"/>
  <c r="I14" i="6" s="1"/>
  <c r="I117" i="6" s="1"/>
  <c r="U142" i="9"/>
  <c r="U147" i="9"/>
  <c r="U141" i="9"/>
  <c r="V147" i="9"/>
  <c r="T147" i="9"/>
  <c r="U139" i="9" l="1"/>
  <c r="I67" i="7"/>
  <c r="I64" i="7"/>
  <c r="G66" i="7"/>
  <c r="I66" i="7" s="1"/>
  <c r="G63" i="7"/>
  <c r="I61" i="7"/>
  <c r="G13" i="7" l="1"/>
  <c r="G12" i="7" s="1"/>
  <c r="G75" i="7" s="1"/>
  <c r="V140" i="9"/>
  <c r="V139" i="9" s="1"/>
  <c r="I63" i="7"/>
  <c r="F60" i="7"/>
  <c r="T140" i="9" l="1"/>
  <c r="T139" i="9" s="1"/>
  <c r="F13" i="7"/>
  <c r="F12" i="7" s="1"/>
  <c r="I60" i="7"/>
  <c r="F75" i="7" l="1"/>
  <c r="M148" i="9" l="1"/>
  <c r="I55" i="7"/>
  <c r="I52" i="7"/>
  <c r="I49" i="7"/>
  <c r="I46" i="7"/>
  <c r="I43" i="7"/>
  <c r="I40" i="7"/>
  <c r="I37" i="7"/>
  <c r="I34" i="7"/>
  <c r="I31" i="7"/>
  <c r="I28" i="7"/>
  <c r="I25" i="7"/>
  <c r="I22" i="7"/>
  <c r="I19" i="7"/>
  <c r="I16" i="7"/>
  <c r="D54" i="7"/>
  <c r="I54" i="7" s="1"/>
  <c r="D51" i="7"/>
  <c r="I51" i="7" s="1"/>
  <c r="D48" i="7"/>
  <c r="I48" i="7" s="1"/>
  <c r="D45" i="7"/>
  <c r="I45" i="7" s="1"/>
  <c r="D42" i="7"/>
  <c r="I42" i="7" s="1"/>
  <c r="D39" i="7"/>
  <c r="I39" i="7" s="1"/>
  <c r="D36" i="7"/>
  <c r="I36" i="7" s="1"/>
  <c r="D33" i="7"/>
  <c r="I33" i="7" s="1"/>
  <c r="D30" i="7"/>
  <c r="I30" i="7" s="1"/>
  <c r="D27" i="7"/>
  <c r="I27" i="7" s="1"/>
  <c r="D24" i="7"/>
  <c r="I24" i="7" s="1"/>
  <c r="D21" i="7"/>
  <c r="I21" i="7" s="1"/>
  <c r="D18" i="7"/>
  <c r="I18" i="7" s="1"/>
  <c r="D15" i="7"/>
  <c r="I15" i="7" l="1"/>
  <c r="D13" i="7"/>
  <c r="I13" i="7" s="1"/>
  <c r="O140" i="9"/>
  <c r="D12" i="7" l="1"/>
  <c r="D75" i="7" s="1"/>
  <c r="I12" i="7" l="1"/>
  <c r="I75" i="7" s="1"/>
  <c r="D115" i="6" l="1"/>
  <c r="H117" i="6"/>
  <c r="G117" i="6"/>
  <c r="J104" i="6"/>
  <c r="J101" i="6"/>
  <c r="J98" i="6"/>
  <c r="J95" i="6"/>
  <c r="J92" i="6"/>
  <c r="J89" i="6"/>
  <c r="J86" i="6"/>
  <c r="J80" i="6"/>
  <c r="J77" i="6"/>
  <c r="J74" i="6"/>
  <c r="J68" i="6"/>
  <c r="J65" i="6"/>
  <c r="J62" i="6"/>
  <c r="J59" i="6"/>
  <c r="J53" i="6"/>
  <c r="J50" i="6"/>
  <c r="J47" i="6"/>
  <c r="J44" i="6"/>
  <c r="J41" i="6"/>
  <c r="J38" i="6"/>
  <c r="J33" i="6"/>
  <c r="J30" i="6"/>
  <c r="J25" i="6"/>
  <c r="J19" i="6"/>
  <c r="D106" i="6"/>
  <c r="J106" i="6" s="1"/>
  <c r="D100" i="6"/>
  <c r="D97" i="6"/>
  <c r="J97" i="6" s="1"/>
  <c r="D94" i="6"/>
  <c r="J94" i="6" s="1"/>
  <c r="D91" i="6"/>
  <c r="D88" i="6"/>
  <c r="J88" i="6" s="1"/>
  <c r="D85" i="6"/>
  <c r="D79" i="6"/>
  <c r="J79" i="6" s="1"/>
  <c r="D76" i="6"/>
  <c r="J76" i="6" s="1"/>
  <c r="D73" i="6"/>
  <c r="J73" i="6" s="1"/>
  <c r="D70" i="6"/>
  <c r="D67" i="6"/>
  <c r="J67" i="6" s="1"/>
  <c r="D64" i="6"/>
  <c r="J64" i="6" s="1"/>
  <c r="D61" i="6"/>
  <c r="D58" i="6"/>
  <c r="J58" i="6" s="1"/>
  <c r="D52" i="6"/>
  <c r="J52" i="6" s="1"/>
  <c r="D49" i="6"/>
  <c r="J49" i="6" s="1"/>
  <c r="D46" i="6"/>
  <c r="J46" i="6" s="1"/>
  <c r="D43" i="6"/>
  <c r="J43" i="6" s="1"/>
  <c r="D40" i="6"/>
  <c r="J40" i="6" s="1"/>
  <c r="D37" i="6"/>
  <c r="D103" i="6"/>
  <c r="J103" i="6" s="1"/>
  <c r="D32" i="6"/>
  <c r="J32" i="6" s="1"/>
  <c r="D29" i="6"/>
  <c r="D24" i="6"/>
  <c r="D18" i="6"/>
  <c r="N147" i="9" l="1"/>
  <c r="D35" i="6"/>
  <c r="J35" i="6" s="1"/>
  <c r="M138" i="9"/>
  <c r="J85" i="6"/>
  <c r="N143" i="9"/>
  <c r="J37" i="6"/>
  <c r="N141" i="9"/>
  <c r="J61" i="6"/>
  <c r="N142" i="9"/>
  <c r="J91" i="6"/>
  <c r="N144" i="9"/>
  <c r="D16" i="6"/>
  <c r="M125" i="9"/>
  <c r="M121" i="9" s="1"/>
  <c r="J100" i="6"/>
  <c r="J24" i="6"/>
  <c r="M132" i="9"/>
  <c r="D27" i="6"/>
  <c r="J27" i="6" s="1"/>
  <c r="J29" i="6"/>
  <c r="J18" i="6"/>
  <c r="J16" i="6" s="1"/>
  <c r="J115" i="6"/>
  <c r="M155" i="9" s="1"/>
  <c r="M154" i="9" s="1"/>
  <c r="M153" i="9" s="1"/>
  <c r="D113" i="6"/>
  <c r="D22" i="6"/>
  <c r="J22" i="6" s="1"/>
  <c r="J14" i="6" l="1"/>
  <c r="J113" i="6"/>
  <c r="D112" i="6"/>
  <c r="J112" i="6" s="1"/>
  <c r="D14" i="6"/>
  <c r="D117" i="6" l="1"/>
  <c r="J117" i="6"/>
  <c r="C19" i="8" l="1"/>
  <c r="D69" i="18" l="1"/>
  <c r="D67" i="18" s="1"/>
  <c r="D70" i="18"/>
  <c r="G69" i="18"/>
  <c r="G67" i="18" s="1"/>
  <c r="C185" i="4" l="1"/>
  <c r="D17" i="24"/>
  <c r="E17" i="24" s="1"/>
  <c r="F17" i="24" s="1"/>
  <c r="D12" i="24"/>
  <c r="E12" i="24" s="1"/>
  <c r="D8" i="24"/>
  <c r="E8" i="24" s="1"/>
  <c r="D4" i="24"/>
  <c r="E4" i="24" s="1"/>
  <c r="D5" i="24"/>
  <c r="E5" i="24" s="1"/>
  <c r="C204" i="4"/>
  <c r="D62" i="18"/>
  <c r="F12" i="24" l="1"/>
  <c r="O70" i="23"/>
  <c r="O69" i="23" s="1"/>
  <c r="N70" i="23"/>
  <c r="N69" i="23" s="1"/>
  <c r="M70" i="23"/>
  <c r="M69" i="23" s="1"/>
  <c r="L70" i="23"/>
  <c r="K70" i="23"/>
  <c r="K69" i="23" s="1"/>
  <c r="J70" i="23"/>
  <c r="J69" i="23" s="1"/>
  <c r="I70" i="23"/>
  <c r="I69" i="23" s="1"/>
  <c r="H70" i="23"/>
  <c r="H69" i="23" s="1"/>
  <c r="G70" i="23"/>
  <c r="G69" i="23" s="1"/>
  <c r="F70" i="23"/>
  <c r="F69" i="23" s="1"/>
  <c r="E70" i="23"/>
  <c r="E69" i="23" s="1"/>
  <c r="L69" i="23"/>
  <c r="O68" i="23"/>
  <c r="O67" i="23" s="1"/>
  <c r="N68" i="23"/>
  <c r="N67" i="23" s="1"/>
  <c r="M68" i="23"/>
  <c r="M67" i="23" s="1"/>
  <c r="L68" i="23"/>
  <c r="L67" i="23" s="1"/>
  <c r="K68" i="23"/>
  <c r="K67" i="23" s="1"/>
  <c r="J68" i="23"/>
  <c r="J67" i="23" s="1"/>
  <c r="I68" i="23"/>
  <c r="I67" i="23" s="1"/>
  <c r="H68" i="23"/>
  <c r="H67" i="23" s="1"/>
  <c r="G68" i="23"/>
  <c r="G67" i="23" s="1"/>
  <c r="F68" i="23"/>
  <c r="F67" i="23" s="1"/>
  <c r="E68" i="23"/>
  <c r="E67" i="23" s="1"/>
  <c r="O63" i="23"/>
  <c r="N63" i="23"/>
  <c r="M63" i="23"/>
  <c r="L63" i="23"/>
  <c r="K63" i="23"/>
  <c r="J63" i="23"/>
  <c r="I63" i="23"/>
  <c r="H63" i="23"/>
  <c r="G63" i="23"/>
  <c r="F63" i="23"/>
  <c r="E63" i="23"/>
  <c r="O62" i="23"/>
  <c r="O61" i="23" s="1"/>
  <c r="O60" i="23" s="1"/>
  <c r="N62" i="23"/>
  <c r="N61" i="23" s="1"/>
  <c r="N60" i="23" s="1"/>
  <c r="M62" i="23"/>
  <c r="M61" i="23" s="1"/>
  <c r="M60" i="23" s="1"/>
  <c r="L62" i="23"/>
  <c r="L61" i="23" s="1"/>
  <c r="L60" i="23" s="1"/>
  <c r="K62" i="23"/>
  <c r="K61" i="23" s="1"/>
  <c r="K60" i="23" s="1"/>
  <c r="J62" i="23"/>
  <c r="J61" i="23" s="1"/>
  <c r="J60" i="23" s="1"/>
  <c r="I62" i="23"/>
  <c r="I61" i="23" s="1"/>
  <c r="I60" i="23" s="1"/>
  <c r="H62" i="23"/>
  <c r="H61" i="23" s="1"/>
  <c r="H60" i="23" s="1"/>
  <c r="G62" i="23"/>
  <c r="G61" i="23" s="1"/>
  <c r="G60" i="23" s="1"/>
  <c r="F62" i="23"/>
  <c r="F61" i="23" s="1"/>
  <c r="F60" i="23" s="1"/>
  <c r="E62" i="23"/>
  <c r="E61" i="23" s="1"/>
  <c r="E60" i="23" s="1"/>
  <c r="O54" i="23"/>
  <c r="O53" i="23" s="1"/>
  <c r="O52" i="23" s="1"/>
  <c r="N54" i="23"/>
  <c r="N53" i="23" s="1"/>
  <c r="N52" i="23" s="1"/>
  <c r="M54" i="23"/>
  <c r="M53" i="23" s="1"/>
  <c r="M52" i="23" s="1"/>
  <c r="L54" i="23"/>
  <c r="L53" i="23" s="1"/>
  <c r="L52" i="23" s="1"/>
  <c r="K54" i="23"/>
  <c r="K53" i="23" s="1"/>
  <c r="K52" i="23" s="1"/>
  <c r="J54" i="23"/>
  <c r="J53" i="23" s="1"/>
  <c r="J52" i="23" s="1"/>
  <c r="I54" i="23"/>
  <c r="I53" i="23" s="1"/>
  <c r="I52" i="23" s="1"/>
  <c r="H54" i="23"/>
  <c r="H53" i="23" s="1"/>
  <c r="H52" i="23" s="1"/>
  <c r="G54" i="23"/>
  <c r="G53" i="23" s="1"/>
  <c r="G52" i="23" s="1"/>
  <c r="F54" i="23"/>
  <c r="F53" i="23" s="1"/>
  <c r="F52" i="23" s="1"/>
  <c r="E54" i="23"/>
  <c r="E53" i="23" s="1"/>
  <c r="E52" i="23" s="1"/>
  <c r="O51" i="23"/>
  <c r="N51" i="23"/>
  <c r="M51" i="23"/>
  <c r="L51" i="23"/>
  <c r="K51" i="23"/>
  <c r="J51" i="23"/>
  <c r="I51" i="23"/>
  <c r="H51" i="23"/>
  <c r="G51" i="23"/>
  <c r="F51" i="23"/>
  <c r="E51" i="23"/>
  <c r="O49" i="23"/>
  <c r="N49" i="23"/>
  <c r="M49" i="23"/>
  <c r="L49" i="23"/>
  <c r="K49" i="23"/>
  <c r="J49" i="23"/>
  <c r="I49" i="23"/>
  <c r="H49" i="23"/>
  <c r="G49" i="23"/>
  <c r="F49" i="23"/>
  <c r="E49" i="23"/>
  <c r="O48" i="23"/>
  <c r="N48" i="23"/>
  <c r="M48" i="23"/>
  <c r="L48" i="23"/>
  <c r="K48" i="23"/>
  <c r="J48" i="23"/>
  <c r="I48" i="23"/>
  <c r="H48" i="23"/>
  <c r="G48" i="23"/>
  <c r="F48" i="23"/>
  <c r="E48" i="23"/>
  <c r="O47" i="23"/>
  <c r="N47" i="23"/>
  <c r="M47" i="23"/>
  <c r="L47" i="23"/>
  <c r="K47" i="23"/>
  <c r="J47" i="23"/>
  <c r="I47" i="23"/>
  <c r="H47" i="23"/>
  <c r="G47" i="23"/>
  <c r="F47" i="23"/>
  <c r="E47" i="23"/>
  <c r="O46" i="23"/>
  <c r="N46" i="23"/>
  <c r="M46" i="23"/>
  <c r="L46" i="23"/>
  <c r="K46" i="23"/>
  <c r="J46" i="23"/>
  <c r="I46" i="23"/>
  <c r="H46" i="23"/>
  <c r="G46" i="23"/>
  <c r="F46" i="23"/>
  <c r="E46" i="23"/>
  <c r="O45" i="23"/>
  <c r="N45" i="23"/>
  <c r="M45" i="23"/>
  <c r="L45" i="23"/>
  <c r="K45" i="23"/>
  <c r="J45" i="23"/>
  <c r="I45" i="23"/>
  <c r="H45" i="23"/>
  <c r="G45" i="23"/>
  <c r="F45" i="23"/>
  <c r="E45" i="23"/>
  <c r="O44" i="23"/>
  <c r="N44" i="23"/>
  <c r="M44" i="23"/>
  <c r="L44" i="23"/>
  <c r="K44" i="23"/>
  <c r="J44" i="23"/>
  <c r="I44" i="23"/>
  <c r="H44" i="23"/>
  <c r="G44" i="23"/>
  <c r="F44" i="23"/>
  <c r="E44" i="23"/>
  <c r="O43" i="23"/>
  <c r="N43" i="23"/>
  <c r="M43" i="23"/>
  <c r="L43" i="23"/>
  <c r="K43" i="23"/>
  <c r="J43" i="23"/>
  <c r="I43" i="23"/>
  <c r="H43" i="23"/>
  <c r="G43" i="23"/>
  <c r="F43" i="23"/>
  <c r="E43" i="23"/>
  <c r="O38" i="23"/>
  <c r="N38" i="23"/>
  <c r="M38" i="23"/>
  <c r="L38" i="23"/>
  <c r="K38" i="23"/>
  <c r="J38" i="23"/>
  <c r="I38" i="23"/>
  <c r="H38" i="23"/>
  <c r="G38" i="23"/>
  <c r="F38" i="23"/>
  <c r="E38" i="23"/>
  <c r="O37" i="23"/>
  <c r="N37" i="23"/>
  <c r="M37" i="23"/>
  <c r="L37" i="23"/>
  <c r="K37" i="23"/>
  <c r="J37" i="23"/>
  <c r="I37" i="23"/>
  <c r="H37" i="23"/>
  <c r="G37" i="23"/>
  <c r="F37" i="23"/>
  <c r="E37" i="23"/>
  <c r="O34" i="23"/>
  <c r="N34" i="23"/>
  <c r="M34" i="23"/>
  <c r="L34" i="23"/>
  <c r="K34" i="23"/>
  <c r="J34" i="23"/>
  <c r="I34" i="23"/>
  <c r="H34" i="23"/>
  <c r="G34" i="23"/>
  <c r="F34" i="23"/>
  <c r="E34" i="23"/>
  <c r="O33" i="23"/>
  <c r="N33" i="23"/>
  <c r="M33" i="23"/>
  <c r="L33" i="23"/>
  <c r="K33" i="23"/>
  <c r="J33" i="23"/>
  <c r="I33" i="23"/>
  <c r="H33" i="23"/>
  <c r="G33" i="23"/>
  <c r="F33" i="23"/>
  <c r="F32" i="23" s="1"/>
  <c r="E33" i="23"/>
  <c r="O31" i="23"/>
  <c r="N31" i="23"/>
  <c r="M31" i="23"/>
  <c r="L31" i="23"/>
  <c r="K31" i="23"/>
  <c r="J31" i="23"/>
  <c r="I31" i="23"/>
  <c r="H31" i="23"/>
  <c r="G31" i="23"/>
  <c r="F31" i="23"/>
  <c r="E31" i="23"/>
  <c r="O30" i="23"/>
  <c r="N30" i="23"/>
  <c r="M30" i="23"/>
  <c r="L30" i="23"/>
  <c r="K30" i="23"/>
  <c r="J30" i="23"/>
  <c r="I30" i="23"/>
  <c r="H30" i="23"/>
  <c r="G30" i="23"/>
  <c r="F30" i="23"/>
  <c r="E30" i="23"/>
  <c r="O29" i="23"/>
  <c r="N29" i="23"/>
  <c r="M29" i="23"/>
  <c r="L29" i="23"/>
  <c r="K29" i="23"/>
  <c r="J29" i="23"/>
  <c r="I29" i="23"/>
  <c r="H29" i="23"/>
  <c r="G29" i="23"/>
  <c r="F29" i="23"/>
  <c r="E29" i="23"/>
  <c r="O28" i="23"/>
  <c r="N28" i="23"/>
  <c r="M28" i="23"/>
  <c r="L28" i="23"/>
  <c r="K28" i="23"/>
  <c r="J28" i="23"/>
  <c r="I28" i="23"/>
  <c r="H28" i="23"/>
  <c r="G28" i="23"/>
  <c r="F28" i="23"/>
  <c r="E28" i="23"/>
  <c r="O27" i="23"/>
  <c r="N27" i="23"/>
  <c r="M27" i="23"/>
  <c r="L27" i="23"/>
  <c r="K27" i="23"/>
  <c r="J27" i="23"/>
  <c r="I27" i="23"/>
  <c r="H27" i="23"/>
  <c r="G27" i="23"/>
  <c r="F27" i="23"/>
  <c r="E27" i="23"/>
  <c r="O26" i="23"/>
  <c r="N26" i="23"/>
  <c r="M26" i="23"/>
  <c r="L26" i="23"/>
  <c r="K26" i="23"/>
  <c r="J26" i="23"/>
  <c r="I26" i="23"/>
  <c r="H26" i="23"/>
  <c r="G26" i="23"/>
  <c r="F26" i="23"/>
  <c r="E26" i="23"/>
  <c r="O25" i="23"/>
  <c r="N25" i="23"/>
  <c r="M25" i="23"/>
  <c r="L25" i="23"/>
  <c r="K25" i="23"/>
  <c r="J25" i="23"/>
  <c r="I25" i="23"/>
  <c r="H25" i="23"/>
  <c r="G25" i="23"/>
  <c r="F25" i="23"/>
  <c r="E25" i="23"/>
  <c r="O24" i="23"/>
  <c r="N24" i="23"/>
  <c r="M24" i="23"/>
  <c r="L24" i="23"/>
  <c r="K24" i="23"/>
  <c r="J24" i="23"/>
  <c r="I24" i="23"/>
  <c r="H24" i="23"/>
  <c r="G24" i="23"/>
  <c r="F24" i="23"/>
  <c r="E24" i="23"/>
  <c r="O23" i="23"/>
  <c r="N23" i="23"/>
  <c r="M23" i="23"/>
  <c r="L23" i="23"/>
  <c r="K23" i="23"/>
  <c r="J23" i="23"/>
  <c r="I23" i="23"/>
  <c r="H23" i="23"/>
  <c r="G23" i="23"/>
  <c r="F23" i="23"/>
  <c r="E23" i="23"/>
  <c r="O22" i="23"/>
  <c r="N22" i="23"/>
  <c r="M22" i="23"/>
  <c r="L22" i="23"/>
  <c r="K22" i="23"/>
  <c r="J22" i="23"/>
  <c r="I22" i="23"/>
  <c r="H22" i="23"/>
  <c r="G22" i="23"/>
  <c r="F22" i="23"/>
  <c r="E22" i="23"/>
  <c r="O21" i="23"/>
  <c r="N21" i="23"/>
  <c r="M21" i="23"/>
  <c r="L21" i="23"/>
  <c r="K21" i="23"/>
  <c r="J21" i="23"/>
  <c r="I21" i="23"/>
  <c r="H21" i="23"/>
  <c r="G21" i="23"/>
  <c r="F21" i="23"/>
  <c r="E21" i="23"/>
  <c r="O20" i="23"/>
  <c r="N20" i="23"/>
  <c r="M20" i="23"/>
  <c r="L20" i="23"/>
  <c r="K20" i="23"/>
  <c r="J20" i="23"/>
  <c r="I20" i="23"/>
  <c r="H20" i="23"/>
  <c r="G20" i="23"/>
  <c r="F20" i="23"/>
  <c r="E20" i="23"/>
  <c r="O17" i="23"/>
  <c r="N17" i="23"/>
  <c r="M17" i="23"/>
  <c r="L17" i="23"/>
  <c r="K17" i="23"/>
  <c r="J17" i="23"/>
  <c r="I17" i="23"/>
  <c r="H17" i="23"/>
  <c r="G17" i="23"/>
  <c r="F17" i="23"/>
  <c r="E17" i="23"/>
  <c r="O16" i="23"/>
  <c r="N16" i="23"/>
  <c r="M16" i="23"/>
  <c r="L16" i="23"/>
  <c r="K16" i="23"/>
  <c r="J16" i="23"/>
  <c r="I16" i="23"/>
  <c r="H16" i="23"/>
  <c r="G16" i="23"/>
  <c r="F16" i="23"/>
  <c r="E16" i="23"/>
  <c r="O15" i="23"/>
  <c r="N15" i="23"/>
  <c r="M15" i="23"/>
  <c r="L15" i="23"/>
  <c r="K15" i="23"/>
  <c r="J15" i="23"/>
  <c r="I15" i="23"/>
  <c r="H15" i="23"/>
  <c r="G15" i="23"/>
  <c r="F15" i="23"/>
  <c r="E15" i="23"/>
  <c r="O14" i="23"/>
  <c r="N14" i="23"/>
  <c r="M14" i="23"/>
  <c r="L14" i="23"/>
  <c r="K14" i="23"/>
  <c r="J14" i="23"/>
  <c r="I14" i="23"/>
  <c r="H14" i="23"/>
  <c r="G14" i="23"/>
  <c r="F14" i="23"/>
  <c r="E14" i="23"/>
  <c r="O13" i="23"/>
  <c r="N13" i="23"/>
  <c r="M13" i="23"/>
  <c r="L13" i="23"/>
  <c r="K13" i="23"/>
  <c r="J13" i="23"/>
  <c r="I13" i="23"/>
  <c r="H13" i="23"/>
  <c r="G13" i="23"/>
  <c r="F13" i="23"/>
  <c r="E13" i="23"/>
  <c r="O12" i="23"/>
  <c r="N12" i="23"/>
  <c r="M12" i="23"/>
  <c r="L12" i="23"/>
  <c r="K12" i="23"/>
  <c r="J12" i="23"/>
  <c r="I12" i="23"/>
  <c r="H12" i="23"/>
  <c r="G12" i="23"/>
  <c r="F12" i="23"/>
  <c r="E12" i="23"/>
  <c r="O11" i="23"/>
  <c r="N11" i="23"/>
  <c r="M11" i="23"/>
  <c r="L11" i="23"/>
  <c r="K11" i="23"/>
  <c r="J11" i="23"/>
  <c r="I11" i="23"/>
  <c r="H11" i="23"/>
  <c r="G11" i="23"/>
  <c r="F11" i="23"/>
  <c r="E11" i="23"/>
  <c r="O10" i="23"/>
  <c r="N10" i="23"/>
  <c r="M10" i="23"/>
  <c r="L10" i="23"/>
  <c r="K10" i="23"/>
  <c r="J10" i="23"/>
  <c r="I10" i="23"/>
  <c r="H10" i="23"/>
  <c r="G10" i="23"/>
  <c r="F10" i="23"/>
  <c r="E10" i="23"/>
  <c r="D70" i="23"/>
  <c r="D69" i="23" s="1"/>
  <c r="D68" i="23"/>
  <c r="D67" i="23" s="1"/>
  <c r="D63" i="23"/>
  <c r="D62" i="23"/>
  <c r="D61" i="23" s="1"/>
  <c r="D60" i="23" s="1"/>
  <c r="D54" i="23"/>
  <c r="D53" i="23" s="1"/>
  <c r="D52" i="23" s="1"/>
  <c r="D51" i="23"/>
  <c r="D49" i="23"/>
  <c r="D48" i="23"/>
  <c r="D47" i="23"/>
  <c r="D46" i="23"/>
  <c r="D45" i="23"/>
  <c r="D44" i="23"/>
  <c r="D43" i="23"/>
  <c r="D38" i="23"/>
  <c r="D37" i="23"/>
  <c r="D34" i="23"/>
  <c r="D33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7" i="23"/>
  <c r="D16" i="23"/>
  <c r="D15" i="23"/>
  <c r="D14" i="23"/>
  <c r="D13" i="23"/>
  <c r="D12" i="23"/>
  <c r="D11" i="23"/>
  <c r="D10" i="23"/>
  <c r="C63" i="23"/>
  <c r="C47" i="23"/>
  <c r="Y160" i="9"/>
  <c r="Z160" i="9"/>
  <c r="AA160" i="9"/>
  <c r="AB160" i="9"/>
  <c r="AC160" i="9"/>
  <c r="AD160" i="9"/>
  <c r="AE160" i="9"/>
  <c r="AF160" i="9"/>
  <c r="AB13" i="22"/>
  <c r="P22" i="22"/>
  <c r="AC22" i="22" s="1"/>
  <c r="P11" i="22"/>
  <c r="AC11" i="22" s="1"/>
  <c r="E35" i="9"/>
  <c r="G35" i="9" s="1"/>
  <c r="G71" i="18"/>
  <c r="F162" i="4"/>
  <c r="J16" i="9"/>
  <c r="I16" i="9"/>
  <c r="H16" i="9"/>
  <c r="N32" i="23" l="1"/>
  <c r="G66" i="23"/>
  <c r="O66" i="23"/>
  <c r="J66" i="23"/>
  <c r="M36" i="23"/>
  <c r="M35" i="23" s="1"/>
  <c r="L32" i="23"/>
  <c r="J36" i="23"/>
  <c r="J35" i="23" s="1"/>
  <c r="F36" i="23"/>
  <c r="F35" i="23" s="1"/>
  <c r="E32" i="23"/>
  <c r="E36" i="23"/>
  <c r="E35" i="23" s="1"/>
  <c r="F66" i="23"/>
  <c r="K66" i="23"/>
  <c r="I36" i="23"/>
  <c r="I35" i="23" s="1"/>
  <c r="D42" i="23"/>
  <c r="D39" i="23" s="1"/>
  <c r="M66" i="23"/>
  <c r="H36" i="23"/>
  <c r="H35" i="23" s="1"/>
  <c r="D32" i="23"/>
  <c r="M32" i="23"/>
  <c r="L19" i="23"/>
  <c r="H32" i="23"/>
  <c r="G36" i="23"/>
  <c r="G35" i="23" s="1"/>
  <c r="O36" i="23"/>
  <c r="O35" i="23" s="1"/>
  <c r="I32" i="23"/>
  <c r="J9" i="23"/>
  <c r="J8" i="23" s="1"/>
  <c r="K32" i="23"/>
  <c r="N36" i="23"/>
  <c r="N35" i="23" s="1"/>
  <c r="N66" i="23"/>
  <c r="H19" i="23"/>
  <c r="H18" i="23" s="1"/>
  <c r="E19" i="23"/>
  <c r="M19" i="23"/>
  <c r="J32" i="23"/>
  <c r="G32" i="23"/>
  <c r="O32" i="23"/>
  <c r="E66" i="23"/>
  <c r="D36" i="23"/>
  <c r="D35" i="23" s="1"/>
  <c r="K42" i="23"/>
  <c r="K39" i="23" s="1"/>
  <c r="E42" i="23"/>
  <c r="E39" i="23" s="1"/>
  <c r="M42" i="23"/>
  <c r="M39" i="23" s="1"/>
  <c r="D9" i="23"/>
  <c r="E73" i="23"/>
  <c r="I73" i="23"/>
  <c r="M73" i="23"/>
  <c r="D66" i="23"/>
  <c r="F73" i="23"/>
  <c r="J73" i="23"/>
  <c r="N73" i="23"/>
  <c r="I19" i="23"/>
  <c r="I18" i="23" s="1"/>
  <c r="F19" i="23"/>
  <c r="F18" i="23" s="1"/>
  <c r="N19" i="23"/>
  <c r="N18" i="23" s="1"/>
  <c r="K19" i="23"/>
  <c r="J19" i="23"/>
  <c r="L36" i="23"/>
  <c r="L35" i="23" s="1"/>
  <c r="H42" i="23"/>
  <c r="H39" i="23" s="1"/>
  <c r="H66" i="23"/>
  <c r="G73" i="23"/>
  <c r="K73" i="23"/>
  <c r="O73" i="23"/>
  <c r="L9" i="23"/>
  <c r="L8" i="23" s="1"/>
  <c r="I9" i="23"/>
  <c r="I8" i="23" s="1"/>
  <c r="F9" i="23"/>
  <c r="K9" i="23"/>
  <c r="K8" i="23" s="1"/>
  <c r="H9" i="23"/>
  <c r="E9" i="23"/>
  <c r="M9" i="23"/>
  <c r="M8" i="23" s="1"/>
  <c r="L66" i="23"/>
  <c r="I66" i="23"/>
  <c r="D73" i="23"/>
  <c r="D19" i="23"/>
  <c r="L73" i="23"/>
  <c r="G19" i="23"/>
  <c r="O19" i="23"/>
  <c r="K36" i="23"/>
  <c r="K35" i="23" s="1"/>
  <c r="J42" i="23"/>
  <c r="J39" i="23" s="1"/>
  <c r="G42" i="23"/>
  <c r="G39" i="23" s="1"/>
  <c r="O42" i="23"/>
  <c r="O39" i="23" s="1"/>
  <c r="L42" i="23"/>
  <c r="L39" i="23" s="1"/>
  <c r="I42" i="23"/>
  <c r="I39" i="23" s="1"/>
  <c r="F42" i="23"/>
  <c r="F39" i="23" s="1"/>
  <c r="N42" i="23"/>
  <c r="N39" i="23" s="1"/>
  <c r="H73" i="23"/>
  <c r="N9" i="23"/>
  <c r="G9" i="23"/>
  <c r="O9" i="23"/>
  <c r="D8" i="23"/>
  <c r="L18" i="23" l="1"/>
  <c r="L71" i="23" s="1"/>
  <c r="D18" i="23"/>
  <c r="D71" i="23" s="1"/>
  <c r="E18" i="23"/>
  <c r="O18" i="23"/>
  <c r="M18" i="23"/>
  <c r="M71" i="23" s="1"/>
  <c r="I72" i="23"/>
  <c r="H72" i="23"/>
  <c r="H8" i="23"/>
  <c r="H71" i="23" s="1"/>
  <c r="E72" i="23"/>
  <c r="K18" i="23"/>
  <c r="K71" i="23" s="1"/>
  <c r="J18" i="23"/>
  <c r="J71" i="23" s="1"/>
  <c r="G18" i="23"/>
  <c r="F72" i="23"/>
  <c r="J72" i="23"/>
  <c r="E8" i="23"/>
  <c r="I71" i="23"/>
  <c r="K72" i="23"/>
  <c r="L72" i="23"/>
  <c r="M72" i="23"/>
  <c r="D72" i="23"/>
  <c r="F8" i="23"/>
  <c r="F71" i="23" s="1"/>
  <c r="N72" i="23"/>
  <c r="N8" i="23"/>
  <c r="N71" i="23" s="1"/>
  <c r="O72" i="23"/>
  <c r="O8" i="23"/>
  <c r="O71" i="23" s="1"/>
  <c r="G72" i="23"/>
  <c r="G8" i="23"/>
  <c r="E71" i="23" l="1"/>
  <c r="G71" i="23"/>
  <c r="C88" i="4"/>
  <c r="C45" i="4"/>
  <c r="C20" i="4"/>
  <c r="G37" i="18"/>
  <c r="G36" i="18" l="1"/>
  <c r="N64" i="22" l="1"/>
  <c r="N63" i="22"/>
  <c r="AA64" i="22" l="1"/>
  <c r="AA63" i="22"/>
  <c r="F71" i="18"/>
  <c r="C54" i="18" l="1"/>
  <c r="C21" i="8" l="1"/>
  <c r="C28" i="8"/>
  <c r="AP89" i="22" l="1"/>
  <c r="D25" i="5"/>
  <c r="X76" i="22"/>
  <c r="X77" i="22" s="1"/>
  <c r="X79" i="22" s="1"/>
  <c r="C25" i="5"/>
  <c r="AE86" i="22"/>
  <c r="AG62" i="22"/>
  <c r="AP85" i="22"/>
  <c r="AE85" i="22"/>
  <c r="AD34" i="22"/>
  <c r="AD26" i="22"/>
  <c r="AG67" i="22"/>
  <c r="AL67" i="22" s="1"/>
  <c r="AA67" i="22"/>
  <c r="J67" i="22"/>
  <c r="AI67" i="22" s="1"/>
  <c r="H67" i="22"/>
  <c r="W67" i="22" s="1"/>
  <c r="H25" i="5" l="1"/>
  <c r="L67" i="22"/>
  <c r="AD67" i="22" s="1"/>
  <c r="AH67" i="22"/>
  <c r="I67" i="22"/>
  <c r="M67" i="22" l="1"/>
  <c r="P67" i="22"/>
  <c r="O67" i="22"/>
  <c r="Q67" i="22" l="1"/>
  <c r="R67" i="22" s="1"/>
  <c r="AC67" i="22"/>
  <c r="AN67" i="22"/>
  <c r="AK67" i="22"/>
  <c r="Z67" i="22"/>
  <c r="AB67" i="22"/>
  <c r="AR67" i="22" s="1"/>
  <c r="AM67" i="22"/>
  <c r="AP67" i="22" s="1"/>
  <c r="AE67" i="22" l="1"/>
  <c r="F62" i="18"/>
  <c r="AE93" i="22"/>
  <c r="G46" i="18"/>
  <c r="G31" i="18" l="1"/>
  <c r="G29" i="18"/>
  <c r="G28" i="18"/>
  <c r="G23" i="18"/>
  <c r="G22" i="18"/>
  <c r="G16" i="18"/>
  <c r="G15" i="18"/>
  <c r="G14" i="18"/>
  <c r="G13" i="18"/>
  <c r="G12" i="18"/>
  <c r="G11" i="18"/>
  <c r="G10" i="18"/>
  <c r="G26" i="18" l="1"/>
  <c r="K35" i="9"/>
  <c r="L35" i="9" s="1"/>
  <c r="L12" i="9"/>
  <c r="C58" i="9"/>
  <c r="F49" i="9"/>
  <c r="F23" i="9"/>
  <c r="L34" i="9" l="1"/>
  <c r="G123" i="4"/>
  <c r="G124" i="4"/>
  <c r="G125" i="4"/>
  <c r="G126" i="4"/>
  <c r="D51" i="5" s="1"/>
  <c r="H51" i="5" s="1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22" i="4"/>
  <c r="F121" i="4"/>
  <c r="E121" i="4"/>
  <c r="D121" i="4"/>
  <c r="C121" i="4"/>
  <c r="G121" i="4" l="1"/>
  <c r="AG11" i="22" l="1"/>
  <c r="AG12" i="22"/>
  <c r="AL12" i="22" s="1"/>
  <c r="AG13" i="22"/>
  <c r="AG14" i="22"/>
  <c r="AL14" i="22" s="1"/>
  <c r="AG15" i="22"/>
  <c r="AL15" i="22" s="1"/>
  <c r="AG16" i="22"/>
  <c r="AL16" i="22" s="1"/>
  <c r="AG17" i="22"/>
  <c r="AL17" i="22" s="1"/>
  <c r="AG72" i="22"/>
  <c r="AL72" i="22" s="1"/>
  <c r="AG71" i="22"/>
  <c r="AL71" i="22" s="1"/>
  <c r="AG70" i="22"/>
  <c r="AL70" i="22" s="1"/>
  <c r="AG69" i="22"/>
  <c r="AL69" i="22" s="1"/>
  <c r="AG68" i="22"/>
  <c r="AL68" i="22" s="1"/>
  <c r="AG66" i="22"/>
  <c r="AL66" i="22" s="1"/>
  <c r="AG65" i="22"/>
  <c r="AL65" i="22" s="1"/>
  <c r="AG64" i="22"/>
  <c r="AL64" i="22" s="1"/>
  <c r="AG63" i="22"/>
  <c r="AL63" i="22" s="1"/>
  <c r="AG55" i="22"/>
  <c r="AL55" i="22" s="1"/>
  <c r="AG54" i="22"/>
  <c r="AL54" i="22" s="1"/>
  <c r="AG53" i="22"/>
  <c r="AG52" i="22"/>
  <c r="AL52" i="22" s="1"/>
  <c r="AG51" i="22"/>
  <c r="AL51" i="22" s="1"/>
  <c r="AG50" i="22"/>
  <c r="AL50" i="22" s="1"/>
  <c r="AG24" i="22"/>
  <c r="AL24" i="22" s="1"/>
  <c r="AG23" i="22"/>
  <c r="AL23" i="22" s="1"/>
  <c r="AG22" i="22"/>
  <c r="AG21" i="22"/>
  <c r="AL21" i="22" s="1"/>
  <c r="AG20" i="22"/>
  <c r="AL20" i="22" s="1"/>
  <c r="AG19" i="22"/>
  <c r="AL19" i="22" s="1"/>
  <c r="AM75" i="22"/>
  <c r="AL75" i="22"/>
  <c r="AM74" i="22"/>
  <c r="AL74" i="22"/>
  <c r="AM73" i="22"/>
  <c r="AL73" i="22"/>
  <c r="AM61" i="22"/>
  <c r="AL61" i="22"/>
  <c r="AM60" i="22"/>
  <c r="AL60" i="22"/>
  <c r="AM59" i="22"/>
  <c r="AL59" i="22"/>
  <c r="AM58" i="22"/>
  <c r="AL58" i="22"/>
  <c r="AM57" i="22"/>
  <c r="AL57" i="22"/>
  <c r="AM49" i="22"/>
  <c r="AL49" i="22"/>
  <c r="AM48" i="22"/>
  <c r="AL48" i="22"/>
  <c r="AM47" i="22"/>
  <c r="AL47" i="22"/>
  <c r="AM46" i="22"/>
  <c r="AL46" i="22"/>
  <c r="AM45" i="22"/>
  <c r="AL45" i="22"/>
  <c r="AM44" i="22"/>
  <c r="AL44" i="22"/>
  <c r="AM43" i="22"/>
  <c r="AL43" i="22"/>
  <c r="AM42" i="22"/>
  <c r="AL42" i="22"/>
  <c r="AM41" i="22"/>
  <c r="AL41" i="22"/>
  <c r="AM40" i="22"/>
  <c r="AL40" i="22"/>
  <c r="AM39" i="22"/>
  <c r="AL39" i="22"/>
  <c r="AM38" i="22"/>
  <c r="AL38" i="22"/>
  <c r="AM37" i="22"/>
  <c r="AL37" i="22"/>
  <c r="AM36" i="22"/>
  <c r="AL36" i="22"/>
  <c r="AM34" i="22"/>
  <c r="AL34" i="22"/>
  <c r="AM33" i="22"/>
  <c r="AL33" i="22"/>
  <c r="AM32" i="22"/>
  <c r="AL32" i="22"/>
  <c r="AM31" i="22"/>
  <c r="AL31" i="22"/>
  <c r="AM30" i="22"/>
  <c r="AL30" i="22"/>
  <c r="AM29" i="22"/>
  <c r="AL29" i="22"/>
  <c r="AM28" i="22"/>
  <c r="AL28" i="22"/>
  <c r="AM27" i="22"/>
  <c r="AL27" i="22"/>
  <c r="AM26" i="22"/>
  <c r="AL26" i="22"/>
  <c r="AC26" i="22"/>
  <c r="AC27" i="22"/>
  <c r="AC28" i="22"/>
  <c r="AC29" i="22"/>
  <c r="AC30" i="22"/>
  <c r="AC31" i="22"/>
  <c r="AC32" i="22"/>
  <c r="AC34" i="22"/>
  <c r="AC36" i="22"/>
  <c r="AC37" i="22"/>
  <c r="AC38" i="22"/>
  <c r="AC39" i="22"/>
  <c r="AC40" i="22"/>
  <c r="AC42" i="22"/>
  <c r="AC43" i="22"/>
  <c r="AC44" i="22"/>
  <c r="AC46" i="22"/>
  <c r="AC47" i="22"/>
  <c r="AC48" i="22"/>
  <c r="AC57" i="22"/>
  <c r="AC58" i="22"/>
  <c r="AC59" i="22"/>
  <c r="AC60" i="22"/>
  <c r="AA11" i="22"/>
  <c r="AB26" i="22"/>
  <c r="AB34" i="22"/>
  <c r="AB36" i="22"/>
  <c r="AB42" i="22"/>
  <c r="AB46" i="22"/>
  <c r="AB57" i="22"/>
  <c r="AA12" i="22"/>
  <c r="AA13" i="22"/>
  <c r="AA14" i="22"/>
  <c r="AA15" i="22"/>
  <c r="AA16" i="22"/>
  <c r="AA17" i="22"/>
  <c r="AA19" i="22"/>
  <c r="AA20" i="22"/>
  <c r="AA21" i="22"/>
  <c r="AA22" i="22"/>
  <c r="AA23" i="22"/>
  <c r="AA24" i="22"/>
  <c r="AA26" i="22"/>
  <c r="AA27" i="22"/>
  <c r="AA28" i="22"/>
  <c r="AA29" i="22"/>
  <c r="AA30" i="22"/>
  <c r="AA31" i="22"/>
  <c r="AA32" i="22"/>
  <c r="AA34" i="22"/>
  <c r="AA36" i="22"/>
  <c r="AA37" i="22"/>
  <c r="AA38" i="22"/>
  <c r="AA39" i="22"/>
  <c r="AA40" i="22"/>
  <c r="AA42" i="22"/>
  <c r="AA43" i="22"/>
  <c r="AA44" i="22"/>
  <c r="AA46" i="22"/>
  <c r="AA47" i="22"/>
  <c r="AA48" i="22"/>
  <c r="AA50" i="22"/>
  <c r="AA51" i="22"/>
  <c r="AA52" i="22"/>
  <c r="AA54" i="22"/>
  <c r="AA55" i="22"/>
  <c r="AA57" i="22"/>
  <c r="AA58" i="22"/>
  <c r="AA59" i="22"/>
  <c r="AA60" i="22"/>
  <c r="AA65" i="22"/>
  <c r="AA66" i="22"/>
  <c r="AA68" i="22"/>
  <c r="AA69" i="22"/>
  <c r="AA70" i="22"/>
  <c r="AA71" i="22"/>
  <c r="AA72" i="22"/>
  <c r="AA73" i="22"/>
  <c r="AA74" i="22"/>
  <c r="AA75" i="22"/>
  <c r="AL13" i="22" l="1"/>
  <c r="AM13" i="22"/>
  <c r="AL22" i="22"/>
  <c r="AN22" i="22"/>
  <c r="AL11" i="22"/>
  <c r="AN11" i="22"/>
  <c r="AN34" i="22"/>
  <c r="AR34" i="22"/>
  <c r="AN46" i="22"/>
  <c r="AR46" i="22"/>
  <c r="AN26" i="22"/>
  <c r="AR26" i="22"/>
  <c r="AN42" i="22"/>
  <c r="AR42" i="22"/>
  <c r="AN36" i="22"/>
  <c r="AR36" i="22"/>
  <c r="AN57" i="22"/>
  <c r="AR57" i="22"/>
  <c r="AR13" i="22"/>
  <c r="AL25" i="22"/>
  <c r="AL18" i="22"/>
  <c r="AA25" i="22"/>
  <c r="AA18" i="22"/>
  <c r="AL35" i="22" l="1"/>
  <c r="AA35" i="22"/>
  <c r="J53" i="22" l="1"/>
  <c r="AI53" i="22" s="1"/>
  <c r="H53" i="22"/>
  <c r="O53" i="22" s="1"/>
  <c r="AK53" i="22" l="1"/>
  <c r="Z53" i="22"/>
  <c r="W53" i="22"/>
  <c r="AH53" i="22"/>
  <c r="L53" i="22"/>
  <c r="AD53" i="22" s="1"/>
  <c r="I53" i="22"/>
  <c r="P53" i="22" l="1"/>
  <c r="N53" i="22"/>
  <c r="M53" i="22"/>
  <c r="Q53" i="22" s="1"/>
  <c r="AL53" i="22" l="1"/>
  <c r="AL56" i="22" s="1"/>
  <c r="AA53" i="22"/>
  <c r="AA56" i="22" s="1"/>
  <c r="AB53" i="22"/>
  <c r="AM53" i="22"/>
  <c r="AC53" i="22"/>
  <c r="AN53" i="22"/>
  <c r="R53" i="22"/>
  <c r="AE53" i="22" l="1"/>
  <c r="AP53" i="22"/>
  <c r="AR53" i="22"/>
  <c r="J14" i="18"/>
  <c r="C14" i="23" s="1"/>
  <c r="O10" i="9" l="1"/>
  <c r="P10" i="9"/>
  <c r="Q10" i="9"/>
  <c r="R10" i="9"/>
  <c r="M10" i="9"/>
  <c r="N10" i="9"/>
  <c r="P17" i="9"/>
  <c r="Q17" i="9"/>
  <c r="R17" i="9"/>
  <c r="M17" i="9"/>
  <c r="N17" i="9"/>
  <c r="S10" i="9" l="1"/>
  <c r="T126" i="9" l="1"/>
  <c r="O116" i="9" l="1"/>
  <c r="M116" i="9"/>
  <c r="M112" i="9" s="1"/>
  <c r="K116" i="9"/>
  <c r="M39" i="9"/>
  <c r="M44" i="9"/>
  <c r="M43" i="9" s="1"/>
  <c r="M9" i="9"/>
  <c r="L18" i="9"/>
  <c r="L19" i="9"/>
  <c r="L20" i="9"/>
  <c r="L21" i="9"/>
  <c r="H75" i="7"/>
  <c r="O17" i="9" l="1"/>
  <c r="S17" i="9" s="1"/>
  <c r="N139" i="9"/>
  <c r="M139" i="9"/>
  <c r="N39" i="9"/>
  <c r="N9" i="9" s="1"/>
  <c r="O9" i="9" l="1"/>
  <c r="N44" i="9"/>
  <c r="N43" i="9" s="1"/>
  <c r="N116" i="9" l="1"/>
  <c r="N112" i="9" s="1"/>
  <c r="K23" i="9" l="1"/>
  <c r="L23" i="9" s="1"/>
  <c r="D76" i="22" l="1"/>
  <c r="D56" i="22"/>
  <c r="D25" i="22"/>
  <c r="D18" i="22"/>
  <c r="D77" i="22" l="1"/>
  <c r="D35" i="22"/>
  <c r="C26" i="8"/>
  <c r="K40" i="9"/>
  <c r="F40" i="9"/>
  <c r="C17" i="8" l="1"/>
  <c r="K154" i="9" l="1"/>
  <c r="K153" i="9" s="1"/>
  <c r="J154" i="9"/>
  <c r="J153" i="9" s="1"/>
  <c r="I154" i="9"/>
  <c r="I153" i="9" s="1"/>
  <c r="H155" i="9"/>
  <c r="H154" i="9" s="1"/>
  <c r="H153" i="9" s="1"/>
  <c r="G95" i="4"/>
  <c r="G94" i="4" s="1"/>
  <c r="G93" i="4" s="1"/>
  <c r="C141" i="5" s="1"/>
  <c r="C140" i="5" s="1"/>
  <c r="C139" i="5" s="1"/>
  <c r="F94" i="4"/>
  <c r="F93" i="4" s="1"/>
  <c r="E94" i="4"/>
  <c r="E93" i="4" s="1"/>
  <c r="D94" i="4"/>
  <c r="D93" i="4" s="1"/>
  <c r="C94" i="4"/>
  <c r="C93" i="4" s="1"/>
  <c r="D154" i="9"/>
  <c r="D153" i="9" s="1"/>
  <c r="E154" i="9"/>
  <c r="E153" i="9" s="1"/>
  <c r="F154" i="9"/>
  <c r="F153" i="9" s="1"/>
  <c r="C155" i="9"/>
  <c r="C154" i="9" s="1"/>
  <c r="G204" i="4"/>
  <c r="G203" i="4" s="1"/>
  <c r="D203" i="4"/>
  <c r="D202" i="4" s="1"/>
  <c r="E203" i="4"/>
  <c r="E202" i="4" s="1"/>
  <c r="F203" i="4"/>
  <c r="F202" i="4" s="1"/>
  <c r="C203" i="4"/>
  <c r="C202" i="4" s="1"/>
  <c r="L153" i="9" l="1"/>
  <c r="G202" i="4"/>
  <c r="D141" i="5"/>
  <c r="D140" i="5" s="1"/>
  <c r="D139" i="5" s="1"/>
  <c r="G155" i="9"/>
  <c r="L154" i="9"/>
  <c r="G154" i="9"/>
  <c r="C153" i="9"/>
  <c r="G153" i="9" s="1"/>
  <c r="E75" i="4"/>
  <c r="F75" i="4"/>
  <c r="C75" i="4"/>
  <c r="D75" i="4"/>
  <c r="G75" i="4" l="1"/>
  <c r="K105" i="9"/>
  <c r="J105" i="9"/>
  <c r="I105" i="9"/>
  <c r="H105" i="9"/>
  <c r="K104" i="9"/>
  <c r="J104" i="9"/>
  <c r="I104" i="9"/>
  <c r="H104" i="9"/>
  <c r="G76" i="4"/>
  <c r="C110" i="5" s="1"/>
  <c r="G77" i="4"/>
  <c r="C111" i="5" s="1"/>
  <c r="S145" i="9" l="1"/>
  <c r="S137" i="9"/>
  <c r="S136" i="9"/>
  <c r="S135" i="9"/>
  <c r="S133" i="9"/>
  <c r="S131" i="9"/>
  <c r="S123" i="9"/>
  <c r="S128" i="9"/>
  <c r="S127" i="9"/>
  <c r="S124" i="9"/>
  <c r="S119" i="9"/>
  <c r="S118" i="9"/>
  <c r="S117" i="9"/>
  <c r="S115" i="9"/>
  <c r="S114" i="9"/>
  <c r="S102" i="9"/>
  <c r="Q98" i="9"/>
  <c r="Q95" i="9" s="1"/>
  <c r="Q149" i="9"/>
  <c r="Q148" i="9" s="1"/>
  <c r="Q103" i="9"/>
  <c r="S98" i="9" l="1"/>
  <c r="Q94" i="9"/>
  <c r="Q160" i="9" l="1"/>
  <c r="E26" i="12" s="1"/>
  <c r="C27" i="14" s="1"/>
  <c r="H27" i="14" l="1"/>
  <c r="F55" i="9"/>
  <c r="F54" i="9"/>
  <c r="K72" i="22"/>
  <c r="AJ72" i="22" s="1"/>
  <c r="K71" i="22"/>
  <c r="AJ71" i="22" s="1"/>
  <c r="K70" i="22"/>
  <c r="AJ70" i="22" s="1"/>
  <c r="K69" i="22"/>
  <c r="AJ69" i="22" s="1"/>
  <c r="K65" i="22"/>
  <c r="Y65" i="22" s="1"/>
  <c r="K64" i="22"/>
  <c r="Y64" i="22" s="1"/>
  <c r="K63" i="22"/>
  <c r="Y63" i="22" s="1"/>
  <c r="Y76" i="22" l="1"/>
  <c r="Y77" i="22" s="1"/>
  <c r="Y79" i="22" s="1"/>
  <c r="AJ76" i="22"/>
  <c r="AJ77" i="22" s="1"/>
  <c r="AJ79" i="22" s="1"/>
  <c r="J72" i="22"/>
  <c r="AI72" i="22" s="1"/>
  <c r="J71" i="22"/>
  <c r="AI71" i="22" s="1"/>
  <c r="J70" i="22"/>
  <c r="AI70" i="22" s="1"/>
  <c r="J69" i="22"/>
  <c r="AI69" i="22" s="1"/>
  <c r="J68" i="22"/>
  <c r="AI68" i="22" s="1"/>
  <c r="J66" i="22"/>
  <c r="AI66" i="22" s="1"/>
  <c r="J65" i="22"/>
  <c r="AI65" i="22" s="1"/>
  <c r="J64" i="22"/>
  <c r="AI64" i="22" s="1"/>
  <c r="J63" i="22"/>
  <c r="AI63" i="22" s="1"/>
  <c r="AI62" i="22"/>
  <c r="J55" i="22"/>
  <c r="AI55" i="22" s="1"/>
  <c r="J54" i="22"/>
  <c r="AI54" i="22" s="1"/>
  <c r="J52" i="22"/>
  <c r="AI52" i="22" s="1"/>
  <c r="J51" i="22"/>
  <c r="AI51" i="22" s="1"/>
  <c r="J50" i="22"/>
  <c r="AI50" i="22" s="1"/>
  <c r="J24" i="22"/>
  <c r="AI24" i="22" s="1"/>
  <c r="J23" i="22"/>
  <c r="AI23" i="22" s="1"/>
  <c r="J22" i="22"/>
  <c r="AI22" i="22" s="1"/>
  <c r="J21" i="22"/>
  <c r="AI21" i="22" s="1"/>
  <c r="J20" i="22"/>
  <c r="AI20" i="22" s="1"/>
  <c r="J19" i="22"/>
  <c r="AI19" i="22" s="1"/>
  <c r="J17" i="22"/>
  <c r="AI17" i="22" s="1"/>
  <c r="J16" i="22"/>
  <c r="AI16" i="22" s="1"/>
  <c r="J15" i="22"/>
  <c r="AI15" i="22" s="1"/>
  <c r="J14" i="22"/>
  <c r="AI14" i="22" s="1"/>
  <c r="J13" i="22"/>
  <c r="AI13" i="22" s="1"/>
  <c r="J12" i="22"/>
  <c r="AI12" i="22" s="1"/>
  <c r="J11" i="22"/>
  <c r="AI11" i="22" s="1"/>
  <c r="E89" i="4"/>
  <c r="F89" i="4"/>
  <c r="C19" i="5" l="1"/>
  <c r="K16" i="9"/>
  <c r="L16" i="9" s="1"/>
  <c r="AI76" i="22"/>
  <c r="F16" i="9" s="1"/>
  <c r="AI18" i="22"/>
  <c r="AI56" i="22"/>
  <c r="AI25" i="22"/>
  <c r="J76" i="22"/>
  <c r="J25" i="22"/>
  <c r="D16" i="9" s="1"/>
  <c r="J56" i="22"/>
  <c r="E16" i="9" s="1"/>
  <c r="J18" i="22"/>
  <c r="AI77" i="22" l="1"/>
  <c r="AI35" i="22"/>
  <c r="J77" i="22"/>
  <c r="AI79" i="22" l="1"/>
  <c r="C35" i="5"/>
  <c r="C34" i="5" s="1"/>
  <c r="H32" i="9" l="1"/>
  <c r="L32" i="9" s="1"/>
  <c r="H72" i="22"/>
  <c r="H71" i="22"/>
  <c r="H70" i="22"/>
  <c r="H69" i="22"/>
  <c r="H68" i="22"/>
  <c r="H66" i="22"/>
  <c r="H65" i="22"/>
  <c r="H64" i="22"/>
  <c r="I64" i="22" s="1"/>
  <c r="H63" i="22"/>
  <c r="I63" i="22" s="1"/>
  <c r="H62" i="22"/>
  <c r="W62" i="22" s="1"/>
  <c r="H55" i="22"/>
  <c r="H54" i="22"/>
  <c r="O54" i="22" s="1"/>
  <c r="H52" i="22"/>
  <c r="O52" i="22" s="1"/>
  <c r="H51" i="22"/>
  <c r="O51" i="22" s="1"/>
  <c r="H50" i="22"/>
  <c r="O50" i="22" s="1"/>
  <c r="H19" i="22"/>
  <c r="O19" i="22" s="1"/>
  <c r="H24" i="22"/>
  <c r="O24" i="22" s="1"/>
  <c r="H23" i="22"/>
  <c r="O23" i="22" s="1"/>
  <c r="H22" i="22"/>
  <c r="O22" i="22" s="1"/>
  <c r="H21" i="22"/>
  <c r="O21" i="22" s="1"/>
  <c r="H20" i="22"/>
  <c r="O20" i="22" s="1"/>
  <c r="H17" i="22"/>
  <c r="O17" i="22" s="1"/>
  <c r="H16" i="22"/>
  <c r="O16" i="22" s="1"/>
  <c r="H15" i="22"/>
  <c r="O15" i="22" s="1"/>
  <c r="H14" i="22"/>
  <c r="O14" i="22" s="1"/>
  <c r="H13" i="22"/>
  <c r="O13" i="22" s="1"/>
  <c r="H12" i="22"/>
  <c r="O12" i="22" s="1"/>
  <c r="H11" i="22"/>
  <c r="O11" i="22" s="1"/>
  <c r="G19" i="21"/>
  <c r="Z16" i="22" l="1"/>
  <c r="AK16" i="22"/>
  <c r="Z13" i="22"/>
  <c r="AK13" i="22"/>
  <c r="Z17" i="22"/>
  <c r="AK17" i="22"/>
  <c r="Z23" i="22"/>
  <c r="AK23" i="22"/>
  <c r="Z51" i="22"/>
  <c r="AK51" i="22"/>
  <c r="Z12" i="22"/>
  <c r="AK12" i="22"/>
  <c r="Z50" i="22"/>
  <c r="AK50" i="22"/>
  <c r="Z14" i="22"/>
  <c r="AK14" i="22"/>
  <c r="AK20" i="22"/>
  <c r="Z20" i="22"/>
  <c r="AK24" i="22"/>
  <c r="Z24" i="22"/>
  <c r="Z52" i="22"/>
  <c r="AK52" i="22"/>
  <c r="M63" i="22"/>
  <c r="P63" i="22"/>
  <c r="O63" i="22"/>
  <c r="Z22" i="22"/>
  <c r="AK22" i="22"/>
  <c r="AH55" i="22"/>
  <c r="O55" i="22"/>
  <c r="AK11" i="22"/>
  <c r="Z11" i="22"/>
  <c r="AK15" i="22"/>
  <c r="Z15" i="22"/>
  <c r="Z21" i="22"/>
  <c r="AK21" i="22"/>
  <c r="Z19" i="22"/>
  <c r="AK19" i="22"/>
  <c r="Z54" i="22"/>
  <c r="AK54" i="22"/>
  <c r="O64" i="22"/>
  <c r="P64" i="22"/>
  <c r="M64" i="22"/>
  <c r="W12" i="22"/>
  <c r="AH12" i="22"/>
  <c r="W50" i="22"/>
  <c r="AH50" i="22"/>
  <c r="W65" i="22"/>
  <c r="AH65" i="22"/>
  <c r="W13" i="22"/>
  <c r="AH13" i="22"/>
  <c r="W23" i="22"/>
  <c r="AH23" i="22"/>
  <c r="W51" i="22"/>
  <c r="AH51" i="22"/>
  <c r="W66" i="22"/>
  <c r="AH66" i="22"/>
  <c r="W14" i="22"/>
  <c r="AH14" i="22"/>
  <c r="W20" i="22"/>
  <c r="AH20" i="22"/>
  <c r="W24" i="22"/>
  <c r="AH24" i="22"/>
  <c r="W63" i="22"/>
  <c r="AH63" i="22"/>
  <c r="W68" i="22"/>
  <c r="AH68" i="22"/>
  <c r="W11" i="22"/>
  <c r="AH11" i="22"/>
  <c r="W15" i="22"/>
  <c r="AH15" i="22"/>
  <c r="W21" i="22"/>
  <c r="AH21" i="22"/>
  <c r="W19" i="22"/>
  <c r="AH19" i="22"/>
  <c r="W54" i="22"/>
  <c r="AH54" i="22"/>
  <c r="W64" i="22"/>
  <c r="AH64" i="22"/>
  <c r="W69" i="22"/>
  <c r="AH69" i="22"/>
  <c r="W72" i="22"/>
  <c r="AH72" i="22"/>
  <c r="W16" i="22"/>
  <c r="AH16" i="22"/>
  <c r="W22" i="22"/>
  <c r="AH22" i="22"/>
  <c r="W70" i="22"/>
  <c r="AH70" i="22"/>
  <c r="W17" i="22"/>
  <c r="AH17" i="22"/>
  <c r="AH62" i="22"/>
  <c r="W52" i="22"/>
  <c r="AH52" i="22"/>
  <c r="W71" i="22"/>
  <c r="AH71" i="22"/>
  <c r="H56" i="22"/>
  <c r="W55" i="22"/>
  <c r="L11" i="22"/>
  <c r="AD11" i="22" s="1"/>
  <c r="I11" i="22"/>
  <c r="M11" i="22" s="1"/>
  <c r="H76" i="22"/>
  <c r="AC63" i="22" l="1"/>
  <c r="AN63" i="22"/>
  <c r="AB11" i="22"/>
  <c r="AM11" i="22"/>
  <c r="AB63" i="22"/>
  <c r="AM63" i="22"/>
  <c r="Z64" i="22"/>
  <c r="AK64" i="22"/>
  <c r="AM64" i="22"/>
  <c r="AB64" i="22"/>
  <c r="AN64" i="22"/>
  <c r="AC64" i="22"/>
  <c r="Z55" i="22"/>
  <c r="AK55" i="22"/>
  <c r="AK63" i="22"/>
  <c r="Z63" i="22"/>
  <c r="W18" i="22"/>
  <c r="H11" i="9" s="1"/>
  <c r="W25" i="22"/>
  <c r="W56" i="22"/>
  <c r="J11" i="9" s="1"/>
  <c r="W76" i="22"/>
  <c r="K11" i="9" s="1"/>
  <c r="AH76" i="22"/>
  <c r="F11" i="9" s="1"/>
  <c r="AH25" i="22"/>
  <c r="D11" i="9" s="1"/>
  <c r="AH56" i="22"/>
  <c r="E11" i="9" s="1"/>
  <c r="AH18" i="22"/>
  <c r="C11" i="9" s="1"/>
  <c r="W35" i="22" l="1"/>
  <c r="I11" i="9"/>
  <c r="W77" i="22"/>
  <c r="AH35" i="22"/>
  <c r="AH77" i="22"/>
  <c r="W79" i="22" l="1"/>
  <c r="C14" i="5" s="1"/>
  <c r="AH79" i="22"/>
  <c r="D14" i="5" s="1"/>
  <c r="H14" i="5" l="1"/>
  <c r="AR64" i="22"/>
  <c r="AR63" i="22"/>
  <c r="H19" i="8"/>
  <c r="L25" i="20"/>
  <c r="K25" i="20"/>
  <c r="I25" i="20"/>
  <c r="L20" i="20"/>
  <c r="K20" i="20"/>
  <c r="I20" i="20"/>
  <c r="I12" i="22" l="1"/>
  <c r="I16" i="22"/>
  <c r="I68" i="22"/>
  <c r="K56" i="22"/>
  <c r="K25" i="22"/>
  <c r="K18" i="22"/>
  <c r="P68" i="22" l="1"/>
  <c r="M68" i="22"/>
  <c r="O68" i="22"/>
  <c r="P16" i="22"/>
  <c r="M16" i="22"/>
  <c r="P12" i="22"/>
  <c r="M12" i="22"/>
  <c r="K76" i="22"/>
  <c r="Z68" i="22" l="1"/>
  <c r="AK68" i="22"/>
  <c r="AN16" i="22"/>
  <c r="AC16" i="22"/>
  <c r="AN12" i="22"/>
  <c r="AC12" i="22"/>
  <c r="AM68" i="22"/>
  <c r="AB68" i="22"/>
  <c r="AM12" i="22"/>
  <c r="AB12" i="22"/>
  <c r="AM16" i="22"/>
  <c r="AB16" i="22"/>
  <c r="AN68" i="22"/>
  <c r="AC68" i="22"/>
  <c r="K77" i="22"/>
  <c r="Q68" i="22"/>
  <c r="I51" i="22"/>
  <c r="A10" i="21"/>
  <c r="A11" i="21" s="1"/>
  <c r="A12" i="21" s="1"/>
  <c r="A13" i="21" s="1"/>
  <c r="A14" i="21" s="1"/>
  <c r="A15" i="21" s="1"/>
  <c r="A16" i="21" s="1"/>
  <c r="A17" i="21" s="1"/>
  <c r="A18" i="21" s="1"/>
  <c r="P51" i="22" l="1"/>
  <c r="M51" i="22"/>
  <c r="AR68" i="22"/>
  <c r="AP68" i="22"/>
  <c r="AM51" i="22" l="1"/>
  <c r="AB51" i="22"/>
  <c r="AC51" i="22"/>
  <c r="AN51" i="22"/>
  <c r="Q40" i="23"/>
  <c r="Q55" i="23"/>
  <c r="Q56" i="23"/>
  <c r="Q57" i="23"/>
  <c r="Q58" i="23"/>
  <c r="Q64" i="23"/>
  <c r="P39" i="23"/>
  <c r="P67" i="23"/>
  <c r="P66" i="23" s="1"/>
  <c r="P50" i="23"/>
  <c r="Q50" i="23" s="1"/>
  <c r="P45" i="23"/>
  <c r="P44" i="23"/>
  <c r="P33" i="23"/>
  <c r="P32" i="23"/>
  <c r="P28" i="23"/>
  <c r="Q47" i="23"/>
  <c r="P61" i="23" l="1"/>
  <c r="P60" i="23" s="1"/>
  <c r="P59" i="23" s="1"/>
  <c r="P21" i="23"/>
  <c r="P37" i="23"/>
  <c r="P53" i="23"/>
  <c r="P19" i="23"/>
  <c r="P23" i="23"/>
  <c r="P27" i="23"/>
  <c r="P30" i="23"/>
  <c r="P36" i="23"/>
  <c r="P42" i="23"/>
  <c r="P43" i="23"/>
  <c r="P29" i="23"/>
  <c r="P20" i="23"/>
  <c r="P22" i="23"/>
  <c r="P24" i="23"/>
  <c r="P26" i="23"/>
  <c r="P31" i="23"/>
  <c r="P35" i="23" l="1"/>
  <c r="P34" i="23" s="1"/>
  <c r="P41" i="23"/>
  <c r="P68" i="23"/>
  <c r="P65" i="23" s="1"/>
  <c r="Q65" i="23" s="1"/>
  <c r="P15" i="23"/>
  <c r="P13" i="23"/>
  <c r="P11" i="23"/>
  <c r="P25" i="23"/>
  <c r="P14" i="23"/>
  <c r="Q14" i="23" s="1"/>
  <c r="P12" i="23"/>
  <c r="P10" i="23"/>
  <c r="Q41" i="23" l="1"/>
  <c r="P18" i="23"/>
  <c r="P17" i="23" l="1"/>
  <c r="P63" i="23"/>
  <c r="P62" i="23" s="1"/>
  <c r="P52" i="23"/>
  <c r="P51" i="23" s="1"/>
  <c r="P49" i="23"/>
  <c r="P9" i="23"/>
  <c r="P8" i="23" l="1"/>
  <c r="Q59" i="23"/>
  <c r="P38" i="23"/>
  <c r="Q63" i="23"/>
  <c r="P71" i="23" l="1"/>
  <c r="L12" i="22"/>
  <c r="AD12" i="22" s="1"/>
  <c r="L68" i="22"/>
  <c r="L16" i="22"/>
  <c r="AD16" i="22" s="1"/>
  <c r="R68" i="22" l="1"/>
  <c r="AD68" i="22"/>
  <c r="AE68" i="22" s="1"/>
  <c r="I62" i="22"/>
  <c r="P73" i="23"/>
  <c r="M62" i="22" l="1"/>
  <c r="P62" i="22"/>
  <c r="O62" i="22"/>
  <c r="N62" i="22"/>
  <c r="AP12" i="22"/>
  <c r="AP16" i="22"/>
  <c r="AL62" i="22" l="1"/>
  <c r="AL76" i="22" s="1"/>
  <c r="AL77" i="22" s="1"/>
  <c r="AL79" i="22" s="1"/>
  <c r="AA62" i="22"/>
  <c r="AA76" i="22" s="1"/>
  <c r="AA77" i="22" s="1"/>
  <c r="AA79" i="22" s="1"/>
  <c r="AC62" i="22"/>
  <c r="AN62" i="22"/>
  <c r="Z62" i="22"/>
  <c r="AK62" i="22"/>
  <c r="AB62" i="22"/>
  <c r="AR62" i="22" s="1"/>
  <c r="AM62" i="22"/>
  <c r="Q12" i="22"/>
  <c r="AE12" i="22"/>
  <c r="Q16" i="22"/>
  <c r="AE16" i="22"/>
  <c r="K9" i="20"/>
  <c r="I9" i="20"/>
  <c r="AR12" i="22" l="1"/>
  <c r="AR16" i="22"/>
  <c r="AP62" i="22"/>
  <c r="R12" i="22"/>
  <c r="R16" i="22"/>
  <c r="G165" i="4"/>
  <c r="S125" i="9" l="1"/>
  <c r="S122" i="9" l="1"/>
  <c r="K102" i="9" l="1"/>
  <c r="K101" i="9" s="1"/>
  <c r="J102" i="9"/>
  <c r="J101" i="9" s="1"/>
  <c r="I102" i="9"/>
  <c r="I101" i="9" s="1"/>
  <c r="H102" i="9"/>
  <c r="H101" i="9" s="1"/>
  <c r="L102" i="9" l="1"/>
  <c r="L101" i="9" s="1"/>
  <c r="J7" i="20"/>
  <c r="I71" i="22" l="1"/>
  <c r="L71" i="22"/>
  <c r="AD71" i="22" s="1"/>
  <c r="L7" i="20"/>
  <c r="J9" i="20"/>
  <c r="M71" i="22" l="1"/>
  <c r="P71" i="22"/>
  <c r="O71" i="22"/>
  <c r="D43" i="5"/>
  <c r="C43" i="5"/>
  <c r="L9" i="20"/>
  <c r="AC71" i="22" l="1"/>
  <c r="AN71" i="22"/>
  <c r="AK71" i="22"/>
  <c r="Z71" i="22"/>
  <c r="AB71" i="22"/>
  <c r="AM71" i="22"/>
  <c r="H40" i="9"/>
  <c r="C40" i="9"/>
  <c r="G40" i="9" s="1"/>
  <c r="Q71" i="22"/>
  <c r="L40" i="9" l="1"/>
  <c r="L39" i="9" s="1"/>
  <c r="AE71" i="22"/>
  <c r="AP71" i="22"/>
  <c r="AR71" i="22"/>
  <c r="R71" i="22"/>
  <c r="F70" i="18" l="1"/>
  <c r="E70" i="18"/>
  <c r="P97" i="9" l="1"/>
  <c r="S97" i="9" s="1"/>
  <c r="L96" i="9"/>
  <c r="L97" i="9"/>
  <c r="H20" i="8"/>
  <c r="H21" i="8"/>
  <c r="R96" i="9"/>
  <c r="S96" i="9" s="1"/>
  <c r="AH96" i="9" l="1"/>
  <c r="C99" i="10" s="1"/>
  <c r="R95" i="9"/>
  <c r="C61" i="9"/>
  <c r="K66" i="9"/>
  <c r="G74" i="4"/>
  <c r="F73" i="4"/>
  <c r="D73" i="4"/>
  <c r="E73" i="4"/>
  <c r="E68" i="4" s="1"/>
  <c r="C73" i="4"/>
  <c r="C68" i="4" s="1"/>
  <c r="G73" i="4" l="1"/>
  <c r="C108" i="5"/>
  <c r="C107" i="5" s="1"/>
  <c r="F66" i="9"/>
  <c r="C45" i="9" l="1"/>
  <c r="F84" i="9" l="1"/>
  <c r="D86" i="5"/>
  <c r="G50" i="18" l="1"/>
  <c r="G42" i="18"/>
  <c r="G32" i="18"/>
  <c r="F69" i="18" l="1"/>
  <c r="F67" i="18" s="1"/>
  <c r="J69" i="18" l="1"/>
  <c r="F66" i="18"/>
  <c r="G70" i="18"/>
  <c r="J71" i="18"/>
  <c r="C70" i="23" s="1"/>
  <c r="C69" i="23" s="1"/>
  <c r="G35" i="18"/>
  <c r="C68" i="23" l="1"/>
  <c r="J67" i="18"/>
  <c r="C67" i="23"/>
  <c r="Q68" i="23"/>
  <c r="L75" i="22"/>
  <c r="L73" i="22"/>
  <c r="L63" i="22"/>
  <c r="AD63" i="22" s="1"/>
  <c r="I24" i="22"/>
  <c r="I23" i="22"/>
  <c r="L20" i="22"/>
  <c r="AD20" i="22" s="1"/>
  <c r="I15" i="22"/>
  <c r="I14" i="22"/>
  <c r="L64" i="22"/>
  <c r="AD64" i="22" s="1"/>
  <c r="L74" i="22"/>
  <c r="I74" i="22"/>
  <c r="I75" i="22"/>
  <c r="M75" i="22" s="1"/>
  <c r="AB75" i="22" s="1"/>
  <c r="AR75" i="22" s="1"/>
  <c r="O75" i="22"/>
  <c r="O74" i="22"/>
  <c r="L52" i="22"/>
  <c r="AD52" i="22" s="1"/>
  <c r="L24" i="22"/>
  <c r="AD24" i="22" s="1"/>
  <c r="L19" i="22"/>
  <c r="AD19" i="22" s="1"/>
  <c r="I52" i="22"/>
  <c r="I19" i="22"/>
  <c r="P14" i="22" l="1"/>
  <c r="M14" i="22"/>
  <c r="P19" i="22"/>
  <c r="M19" i="22"/>
  <c r="P15" i="22"/>
  <c r="M15" i="22"/>
  <c r="P52" i="22"/>
  <c r="M52" i="22"/>
  <c r="P24" i="22"/>
  <c r="M24" i="22"/>
  <c r="P23" i="22"/>
  <c r="M23" i="22"/>
  <c r="C66" i="23"/>
  <c r="Q66" i="23" s="1"/>
  <c r="Q67" i="23"/>
  <c r="AE64" i="22"/>
  <c r="AP64" i="22"/>
  <c r="L22" i="22"/>
  <c r="AD22" i="22" s="1"/>
  <c r="I66" i="22"/>
  <c r="L72" i="22"/>
  <c r="AD72" i="22" s="1"/>
  <c r="H18" i="22"/>
  <c r="L69" i="22"/>
  <c r="AD69" i="22" s="1"/>
  <c r="L70" i="22"/>
  <c r="AD70" i="22" s="1"/>
  <c r="L21" i="22"/>
  <c r="AD21" i="22" s="1"/>
  <c r="I65" i="22"/>
  <c r="L55" i="22"/>
  <c r="AD55" i="22" s="1"/>
  <c r="I54" i="22"/>
  <c r="I17" i="22"/>
  <c r="I13" i="22"/>
  <c r="P13" i="22" s="1"/>
  <c r="I50" i="22"/>
  <c r="L62" i="22"/>
  <c r="AD62" i="22" s="1"/>
  <c r="L54" i="22"/>
  <c r="AD54" i="22" s="1"/>
  <c r="L65" i="22"/>
  <c r="AD65" i="22" s="1"/>
  <c r="L51" i="22"/>
  <c r="AD51" i="22" s="1"/>
  <c r="I72" i="22"/>
  <c r="I21" i="22"/>
  <c r="I22" i="22"/>
  <c r="M22" i="22" s="1"/>
  <c r="I55" i="22"/>
  <c r="I20" i="22"/>
  <c r="G19" i="18"/>
  <c r="G18" i="18" s="1"/>
  <c r="G9" i="18"/>
  <c r="G8" i="18" s="1"/>
  <c r="Q75" i="22"/>
  <c r="M74" i="22"/>
  <c r="O73" i="22"/>
  <c r="I73" i="22"/>
  <c r="M73" i="22" s="1"/>
  <c r="AB73" i="22" s="1"/>
  <c r="AR73" i="22" s="1"/>
  <c r="I70" i="22"/>
  <c r="I69" i="22"/>
  <c r="L66" i="22"/>
  <c r="AD66" i="22" s="1"/>
  <c r="L50" i="22"/>
  <c r="AD50" i="22" s="1"/>
  <c r="L23" i="22"/>
  <c r="AD23" i="22" s="1"/>
  <c r="R75" i="22"/>
  <c r="AD56" i="22" l="1"/>
  <c r="AB19" i="22"/>
  <c r="AM19" i="22"/>
  <c r="P21" i="22"/>
  <c r="M21" i="22"/>
  <c r="P17" i="22"/>
  <c r="M17" i="22"/>
  <c r="AC23" i="22"/>
  <c r="AN23" i="22"/>
  <c r="AC52" i="22"/>
  <c r="AN52" i="22"/>
  <c r="AC19" i="22"/>
  <c r="AN19" i="22"/>
  <c r="AC13" i="22"/>
  <c r="AN13" i="22"/>
  <c r="AB52" i="22"/>
  <c r="AM52" i="22"/>
  <c r="O69" i="22"/>
  <c r="P69" i="22"/>
  <c r="M69" i="22"/>
  <c r="P20" i="22"/>
  <c r="M20" i="22"/>
  <c r="P72" i="22"/>
  <c r="O72" i="22"/>
  <c r="M72" i="22"/>
  <c r="P54" i="22"/>
  <c r="M54" i="22"/>
  <c r="O66" i="22"/>
  <c r="M66" i="22"/>
  <c r="P66" i="22"/>
  <c r="AB24" i="22"/>
  <c r="AM24" i="22"/>
  <c r="AB15" i="22"/>
  <c r="AM15" i="22"/>
  <c r="AB14" i="22"/>
  <c r="AM14" i="22"/>
  <c r="AM22" i="22"/>
  <c r="AB22" i="22"/>
  <c r="O65" i="22"/>
  <c r="M65" i="22"/>
  <c r="P65" i="22"/>
  <c r="AB23" i="22"/>
  <c r="AM23" i="22"/>
  <c r="M70" i="22"/>
  <c r="P70" i="22"/>
  <c r="O70" i="22"/>
  <c r="P55" i="22"/>
  <c r="M55" i="22"/>
  <c r="M50" i="22"/>
  <c r="P50" i="22"/>
  <c r="AC24" i="22"/>
  <c r="AN24" i="22"/>
  <c r="AC15" i="22"/>
  <c r="AN15" i="22"/>
  <c r="AC14" i="22"/>
  <c r="AN14" i="22"/>
  <c r="AD25" i="22"/>
  <c r="AD76" i="22"/>
  <c r="AD77" i="22" s="1"/>
  <c r="AE62" i="22"/>
  <c r="Z56" i="22"/>
  <c r="AK56" i="22"/>
  <c r="R74" i="22"/>
  <c r="AB74" i="22"/>
  <c r="AR74" i="22" s="1"/>
  <c r="AE75" i="22"/>
  <c r="AP75" i="22" s="1"/>
  <c r="I76" i="22"/>
  <c r="O18" i="22"/>
  <c r="I18" i="22"/>
  <c r="L56" i="22"/>
  <c r="J13" i="9" s="1"/>
  <c r="L76" i="22"/>
  <c r="K13" i="9" s="1"/>
  <c r="Q74" i="22"/>
  <c r="R73" i="22"/>
  <c r="Q73" i="22"/>
  <c r="AC70" i="22" l="1"/>
  <c r="AN70" i="22"/>
  <c r="AM21" i="22"/>
  <c r="AB21" i="22"/>
  <c r="AM55" i="22"/>
  <c r="AB55" i="22"/>
  <c r="AB70" i="22"/>
  <c r="AM70" i="22"/>
  <c r="AM65" i="22"/>
  <c r="AB65" i="22"/>
  <c r="Z66" i="22"/>
  <c r="AK66" i="22"/>
  <c r="Z72" i="22"/>
  <c r="AK72" i="22"/>
  <c r="AM69" i="22"/>
  <c r="AB69" i="22"/>
  <c r="AN21" i="22"/>
  <c r="AC21" i="22"/>
  <c r="AM50" i="22"/>
  <c r="AB50" i="22"/>
  <c r="AR50" i="22" s="1"/>
  <c r="AM72" i="22"/>
  <c r="AB72" i="22"/>
  <c r="AC55" i="22"/>
  <c r="AN55" i="22"/>
  <c r="Z65" i="22"/>
  <c r="AK65" i="22"/>
  <c r="AM54" i="22"/>
  <c r="AB54" i="22"/>
  <c r="AN72" i="22"/>
  <c r="AC72" i="22"/>
  <c r="AC69" i="22"/>
  <c r="AN69" i="22"/>
  <c r="AM17" i="22"/>
  <c r="AB17" i="22"/>
  <c r="AC65" i="22"/>
  <c r="AN65" i="22"/>
  <c r="AB66" i="22"/>
  <c r="AM66" i="22"/>
  <c r="AC20" i="22"/>
  <c r="AN20" i="22"/>
  <c r="AN50" i="22"/>
  <c r="AC50" i="22"/>
  <c r="Z70" i="22"/>
  <c r="AK70" i="22"/>
  <c r="AC66" i="22"/>
  <c r="AN66" i="22"/>
  <c r="AN54" i="22"/>
  <c r="AC54" i="22"/>
  <c r="AB20" i="22"/>
  <c r="AM20" i="22"/>
  <c r="Z69" i="22"/>
  <c r="AK69" i="22"/>
  <c r="AC17" i="22"/>
  <c r="AN17" i="22"/>
  <c r="AE74" i="22"/>
  <c r="AP74" i="22" s="1"/>
  <c r="Z18" i="22"/>
  <c r="AK18" i="22"/>
  <c r="AE63" i="22"/>
  <c r="AP63" i="22"/>
  <c r="Z76" i="22"/>
  <c r="Z77" i="22" s="1"/>
  <c r="AP13" i="22"/>
  <c r="AK25" i="22"/>
  <c r="Z25" i="22"/>
  <c r="AE73" i="22"/>
  <c r="AP73" i="22" s="1"/>
  <c r="P56" i="22"/>
  <c r="P18" i="22"/>
  <c r="P25" i="22"/>
  <c r="P76" i="22"/>
  <c r="L77" i="22"/>
  <c r="Q13" i="22"/>
  <c r="Q69" i="22"/>
  <c r="F141" i="4"/>
  <c r="S132" i="9"/>
  <c r="T93" i="9"/>
  <c r="AH93" i="9" s="1"/>
  <c r="C96" i="10" s="1"/>
  <c r="X139" i="9"/>
  <c r="X120" i="9" s="1"/>
  <c r="X160" i="9" s="1"/>
  <c r="G19" i="14" s="1"/>
  <c r="G17" i="14" s="1"/>
  <c r="G16" i="14" s="1"/>
  <c r="O121" i="9"/>
  <c r="N121" i="9"/>
  <c r="E71" i="9"/>
  <c r="E70" i="9" s="1"/>
  <c r="D71" i="9"/>
  <c r="G33" i="4"/>
  <c r="C67" i="5" s="1"/>
  <c r="C102" i="9"/>
  <c r="G102" i="9" s="1"/>
  <c r="AH102" i="9" s="1"/>
  <c r="C105" i="10" s="1"/>
  <c r="D104" i="10" s="1"/>
  <c r="F85" i="9"/>
  <c r="S146" i="9"/>
  <c r="S147" i="9"/>
  <c r="H118" i="9"/>
  <c r="H116" i="9" s="1"/>
  <c r="J12" i="18"/>
  <c r="C12" i="23" s="1"/>
  <c r="Q12" i="23" s="1"/>
  <c r="J11" i="18"/>
  <c r="C11" i="23" s="1"/>
  <c r="Q11" i="23" s="1"/>
  <c r="E10" i="21"/>
  <c r="C189" i="4"/>
  <c r="E189" i="4"/>
  <c r="F189" i="4"/>
  <c r="F107" i="5"/>
  <c r="E107" i="5"/>
  <c r="G184" i="4"/>
  <c r="D108" i="5" s="1"/>
  <c r="D183" i="4"/>
  <c r="E183" i="4"/>
  <c r="E178" i="4" s="1"/>
  <c r="F183" i="4"/>
  <c r="F178" i="4" s="1"/>
  <c r="C183" i="4"/>
  <c r="G78" i="4"/>
  <c r="C112" i="5" s="1"/>
  <c r="C109" i="5" s="1"/>
  <c r="C102" i="5" s="1"/>
  <c r="G55" i="4"/>
  <c r="C89" i="5" s="1"/>
  <c r="J23" i="18"/>
  <c r="C23" i="23" s="1"/>
  <c r="Q23" i="23" s="1"/>
  <c r="J26" i="18"/>
  <c r="C26" i="23" s="1"/>
  <c r="Q26" i="23" s="1"/>
  <c r="D19" i="2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4" i="9"/>
  <c r="W95" i="9"/>
  <c r="W97" i="9"/>
  <c r="AH97" i="9" s="1"/>
  <c r="AH100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41" i="9"/>
  <c r="W143" i="9"/>
  <c r="W144" i="9"/>
  <c r="W145" i="9"/>
  <c r="W146" i="9"/>
  <c r="W147" i="9"/>
  <c r="W148" i="9"/>
  <c r="W149" i="9"/>
  <c r="W150" i="9"/>
  <c r="W151" i="9"/>
  <c r="W9" i="9"/>
  <c r="S74" i="9"/>
  <c r="S150" i="9"/>
  <c r="S113" i="9"/>
  <c r="S88" i="9"/>
  <c r="S89" i="9"/>
  <c r="S90" i="9"/>
  <c r="S91" i="9"/>
  <c r="S92" i="9"/>
  <c r="S73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71" i="9"/>
  <c r="S46" i="9"/>
  <c r="S49" i="9"/>
  <c r="S50" i="9"/>
  <c r="S56" i="9"/>
  <c r="S57" i="9"/>
  <c r="S58" i="9"/>
  <c r="S59" i="9"/>
  <c r="S60" i="9"/>
  <c r="S62" i="9"/>
  <c r="S63" i="9"/>
  <c r="S64" i="9"/>
  <c r="S65" i="9"/>
  <c r="S66" i="9"/>
  <c r="S67" i="9"/>
  <c r="S68" i="9"/>
  <c r="S69" i="9"/>
  <c r="S45" i="9"/>
  <c r="S40" i="9"/>
  <c r="S39" i="9"/>
  <c r="S32" i="9"/>
  <c r="S31" i="9"/>
  <c r="S29" i="9"/>
  <c r="S28" i="9"/>
  <c r="S26" i="9"/>
  <c r="S25" i="9"/>
  <c r="S23" i="9"/>
  <c r="S11" i="9"/>
  <c r="S12" i="9"/>
  <c r="S13" i="9"/>
  <c r="S14" i="9"/>
  <c r="S15" i="9"/>
  <c r="S16" i="9"/>
  <c r="N130" i="9"/>
  <c r="S61" i="9"/>
  <c r="S54" i="9"/>
  <c r="S53" i="9"/>
  <c r="S52" i="9"/>
  <c r="S48" i="9"/>
  <c r="S47" i="9"/>
  <c r="F117" i="6"/>
  <c r="S70" i="9"/>
  <c r="R151" i="9"/>
  <c r="R149" i="9" s="1"/>
  <c r="R148" i="9" s="1"/>
  <c r="S99" i="9"/>
  <c r="S104" i="9"/>
  <c r="S105" i="9"/>
  <c r="S107" i="9"/>
  <c r="S108" i="9"/>
  <c r="S109" i="9"/>
  <c r="S110" i="9"/>
  <c r="S111" i="9"/>
  <c r="C52" i="9"/>
  <c r="D52" i="9"/>
  <c r="E52" i="9"/>
  <c r="F52" i="9"/>
  <c r="F48" i="9"/>
  <c r="E11" i="21"/>
  <c r="E12" i="21"/>
  <c r="E13" i="21"/>
  <c r="E14" i="21"/>
  <c r="E15" i="21"/>
  <c r="E16" i="21"/>
  <c r="E17" i="21"/>
  <c r="E18" i="21"/>
  <c r="E9" i="21"/>
  <c r="C48" i="18"/>
  <c r="J10" i="18"/>
  <c r="C10" i="23" s="1"/>
  <c r="P151" i="9"/>
  <c r="H92" i="9"/>
  <c r="H91" i="9" s="1"/>
  <c r="L14" i="9"/>
  <c r="F71" i="9"/>
  <c r="E48" i="9"/>
  <c r="D48" i="9"/>
  <c r="C92" i="9"/>
  <c r="C91" i="9" s="1"/>
  <c r="C48" i="9"/>
  <c r="C95" i="5"/>
  <c r="C93" i="5" s="1"/>
  <c r="C38" i="4"/>
  <c r="C32" i="4"/>
  <c r="C12" i="4"/>
  <c r="C59" i="4"/>
  <c r="C54" i="4"/>
  <c r="G13" i="4"/>
  <c r="C48" i="5" s="1"/>
  <c r="G48" i="18"/>
  <c r="G39" i="18" s="1"/>
  <c r="H24" i="8"/>
  <c r="R106" i="9"/>
  <c r="I47" i="9"/>
  <c r="J21" i="18"/>
  <c r="C21" i="23" s="1"/>
  <c r="Q21" i="23" s="1"/>
  <c r="AP14" i="22"/>
  <c r="L14" i="22"/>
  <c r="AD14" i="22" s="1"/>
  <c r="L17" i="22"/>
  <c r="AD17" i="22" s="1"/>
  <c r="F54" i="18"/>
  <c r="G98" i="4"/>
  <c r="G97" i="4" s="1"/>
  <c r="G96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W67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D107" i="9"/>
  <c r="D95" i="9"/>
  <c r="F103" i="9"/>
  <c r="I113" i="9"/>
  <c r="I116" i="9"/>
  <c r="C118" i="9"/>
  <c r="C116" i="9" s="1"/>
  <c r="D113" i="9"/>
  <c r="D116" i="9"/>
  <c r="L141" i="9"/>
  <c r="G139" i="9"/>
  <c r="G120" i="9" s="1"/>
  <c r="L37" i="9"/>
  <c r="C17" i="9"/>
  <c r="C22" i="9"/>
  <c r="C34" i="9"/>
  <c r="C37" i="9"/>
  <c r="D17" i="9"/>
  <c r="D31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G35" i="4"/>
  <c r="C69" i="5" s="1"/>
  <c r="G34" i="4"/>
  <c r="C68" i="5" s="1"/>
  <c r="G37" i="4"/>
  <c r="C71" i="5" s="1"/>
  <c r="G20" i="4"/>
  <c r="C54" i="5" s="1"/>
  <c r="G21" i="4"/>
  <c r="C55" i="5" s="1"/>
  <c r="G15" i="4"/>
  <c r="C49" i="5" s="1"/>
  <c r="G16" i="4"/>
  <c r="C50" i="5" s="1"/>
  <c r="G18" i="4"/>
  <c r="C52" i="5" s="1"/>
  <c r="G24" i="4"/>
  <c r="C58" i="5" s="1"/>
  <c r="G25" i="4"/>
  <c r="C59" i="5" s="1"/>
  <c r="G26" i="4"/>
  <c r="C60" i="5" s="1"/>
  <c r="G28" i="4"/>
  <c r="C62" i="5" s="1"/>
  <c r="G29" i="4"/>
  <c r="C63" i="5" s="1"/>
  <c r="G30" i="4"/>
  <c r="C64" i="5" s="1"/>
  <c r="H64" i="5" s="1"/>
  <c r="G31" i="4"/>
  <c r="C65" i="5" s="1"/>
  <c r="G39" i="4"/>
  <c r="C73" i="5" s="1"/>
  <c r="G40" i="4"/>
  <c r="C74" i="5" s="1"/>
  <c r="G41" i="4"/>
  <c r="C75" i="5" s="1"/>
  <c r="G42" i="4"/>
  <c r="C76" i="5" s="1"/>
  <c r="G43" i="4"/>
  <c r="C77" i="5" s="1"/>
  <c r="G45" i="4"/>
  <c r="C79" i="5" s="1"/>
  <c r="G50" i="4"/>
  <c r="C84" i="5" s="1"/>
  <c r="G51" i="4"/>
  <c r="C85" i="5" s="1"/>
  <c r="H85" i="5" s="1"/>
  <c r="G52" i="4"/>
  <c r="C86" i="5" s="1"/>
  <c r="G53" i="4"/>
  <c r="C87" i="5" s="1"/>
  <c r="G56" i="4"/>
  <c r="C90" i="5" s="1"/>
  <c r="G57" i="4"/>
  <c r="C91" i="5" s="1"/>
  <c r="G58" i="4"/>
  <c r="C92" i="5" s="1"/>
  <c r="H98" i="5"/>
  <c r="G91" i="4"/>
  <c r="C125" i="5" s="1"/>
  <c r="H111" i="5"/>
  <c r="F22" i="9"/>
  <c r="C37" i="5"/>
  <c r="C40" i="5"/>
  <c r="G143" i="4"/>
  <c r="D68" i="5" s="1"/>
  <c r="G144" i="4"/>
  <c r="D69" i="5" s="1"/>
  <c r="G146" i="4"/>
  <c r="D71" i="5" s="1"/>
  <c r="G160" i="4"/>
  <c r="D84" i="5" s="1"/>
  <c r="G149" i="4"/>
  <c r="D74" i="5" s="1"/>
  <c r="G151" i="4"/>
  <c r="D76" i="5" s="1"/>
  <c r="G152" i="4"/>
  <c r="D77" i="5" s="1"/>
  <c r="G163" i="4"/>
  <c r="D87" i="5" s="1"/>
  <c r="D54" i="5"/>
  <c r="D58" i="5"/>
  <c r="D48" i="5"/>
  <c r="D49" i="5"/>
  <c r="D50" i="5"/>
  <c r="D52" i="5"/>
  <c r="D55" i="5"/>
  <c r="D59" i="5"/>
  <c r="D60" i="5"/>
  <c r="D62" i="5"/>
  <c r="D63" i="5"/>
  <c r="D65" i="5"/>
  <c r="D89" i="5"/>
  <c r="G166" i="4"/>
  <c r="D90" i="5" s="1"/>
  <c r="G167" i="4"/>
  <c r="D91" i="5" s="1"/>
  <c r="G168" i="4"/>
  <c r="D92" i="5" s="1"/>
  <c r="H94" i="5"/>
  <c r="H99" i="5"/>
  <c r="G207" i="4"/>
  <c r="D128" i="5" s="1"/>
  <c r="G200" i="4"/>
  <c r="D125" i="5" s="1"/>
  <c r="D123" i="5" s="1"/>
  <c r="G188" i="4"/>
  <c r="D112" i="5" s="1"/>
  <c r="H104" i="5"/>
  <c r="H114" i="5"/>
  <c r="H115" i="5"/>
  <c r="H26" i="5"/>
  <c r="D37" i="5"/>
  <c r="D40" i="5"/>
  <c r="H143" i="5"/>
  <c r="H139" i="5"/>
  <c r="G73" i="9"/>
  <c r="G83" i="9"/>
  <c r="C103" i="9"/>
  <c r="G110" i="9"/>
  <c r="G12" i="9"/>
  <c r="C198" i="4"/>
  <c r="G198" i="4" s="1"/>
  <c r="D185" i="4"/>
  <c r="D189" i="4"/>
  <c r="G145" i="4"/>
  <c r="C164" i="4"/>
  <c r="D164" i="4"/>
  <c r="E164" i="4"/>
  <c r="F164" i="4"/>
  <c r="G148" i="4"/>
  <c r="D73" i="5" s="1"/>
  <c r="G150" i="4"/>
  <c r="D75" i="5" s="1"/>
  <c r="G153" i="4"/>
  <c r="G154" i="4"/>
  <c r="G155" i="4"/>
  <c r="D80" i="5" s="1"/>
  <c r="H80" i="5" s="1"/>
  <c r="G156" i="4"/>
  <c r="D81" i="5" s="1"/>
  <c r="H81" i="5" s="1"/>
  <c r="G157" i="4"/>
  <c r="D82" i="5" s="1"/>
  <c r="H82" i="5" s="1"/>
  <c r="G158" i="4"/>
  <c r="D83" i="5" s="1"/>
  <c r="H83" i="5" s="1"/>
  <c r="G159" i="4"/>
  <c r="D79" i="5" s="1"/>
  <c r="G161" i="4"/>
  <c r="G162" i="4"/>
  <c r="D32" i="4"/>
  <c r="E32" i="4"/>
  <c r="G44" i="4"/>
  <c r="G46" i="4"/>
  <c r="G47" i="4"/>
  <c r="G48" i="4"/>
  <c r="G49" i="4"/>
  <c r="D12" i="4"/>
  <c r="F12" i="4"/>
  <c r="E12" i="4"/>
  <c r="G60" i="4"/>
  <c r="G61" i="4"/>
  <c r="G59" i="4" s="1"/>
  <c r="G62" i="4"/>
  <c r="G63" i="4"/>
  <c r="G64" i="4"/>
  <c r="G65" i="4"/>
  <c r="G66" i="4"/>
  <c r="C103" i="5"/>
  <c r="H106" i="5"/>
  <c r="C113" i="5"/>
  <c r="I27" i="22"/>
  <c r="J27" i="22" s="1"/>
  <c r="L27" i="22"/>
  <c r="O27" i="22"/>
  <c r="I28" i="22"/>
  <c r="J28" i="22" s="1"/>
  <c r="L28" i="22"/>
  <c r="O28" i="22"/>
  <c r="Q28" i="22" s="1"/>
  <c r="AD28" i="22" s="1"/>
  <c r="I29" i="22"/>
  <c r="L29" i="22"/>
  <c r="O29" i="22"/>
  <c r="Q29" i="22" s="1"/>
  <c r="AD29" i="22" s="1"/>
  <c r="I30" i="22"/>
  <c r="J30" i="22" s="1"/>
  <c r="L30" i="22"/>
  <c r="O30" i="22"/>
  <c r="Q30" i="22" s="1"/>
  <c r="AD30" i="22" s="1"/>
  <c r="I31" i="22"/>
  <c r="J31" i="22" s="1"/>
  <c r="L31" i="22"/>
  <c r="O31" i="22"/>
  <c r="Q31" i="22" s="1"/>
  <c r="AD31" i="22" s="1"/>
  <c r="I32" i="22"/>
  <c r="J32" i="22" s="1"/>
  <c r="L32" i="22"/>
  <c r="O32" i="22"/>
  <c r="Q32" i="22" s="1"/>
  <c r="AD32" i="22" s="1"/>
  <c r="L13" i="22"/>
  <c r="AD13" i="22" s="1"/>
  <c r="AP15" i="22"/>
  <c r="L15" i="22"/>
  <c r="AD15" i="22" s="1"/>
  <c r="I53" i="18"/>
  <c r="I52" i="18" s="1"/>
  <c r="I48" i="18" s="1"/>
  <c r="H53" i="18"/>
  <c r="H52" i="18" s="1"/>
  <c r="H48" i="18" s="1"/>
  <c r="E53" i="18"/>
  <c r="E52" i="18" s="1"/>
  <c r="E48" i="18" s="1"/>
  <c r="D53" i="18"/>
  <c r="D52" i="18" s="1"/>
  <c r="D48" i="18" s="1"/>
  <c r="J62" i="18"/>
  <c r="C62" i="23" s="1"/>
  <c r="H9" i="18"/>
  <c r="H8" i="18" s="1"/>
  <c r="H19" i="18"/>
  <c r="H32" i="18"/>
  <c r="H35" i="18"/>
  <c r="H40" i="18"/>
  <c r="H39" i="18" s="1"/>
  <c r="H61" i="18"/>
  <c r="H60" i="18" s="1"/>
  <c r="H64" i="18"/>
  <c r="H63" i="18" s="1"/>
  <c r="H66" i="18"/>
  <c r="H70" i="18"/>
  <c r="H50" i="18"/>
  <c r="H42" i="18"/>
  <c r="F112" i="9"/>
  <c r="G49" i="9"/>
  <c r="G51" i="9"/>
  <c r="G54" i="9"/>
  <c r="G55" i="9"/>
  <c r="G58" i="9"/>
  <c r="G59" i="9"/>
  <c r="G61" i="9"/>
  <c r="G62" i="9"/>
  <c r="G46" i="9"/>
  <c r="I70" i="18"/>
  <c r="J70" i="18" s="1"/>
  <c r="J66" i="18" s="1"/>
  <c r="G40" i="18"/>
  <c r="I9" i="18"/>
  <c r="I8" i="18" s="1"/>
  <c r="J8" i="18" s="1"/>
  <c r="D11" i="11" s="1"/>
  <c r="I19" i="18"/>
  <c r="I32" i="18"/>
  <c r="J32" i="18" s="1"/>
  <c r="I35" i="18"/>
  <c r="I40" i="18"/>
  <c r="G53" i="18"/>
  <c r="G52" i="18" s="1"/>
  <c r="I61" i="18"/>
  <c r="I60" i="18" s="1"/>
  <c r="G61" i="18"/>
  <c r="G60" i="18" s="1"/>
  <c r="C19" i="18"/>
  <c r="C32" i="18"/>
  <c r="C40" i="18"/>
  <c r="C39" i="18" s="1"/>
  <c r="C9" i="18"/>
  <c r="C8" i="18" s="1"/>
  <c r="C35" i="18"/>
  <c r="C61" i="18"/>
  <c r="C60" i="18" s="1"/>
  <c r="C64" i="18"/>
  <c r="C63" i="18" s="1"/>
  <c r="D61" i="18"/>
  <c r="D60" i="18" s="1"/>
  <c r="D19" i="18"/>
  <c r="D32" i="18"/>
  <c r="D40" i="18"/>
  <c r="D39" i="18" s="1"/>
  <c r="D9" i="18"/>
  <c r="D8" i="18" s="1"/>
  <c r="D35" i="18"/>
  <c r="D64" i="18"/>
  <c r="D63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10" i="9" s="1"/>
  <c r="K22" i="9"/>
  <c r="K25" i="9"/>
  <c r="K28" i="9"/>
  <c r="K31" i="9"/>
  <c r="K34" i="9"/>
  <c r="K113" i="9"/>
  <c r="I66" i="18"/>
  <c r="I64" i="18"/>
  <c r="G14" i="9"/>
  <c r="G18" i="9"/>
  <c r="G17" i="9" s="1"/>
  <c r="G37" i="9"/>
  <c r="G64" i="18"/>
  <c r="G63" i="18" s="1"/>
  <c r="J63" i="18" s="1"/>
  <c r="D23" i="11" s="1"/>
  <c r="L132" i="9"/>
  <c r="L125" i="9"/>
  <c r="G105" i="9"/>
  <c r="L68" i="9"/>
  <c r="G68" i="9"/>
  <c r="L73" i="9"/>
  <c r="L88" i="9"/>
  <c r="G88" i="9"/>
  <c r="I90" i="9"/>
  <c r="J90" i="9"/>
  <c r="S18" i="9"/>
  <c r="D36" i="10"/>
  <c r="L148" i="9"/>
  <c r="F97" i="4"/>
  <c r="F96" i="4" s="1"/>
  <c r="E97" i="4"/>
  <c r="E96" i="4" s="1"/>
  <c r="D97" i="4"/>
  <c r="D96" i="4" s="1"/>
  <c r="K90" i="9"/>
  <c r="F206" i="4"/>
  <c r="F205" i="4" s="1"/>
  <c r="E206" i="4"/>
  <c r="E205" i="4" s="1"/>
  <c r="D206" i="4"/>
  <c r="D205" i="4" s="1"/>
  <c r="C206" i="4"/>
  <c r="C205" i="4" s="1"/>
  <c r="C25" i="8"/>
  <c r="F169" i="4"/>
  <c r="C169" i="4"/>
  <c r="F68" i="4"/>
  <c r="C97" i="4"/>
  <c r="C96" i="4" s="1"/>
  <c r="N18" i="22"/>
  <c r="H25" i="22"/>
  <c r="N25" i="22"/>
  <c r="D33" i="22"/>
  <c r="H33" i="22"/>
  <c r="N33" i="22"/>
  <c r="AA33" i="22" s="1"/>
  <c r="P33" i="22"/>
  <c r="AC33" i="22" s="1"/>
  <c r="I37" i="22"/>
  <c r="M37" i="22" s="1"/>
  <c r="AB37" i="22" s="1"/>
  <c r="L37" i="22"/>
  <c r="O37" i="22"/>
  <c r="Q37" i="22" s="1"/>
  <c r="I38" i="22"/>
  <c r="M38" i="22" s="1"/>
  <c r="AB38" i="22" s="1"/>
  <c r="L38" i="22"/>
  <c r="O38" i="22"/>
  <c r="Q38" i="22" s="1"/>
  <c r="I39" i="22"/>
  <c r="M39" i="22" s="1"/>
  <c r="AB39" i="22" s="1"/>
  <c r="L39" i="22"/>
  <c r="O39" i="22"/>
  <c r="Q39" i="22" s="1"/>
  <c r="I40" i="22"/>
  <c r="M40" i="22" s="1"/>
  <c r="AB40" i="22" s="1"/>
  <c r="L40" i="22"/>
  <c r="O40" i="22"/>
  <c r="Q40" i="22" s="1"/>
  <c r="D41" i="22"/>
  <c r="H41" i="22"/>
  <c r="N41" i="22"/>
  <c r="AA41" i="22" s="1"/>
  <c r="P41" i="22"/>
  <c r="AC41" i="22" s="1"/>
  <c r="I43" i="22"/>
  <c r="M43" i="22" s="1"/>
  <c r="AB43" i="22" s="1"/>
  <c r="L43" i="22"/>
  <c r="O43" i="22"/>
  <c r="Q43" i="22" s="1"/>
  <c r="I44" i="22"/>
  <c r="M44" i="22" s="1"/>
  <c r="AB44" i="22" s="1"/>
  <c r="L44" i="22"/>
  <c r="O44" i="22"/>
  <c r="Q44" i="22" s="1"/>
  <c r="D45" i="22"/>
  <c r="H45" i="22"/>
  <c r="N45" i="22"/>
  <c r="AA45" i="22" s="1"/>
  <c r="P45" i="22"/>
  <c r="AC45" i="22" s="1"/>
  <c r="I47" i="22"/>
  <c r="L47" i="22"/>
  <c r="O47" i="22"/>
  <c r="Q47" i="22" s="1"/>
  <c r="I48" i="22"/>
  <c r="M48" i="22" s="1"/>
  <c r="AB48" i="22" s="1"/>
  <c r="L48" i="22"/>
  <c r="O48" i="22"/>
  <c r="Q48" i="22" s="1"/>
  <c r="D49" i="22"/>
  <c r="H49" i="22"/>
  <c r="N49" i="22"/>
  <c r="AA49" i="22" s="1"/>
  <c r="P49" i="22"/>
  <c r="AC49" i="22" s="1"/>
  <c r="N56" i="22"/>
  <c r="I58" i="22"/>
  <c r="M58" i="22" s="1"/>
  <c r="AB58" i="22" s="1"/>
  <c r="L58" i="22"/>
  <c r="O58" i="22"/>
  <c r="Q58" i="22" s="1"/>
  <c r="I59" i="22"/>
  <c r="M59" i="22" s="1"/>
  <c r="AB59" i="22" s="1"/>
  <c r="L59" i="22"/>
  <c r="O59" i="22"/>
  <c r="Q59" i="22" s="1"/>
  <c r="I60" i="22"/>
  <c r="M60" i="22" s="1"/>
  <c r="AB60" i="22" s="1"/>
  <c r="L60" i="22"/>
  <c r="O60" i="22"/>
  <c r="Q60" i="22" s="1"/>
  <c r="D61" i="22"/>
  <c r="H61" i="22"/>
  <c r="N61" i="22"/>
  <c r="AA61" i="22" s="1"/>
  <c r="P61" i="22"/>
  <c r="AC61" i="22" s="1"/>
  <c r="F9" i="21"/>
  <c r="F10" i="21"/>
  <c r="F11" i="21"/>
  <c r="F12" i="21"/>
  <c r="F13" i="21"/>
  <c r="F14" i="21"/>
  <c r="F15" i="21"/>
  <c r="F16" i="21"/>
  <c r="F17" i="21"/>
  <c r="F18" i="21"/>
  <c r="M9" i="20"/>
  <c r="N9" i="20"/>
  <c r="P9" i="20"/>
  <c r="R9" i="20"/>
  <c r="S9" i="20"/>
  <c r="J10" i="20"/>
  <c r="R10" i="20" s="1"/>
  <c r="Q10" i="20"/>
  <c r="J11" i="20"/>
  <c r="R11" i="20" s="1"/>
  <c r="Q11" i="20"/>
  <c r="J12" i="20"/>
  <c r="R12" i="20" s="1"/>
  <c r="Q12" i="20"/>
  <c r="J13" i="20"/>
  <c r="R13" i="20" s="1"/>
  <c r="Q13" i="20"/>
  <c r="J14" i="20"/>
  <c r="R14" i="20" s="1"/>
  <c r="Q14" i="20"/>
  <c r="J15" i="20"/>
  <c r="R15" i="20" s="1"/>
  <c r="Q15" i="20"/>
  <c r="J16" i="20"/>
  <c r="R16" i="20" s="1"/>
  <c r="Q16" i="20"/>
  <c r="J17" i="20"/>
  <c r="R17" i="20" s="1"/>
  <c r="Q17" i="20"/>
  <c r="I18" i="20"/>
  <c r="I26" i="20" s="1"/>
  <c r="K18" i="20"/>
  <c r="K26" i="20" s="1"/>
  <c r="L18" i="20"/>
  <c r="L26" i="20" s="1"/>
  <c r="M18" i="20"/>
  <c r="N18" i="20"/>
  <c r="O18" i="20"/>
  <c r="P18" i="20"/>
  <c r="S18" i="20"/>
  <c r="J19" i="20"/>
  <c r="J20" i="20" s="1"/>
  <c r="Q19" i="20"/>
  <c r="Q20" i="20" s="1"/>
  <c r="M20" i="20"/>
  <c r="N20" i="20"/>
  <c r="O20" i="20"/>
  <c r="P20" i="20"/>
  <c r="S20" i="20"/>
  <c r="J21" i="20"/>
  <c r="R21" i="20" s="1"/>
  <c r="Q21" i="20"/>
  <c r="J22" i="20"/>
  <c r="R22" i="20" s="1"/>
  <c r="Q22" i="20"/>
  <c r="J23" i="20"/>
  <c r="R23" i="20" s="1"/>
  <c r="Q23" i="20"/>
  <c r="J24" i="20"/>
  <c r="Q24" i="20"/>
  <c r="M25" i="20"/>
  <c r="N25" i="20"/>
  <c r="O25" i="20"/>
  <c r="P25" i="20"/>
  <c r="S25" i="20"/>
  <c r="E9" i="18"/>
  <c r="E8" i="18" s="1"/>
  <c r="J13" i="18"/>
  <c r="C13" i="23" s="1"/>
  <c r="Q13" i="23" s="1"/>
  <c r="J15" i="18"/>
  <c r="C15" i="23" s="1"/>
  <c r="Q15" i="23" s="1"/>
  <c r="J17" i="18"/>
  <c r="C17" i="23" s="1"/>
  <c r="Q17" i="23" s="1"/>
  <c r="E19" i="18"/>
  <c r="E32" i="18"/>
  <c r="J20" i="18"/>
  <c r="C20" i="23" s="1"/>
  <c r="J22" i="18"/>
  <c r="C22" i="23" s="1"/>
  <c r="Q22" i="23" s="1"/>
  <c r="J24" i="18"/>
  <c r="C24" i="23" s="1"/>
  <c r="Q24" i="23" s="1"/>
  <c r="J25" i="18"/>
  <c r="C25" i="23" s="1"/>
  <c r="Q25" i="23" s="1"/>
  <c r="J27" i="18"/>
  <c r="C27" i="23" s="1"/>
  <c r="Q27" i="23" s="1"/>
  <c r="J28" i="18"/>
  <c r="C28" i="23" s="1"/>
  <c r="Q28" i="23" s="1"/>
  <c r="J29" i="18"/>
  <c r="C29" i="23" s="1"/>
  <c r="Q29" i="23" s="1"/>
  <c r="J30" i="18"/>
  <c r="C30" i="23" s="1"/>
  <c r="Q30" i="23" s="1"/>
  <c r="J31" i="18"/>
  <c r="C31" i="23" s="1"/>
  <c r="Q31" i="23" s="1"/>
  <c r="J33" i="18"/>
  <c r="C33" i="23" s="1"/>
  <c r="J34" i="18"/>
  <c r="C34" i="23" s="1"/>
  <c r="Q34" i="23" s="1"/>
  <c r="E35" i="18"/>
  <c r="J38" i="18"/>
  <c r="C38" i="23" s="1"/>
  <c r="Q38" i="23" s="1"/>
  <c r="E40" i="18"/>
  <c r="J41" i="18"/>
  <c r="C42" i="18"/>
  <c r="D42" i="18"/>
  <c r="E42" i="18"/>
  <c r="I42" i="18"/>
  <c r="J42" i="18" s="1"/>
  <c r="J43" i="18"/>
  <c r="C43" i="23" s="1"/>
  <c r="J44" i="18"/>
  <c r="C44" i="23" s="1"/>
  <c r="Q44" i="23" s="1"/>
  <c r="J45" i="18"/>
  <c r="C45" i="23" s="1"/>
  <c r="Q45" i="23" s="1"/>
  <c r="J46" i="18"/>
  <c r="C46" i="23" s="1"/>
  <c r="Q46" i="23" s="1"/>
  <c r="C50" i="18"/>
  <c r="D50" i="18"/>
  <c r="E50" i="18"/>
  <c r="I50" i="18"/>
  <c r="J51" i="18"/>
  <c r="C51" i="23" s="1"/>
  <c r="Q51" i="23" s="1"/>
  <c r="G57" i="18"/>
  <c r="E61" i="18"/>
  <c r="E60" i="18" s="1"/>
  <c r="E64" i="18"/>
  <c r="E63" i="18" s="1"/>
  <c r="E66" i="18"/>
  <c r="C70" i="18"/>
  <c r="F25" i="14"/>
  <c r="F24" i="14" s="1"/>
  <c r="D17" i="14"/>
  <c r="D16" i="14" s="1"/>
  <c r="D21" i="14"/>
  <c r="D20" i="14" s="1"/>
  <c r="D25" i="14"/>
  <c r="D24" i="14" s="1"/>
  <c r="G25" i="14"/>
  <c r="G24" i="14" s="1"/>
  <c r="E25" i="14"/>
  <c r="E24" i="14" s="1"/>
  <c r="G21" i="14"/>
  <c r="G20" i="14" s="1"/>
  <c r="E21" i="14"/>
  <c r="E20" i="14" s="1"/>
  <c r="E17" i="14"/>
  <c r="E16" i="14" s="1"/>
  <c r="D164" i="10"/>
  <c r="E163" i="10" s="1"/>
  <c r="H20" i="5"/>
  <c r="AG160" i="9"/>
  <c r="L159" i="9"/>
  <c r="S159" i="9"/>
  <c r="L158" i="9"/>
  <c r="S158" i="9"/>
  <c r="L157" i="9"/>
  <c r="S157" i="9"/>
  <c r="L156" i="9"/>
  <c r="S156" i="9"/>
  <c r="L155" i="9"/>
  <c r="S155" i="9"/>
  <c r="S154" i="9"/>
  <c r="S153" i="9"/>
  <c r="AH153" i="9" s="1"/>
  <c r="L152" i="9"/>
  <c r="L151" i="9"/>
  <c r="L150" i="9"/>
  <c r="L149" i="9"/>
  <c r="L147" i="9"/>
  <c r="L146" i="9"/>
  <c r="L145" i="9"/>
  <c r="L144" i="9"/>
  <c r="L143" i="9"/>
  <c r="L142" i="9"/>
  <c r="L140" i="9"/>
  <c r="L138" i="9"/>
  <c r="L137" i="9"/>
  <c r="L136" i="9"/>
  <c r="L135" i="9"/>
  <c r="L134" i="9"/>
  <c r="L133" i="9"/>
  <c r="L131" i="9"/>
  <c r="L130" i="9"/>
  <c r="L129" i="9"/>
  <c r="L128" i="9"/>
  <c r="L127" i="9"/>
  <c r="L126" i="9"/>
  <c r="L124" i="9"/>
  <c r="L123" i="9"/>
  <c r="L122" i="9"/>
  <c r="L121" i="9"/>
  <c r="L119" i="9"/>
  <c r="G119" i="9"/>
  <c r="G117" i="9"/>
  <c r="G115" i="9"/>
  <c r="L111" i="9"/>
  <c r="L110" i="9"/>
  <c r="L109" i="9"/>
  <c r="L105" i="9"/>
  <c r="L104" i="9"/>
  <c r="L98" i="9"/>
  <c r="S42" i="9"/>
  <c r="S41" i="9"/>
  <c r="S38" i="9"/>
  <c r="S37" i="9"/>
  <c r="S36" i="9"/>
  <c r="S35" i="9"/>
  <c r="AH35" i="9" s="1"/>
  <c r="S34" i="9"/>
  <c r="S33" i="9"/>
  <c r="S30" i="9"/>
  <c r="AH30" i="9" s="1"/>
  <c r="S27" i="9"/>
  <c r="AH27" i="9" s="1"/>
  <c r="S24" i="9"/>
  <c r="AH24" i="9" s="1"/>
  <c r="S22" i="9"/>
  <c r="S21" i="9"/>
  <c r="AH21" i="9" s="1"/>
  <c r="S20" i="9"/>
  <c r="D17" i="8"/>
  <c r="D16" i="8" s="1"/>
  <c r="E17" i="8"/>
  <c r="E16" i="8" s="1"/>
  <c r="F17" i="8"/>
  <c r="F16" i="8" s="1"/>
  <c r="G17" i="8"/>
  <c r="G16" i="8" s="1"/>
  <c r="D26" i="8"/>
  <c r="D25" i="8" s="1"/>
  <c r="D23" i="8" s="1"/>
  <c r="E26" i="8"/>
  <c r="E25" i="8" s="1"/>
  <c r="E23" i="8" s="1"/>
  <c r="F26" i="8"/>
  <c r="F25" i="8" s="1"/>
  <c r="F23" i="8" s="1"/>
  <c r="G26" i="8"/>
  <c r="G25" i="8" s="1"/>
  <c r="G23" i="8" s="1"/>
  <c r="H28" i="8"/>
  <c r="H27" i="8"/>
  <c r="H18" i="8"/>
  <c r="C147" i="4"/>
  <c r="C141" i="4"/>
  <c r="F147" i="4"/>
  <c r="D147" i="4"/>
  <c r="D141" i="4"/>
  <c r="D195" i="4"/>
  <c r="D198" i="4"/>
  <c r="E147" i="4"/>
  <c r="E141" i="4"/>
  <c r="D57" i="5"/>
  <c r="D56" i="5"/>
  <c r="F38" i="4"/>
  <c r="F54" i="4"/>
  <c r="E38" i="4"/>
  <c r="E54" i="4"/>
  <c r="D38" i="4"/>
  <c r="D54" i="4"/>
  <c r="D86" i="4"/>
  <c r="D89" i="4"/>
  <c r="G36" i="4"/>
  <c r="G27" i="4"/>
  <c r="G23" i="4"/>
  <c r="C57" i="5" s="1"/>
  <c r="G22" i="4"/>
  <c r="C56" i="5" s="1"/>
  <c r="G19" i="4"/>
  <c r="G17" i="4"/>
  <c r="D79" i="4"/>
  <c r="G79" i="4" s="1"/>
  <c r="G146" i="5"/>
  <c r="F146" i="5"/>
  <c r="E146" i="5"/>
  <c r="H145" i="5"/>
  <c r="H144" i="5"/>
  <c r="H141" i="5"/>
  <c r="H140" i="5"/>
  <c r="H138" i="5"/>
  <c r="H137" i="5"/>
  <c r="H136" i="5"/>
  <c r="H135" i="5"/>
  <c r="H134" i="5"/>
  <c r="H133" i="5"/>
  <c r="H132" i="5"/>
  <c r="H131" i="5"/>
  <c r="H130" i="5"/>
  <c r="H116" i="5"/>
  <c r="H110" i="5"/>
  <c r="H100" i="5"/>
  <c r="H97" i="5"/>
  <c r="H96" i="5"/>
  <c r="H78" i="5"/>
  <c r="H70" i="5"/>
  <c r="H61" i="5"/>
  <c r="H53" i="5"/>
  <c r="H44" i="5"/>
  <c r="H41" i="5"/>
  <c r="H39" i="5"/>
  <c r="H38" i="5"/>
  <c r="D34" i="9" s="1"/>
  <c r="H36" i="5"/>
  <c r="H33" i="5"/>
  <c r="H30" i="5"/>
  <c r="H27" i="5"/>
  <c r="H24" i="5"/>
  <c r="H23" i="5"/>
  <c r="H22" i="5"/>
  <c r="H21" i="5"/>
  <c r="H17" i="5"/>
  <c r="H15" i="5"/>
  <c r="D169" i="4"/>
  <c r="G199" i="4"/>
  <c r="G196" i="4"/>
  <c r="G192" i="4"/>
  <c r="G191" i="4"/>
  <c r="G190" i="4"/>
  <c r="G187" i="4"/>
  <c r="G186" i="4"/>
  <c r="G182" i="4"/>
  <c r="G181" i="4"/>
  <c r="G180" i="4"/>
  <c r="G176" i="4"/>
  <c r="G175" i="4"/>
  <c r="G174" i="4"/>
  <c r="G173" i="4"/>
  <c r="G172" i="4"/>
  <c r="G171" i="4"/>
  <c r="D95" i="5" s="1"/>
  <c r="D93" i="5" s="1"/>
  <c r="G170" i="4"/>
  <c r="G90" i="4"/>
  <c r="G87" i="4"/>
  <c r="G72" i="4"/>
  <c r="G71" i="4"/>
  <c r="G70" i="4"/>
  <c r="G69" i="4"/>
  <c r="G14" i="4"/>
  <c r="H95" i="9"/>
  <c r="J113" i="9"/>
  <c r="J95" i="9"/>
  <c r="J116" i="9"/>
  <c r="H107" i="9"/>
  <c r="D35" i="5"/>
  <c r="S152" i="9"/>
  <c r="C157" i="10"/>
  <c r="D110" i="10"/>
  <c r="F95" i="9"/>
  <c r="F94" i="9" s="1"/>
  <c r="K107" i="9"/>
  <c r="J107" i="9"/>
  <c r="J22" i="9"/>
  <c r="E22" i="9"/>
  <c r="I22" i="9"/>
  <c r="C53" i="18"/>
  <c r="C52" i="18" s="1"/>
  <c r="J49" i="18"/>
  <c r="C49" i="23" s="1"/>
  <c r="Q49" i="23" s="1"/>
  <c r="D113" i="5"/>
  <c r="L99" i="9"/>
  <c r="L117" i="9"/>
  <c r="C107" i="9"/>
  <c r="K95" i="9"/>
  <c r="C95" i="9"/>
  <c r="F85" i="4"/>
  <c r="J16" i="18"/>
  <c r="C16" i="23" s="1"/>
  <c r="Q16" i="23" s="1"/>
  <c r="D22" i="9"/>
  <c r="S129" i="9"/>
  <c r="D103" i="5"/>
  <c r="H105" i="5"/>
  <c r="H124" i="5"/>
  <c r="G179" i="4"/>
  <c r="L139" i="9"/>
  <c r="G23" i="9"/>
  <c r="G22" i="9" s="1"/>
  <c r="L25" i="22"/>
  <c r="I25" i="22"/>
  <c r="J36" i="18"/>
  <c r="J37" i="18"/>
  <c r="C37" i="23" s="1"/>
  <c r="F139" i="9"/>
  <c r="F120" i="9" s="1"/>
  <c r="C23" i="8"/>
  <c r="G142" i="4"/>
  <c r="F65" i="9"/>
  <c r="C89" i="4"/>
  <c r="G89" i="4" s="1"/>
  <c r="D66" i="18"/>
  <c r="G66" i="18"/>
  <c r="Q9" i="20"/>
  <c r="O9" i="20"/>
  <c r="S55" i="9"/>
  <c r="S51" i="9"/>
  <c r="K65" i="9"/>
  <c r="F32" i="4"/>
  <c r="S44" i="9"/>
  <c r="S72" i="9"/>
  <c r="S116" i="9"/>
  <c r="S112" i="9"/>
  <c r="S19" i="9"/>
  <c r="AH19" i="9" s="1"/>
  <c r="S9" i="9"/>
  <c r="S43" i="9"/>
  <c r="S142" i="9"/>
  <c r="K120" i="9"/>
  <c r="AH40" i="9" l="1"/>
  <c r="AH41" i="9"/>
  <c r="AK76" i="22"/>
  <c r="AK77" i="22" s="1"/>
  <c r="AH33" i="9"/>
  <c r="AH42" i="9"/>
  <c r="I16" i="21"/>
  <c r="H16" i="21"/>
  <c r="J35" i="18"/>
  <c r="D15" i="11" s="1"/>
  <c r="H9" i="21"/>
  <c r="I9" i="21"/>
  <c r="H15" i="21"/>
  <c r="I15" i="21"/>
  <c r="I11" i="21"/>
  <c r="H11" i="21"/>
  <c r="D20" i="21"/>
  <c r="C16" i="9"/>
  <c r="Q43" i="23"/>
  <c r="C61" i="23"/>
  <c r="Q62" i="23"/>
  <c r="H10" i="21"/>
  <c r="I10" i="21"/>
  <c r="AH38" i="9"/>
  <c r="C32" i="23"/>
  <c r="Q32" i="23" s="1"/>
  <c r="Q33" i="23"/>
  <c r="I18" i="21"/>
  <c r="H18" i="21"/>
  <c r="C19" i="23"/>
  <c r="Q20" i="23"/>
  <c r="AH66" i="9"/>
  <c r="C9" i="23"/>
  <c r="Q10" i="23"/>
  <c r="H13" i="21"/>
  <c r="I13" i="21"/>
  <c r="H37" i="5"/>
  <c r="C36" i="23"/>
  <c r="Q37" i="23"/>
  <c r="AH62" i="9"/>
  <c r="C61" i="10" s="1"/>
  <c r="AH14" i="9"/>
  <c r="AH12" i="9"/>
  <c r="AH18" i="9"/>
  <c r="C17" i="10" s="1"/>
  <c r="AH20" i="9"/>
  <c r="AH23" i="9"/>
  <c r="C22" i="10" s="1"/>
  <c r="D21" i="10" s="1"/>
  <c r="AH36" i="9"/>
  <c r="AH37" i="9"/>
  <c r="AE65" i="22"/>
  <c r="AP69" i="22"/>
  <c r="AE69" i="22"/>
  <c r="E39" i="18"/>
  <c r="AE55" i="22"/>
  <c r="AP84" i="22"/>
  <c r="AE84" i="22"/>
  <c r="AD18" i="22"/>
  <c r="AD35" i="22" s="1"/>
  <c r="AD79" i="22" s="1"/>
  <c r="AP65" i="22"/>
  <c r="AP11" i="22"/>
  <c r="AE13" i="22"/>
  <c r="AE66" i="22"/>
  <c r="AE72" i="22"/>
  <c r="AE70" i="22"/>
  <c r="AE54" i="22"/>
  <c r="AC25" i="22"/>
  <c r="AP55" i="22"/>
  <c r="AP17" i="22"/>
  <c r="AB76" i="22"/>
  <c r="AN58" i="22"/>
  <c r="AR58" i="22"/>
  <c r="AN48" i="22"/>
  <c r="AR48" i="22"/>
  <c r="AN40" i="22"/>
  <c r="AR40" i="22"/>
  <c r="AR69" i="22"/>
  <c r="AR54" i="22"/>
  <c r="AH155" i="9"/>
  <c r="C161" i="10" s="1"/>
  <c r="D160" i="10" s="1"/>
  <c r="E159" i="10" s="1"/>
  <c r="AN59" i="22"/>
  <c r="AR59" i="22"/>
  <c r="AN43" i="22"/>
  <c r="AR43" i="22"/>
  <c r="AN37" i="22"/>
  <c r="AR37" i="22"/>
  <c r="AR70" i="22"/>
  <c r="AN60" i="22"/>
  <c r="AR60" i="22"/>
  <c r="AN44" i="22"/>
  <c r="AR44" i="22"/>
  <c r="AN38" i="22"/>
  <c r="AR38" i="22"/>
  <c r="AR65" i="22"/>
  <c r="AR55" i="22"/>
  <c r="H35" i="5"/>
  <c r="C32" i="9"/>
  <c r="AN39" i="22"/>
  <c r="AR39" i="22"/>
  <c r="D88" i="5"/>
  <c r="AR66" i="22"/>
  <c r="AR72" i="22"/>
  <c r="D67" i="5"/>
  <c r="D66" i="5" s="1"/>
  <c r="G141" i="4"/>
  <c r="D47" i="5"/>
  <c r="K94" i="9"/>
  <c r="Z35" i="22"/>
  <c r="Z79" i="22" s="1"/>
  <c r="AK35" i="22"/>
  <c r="AK79" i="22" s="1"/>
  <c r="AP70" i="22"/>
  <c r="AC18" i="22"/>
  <c r="AP54" i="22"/>
  <c r="AC76" i="22"/>
  <c r="AP66" i="22"/>
  <c r="AP72" i="22"/>
  <c r="AN76" i="22"/>
  <c r="AE21" i="22"/>
  <c r="AP21" i="22"/>
  <c r="AE24" i="22"/>
  <c r="AP24" i="22"/>
  <c r="AE20" i="22"/>
  <c r="AP20" i="22"/>
  <c r="AE51" i="22"/>
  <c r="AP51" i="22"/>
  <c r="AE52" i="22"/>
  <c r="AP52" i="22"/>
  <c r="AE23" i="22"/>
  <c r="AP23" i="22"/>
  <c r="AE19" i="22"/>
  <c r="AP19" i="22"/>
  <c r="AE50" i="22"/>
  <c r="AE22" i="22"/>
  <c r="AP22" i="22"/>
  <c r="AM76" i="22"/>
  <c r="AN56" i="22"/>
  <c r="AC56" i="22"/>
  <c r="AN25" i="22"/>
  <c r="Q11" i="22"/>
  <c r="Q14" i="22"/>
  <c r="R14" i="22" s="1"/>
  <c r="AE14" i="22"/>
  <c r="Q15" i="22"/>
  <c r="R15" i="22" s="1"/>
  <c r="AE15" i="22"/>
  <c r="R69" i="22"/>
  <c r="Q17" i="22"/>
  <c r="R17" i="22" s="1"/>
  <c r="AE17" i="22"/>
  <c r="C120" i="4"/>
  <c r="J50" i="18"/>
  <c r="I39" i="18"/>
  <c r="C44" i="9"/>
  <c r="L103" i="9"/>
  <c r="H94" i="9"/>
  <c r="L17" i="9"/>
  <c r="AH17" i="9" s="1"/>
  <c r="C11" i="4"/>
  <c r="P35" i="22"/>
  <c r="L116" i="9"/>
  <c r="L22" i="9"/>
  <c r="AH22" i="9" s="1"/>
  <c r="T121" i="9"/>
  <c r="E117" i="6"/>
  <c r="H113" i="5"/>
  <c r="S141" i="9"/>
  <c r="AH141" i="9" s="1"/>
  <c r="C145" i="10" s="1"/>
  <c r="S126" i="9"/>
  <c r="S121" i="9"/>
  <c r="H17" i="8"/>
  <c r="S138" i="9"/>
  <c r="AH138" i="9" s="1"/>
  <c r="C142" i="10" s="1"/>
  <c r="M134" i="9"/>
  <c r="S134" i="9" s="1"/>
  <c r="AH134" i="9" s="1"/>
  <c r="G34" i="9"/>
  <c r="AH34" i="9" s="1"/>
  <c r="H77" i="22"/>
  <c r="I13" i="9"/>
  <c r="K29" i="22"/>
  <c r="J29" i="22"/>
  <c r="J33" i="22" s="1"/>
  <c r="J35" i="22" s="1"/>
  <c r="J79" i="22" s="1"/>
  <c r="L18" i="22"/>
  <c r="H13" i="9" s="1"/>
  <c r="R13" i="22"/>
  <c r="P77" i="22"/>
  <c r="H57" i="5"/>
  <c r="AH147" i="9"/>
  <c r="C151" i="10" s="1"/>
  <c r="J112" i="9"/>
  <c r="AH111" i="9"/>
  <c r="P149" i="9"/>
  <c r="S151" i="9"/>
  <c r="AH151" i="9" s="1"/>
  <c r="C156" i="10" s="1"/>
  <c r="D154" i="10" s="1"/>
  <c r="E153" i="10" s="1"/>
  <c r="L118" i="9"/>
  <c r="R103" i="9"/>
  <c r="R94" i="9" s="1"/>
  <c r="R160" i="9" s="1"/>
  <c r="S106" i="9"/>
  <c r="H56" i="5"/>
  <c r="L52" i="9"/>
  <c r="L48" i="9"/>
  <c r="L51" i="9"/>
  <c r="L50" i="9"/>
  <c r="D11" i="4"/>
  <c r="E94" i="9"/>
  <c r="M18" i="22"/>
  <c r="M31" i="22"/>
  <c r="AB31" i="22" s="1"/>
  <c r="K31" i="22"/>
  <c r="M27" i="22"/>
  <c r="AB27" i="22" s="1"/>
  <c r="K27" i="22"/>
  <c r="M32" i="22"/>
  <c r="AB32" i="22" s="1"/>
  <c r="K32" i="22"/>
  <c r="M28" i="22"/>
  <c r="AB28" i="22" s="1"/>
  <c r="K28" i="22"/>
  <c r="M30" i="22"/>
  <c r="AB30" i="22" s="1"/>
  <c r="K30" i="22"/>
  <c r="J54" i="18"/>
  <c r="AH88" i="9"/>
  <c r="C91" i="10" s="1"/>
  <c r="L54" i="9"/>
  <c r="R24" i="20"/>
  <c r="R25" i="20" s="1"/>
  <c r="J25" i="20"/>
  <c r="J86" i="9"/>
  <c r="F61" i="18"/>
  <c r="F60" i="18" s="1"/>
  <c r="H31" i="9"/>
  <c r="D34" i="5"/>
  <c r="H34" i="5" s="1"/>
  <c r="C101" i="9"/>
  <c r="G101" i="9" s="1"/>
  <c r="AH101" i="9" s="1"/>
  <c r="J94" i="9"/>
  <c r="AH122" i="9"/>
  <c r="C126" i="10" s="1"/>
  <c r="AH145" i="9"/>
  <c r="C149" i="10" s="1"/>
  <c r="F19" i="21"/>
  <c r="F20" i="21" s="1"/>
  <c r="D19" i="5" s="1"/>
  <c r="J40" i="18"/>
  <c r="D178" i="4"/>
  <c r="L47" i="9"/>
  <c r="I86" i="9"/>
  <c r="L46" i="9"/>
  <c r="AH46" i="9" s="1"/>
  <c r="Q55" i="22"/>
  <c r="I18" i="18"/>
  <c r="AH136" i="9"/>
  <c r="AH125" i="9"/>
  <c r="C129" i="10" s="1"/>
  <c r="D194" i="4"/>
  <c r="E18" i="18"/>
  <c r="E72" i="18" s="1"/>
  <c r="E73" i="18" s="1"/>
  <c r="T168" i="9" s="1"/>
  <c r="G71" i="9"/>
  <c r="AH119" i="9"/>
  <c r="C121" i="10" s="1"/>
  <c r="C128" i="5"/>
  <c r="C127" i="5" s="1"/>
  <c r="C126" i="5" s="1"/>
  <c r="AH110" i="9"/>
  <c r="AH127" i="9"/>
  <c r="Q45" i="22"/>
  <c r="K86" i="9"/>
  <c r="L67" i="9"/>
  <c r="AH128" i="9"/>
  <c r="H60" i="5"/>
  <c r="D85" i="4"/>
  <c r="L84" i="9"/>
  <c r="AH84" i="9" s="1"/>
  <c r="L80" i="9"/>
  <c r="AH80" i="9" s="1"/>
  <c r="L83" i="9"/>
  <c r="AH83" i="9" s="1"/>
  <c r="L79" i="9"/>
  <c r="AH79" i="9" s="1"/>
  <c r="L75" i="9"/>
  <c r="H86" i="9"/>
  <c r="G108" i="5"/>
  <c r="D107" i="5"/>
  <c r="G75" i="9"/>
  <c r="AH156" i="9"/>
  <c r="AH158" i="9"/>
  <c r="AH154" i="9"/>
  <c r="AH68" i="9"/>
  <c r="C71" i="10" s="1"/>
  <c r="AH109" i="9"/>
  <c r="L49" i="22"/>
  <c r="Q52" i="22"/>
  <c r="L55" i="9"/>
  <c r="L120" i="9"/>
  <c r="T91" i="9"/>
  <c r="T43" i="9" s="1"/>
  <c r="AH105" i="9"/>
  <c r="C108" i="10" s="1"/>
  <c r="AH123" i="9"/>
  <c r="C127" i="10" s="1"/>
  <c r="AH104" i="9"/>
  <c r="C107" i="10" s="1"/>
  <c r="C40" i="10"/>
  <c r="L89" i="9"/>
  <c r="L107" i="9"/>
  <c r="AH107" i="9" s="1"/>
  <c r="L95" i="9"/>
  <c r="L49" i="9"/>
  <c r="L58" i="9"/>
  <c r="AH117" i="9"/>
  <c r="AH133" i="9"/>
  <c r="AH159" i="9"/>
  <c r="AH108" i="9"/>
  <c r="I94" i="9"/>
  <c r="H64" i="9"/>
  <c r="L53" i="9"/>
  <c r="H71" i="5"/>
  <c r="L63" i="9"/>
  <c r="L60" i="9"/>
  <c r="L56" i="9"/>
  <c r="R60" i="22"/>
  <c r="AE60" i="22" s="1"/>
  <c r="AP60" i="22" s="1"/>
  <c r="M56" i="22"/>
  <c r="J18" i="20"/>
  <c r="Q18" i="20"/>
  <c r="Q25" i="20"/>
  <c r="M26" i="20"/>
  <c r="R44" i="22"/>
  <c r="AE44" i="22" s="1"/>
  <c r="AP44" i="22" s="1"/>
  <c r="L33" i="22"/>
  <c r="I49" i="22"/>
  <c r="Q54" i="22"/>
  <c r="I45" i="22"/>
  <c r="M41" i="22"/>
  <c r="AB41" i="22" s="1"/>
  <c r="I61" i="22"/>
  <c r="R39" i="22"/>
  <c r="AE39" i="22" s="1"/>
  <c r="AP39" i="22" s="1"/>
  <c r="O41" i="22"/>
  <c r="M47" i="22"/>
  <c r="O45" i="22"/>
  <c r="Q61" i="22"/>
  <c r="L61" i="22"/>
  <c r="Q41" i="22"/>
  <c r="Q22" i="22"/>
  <c r="Q51" i="22"/>
  <c r="O49" i="22"/>
  <c r="M45" i="22"/>
  <c r="AB45" i="22" s="1"/>
  <c r="O56" i="22"/>
  <c r="R38" i="22"/>
  <c r="AE38" i="22" s="1"/>
  <c r="AP38" i="22" s="1"/>
  <c r="Q65" i="22"/>
  <c r="N76" i="22"/>
  <c r="N77" i="22" s="1"/>
  <c r="M61" i="22"/>
  <c r="AB61" i="22" s="1"/>
  <c r="N35" i="22"/>
  <c r="Q66" i="22"/>
  <c r="R59" i="22"/>
  <c r="AE59" i="22" s="1"/>
  <c r="AP59" i="22" s="1"/>
  <c r="O61" i="22"/>
  <c r="Q70" i="22"/>
  <c r="Q21" i="22"/>
  <c r="Q23" i="22"/>
  <c r="Q20" i="22"/>
  <c r="O25" i="22"/>
  <c r="H54" i="5"/>
  <c r="G32" i="4"/>
  <c r="L92" i="9"/>
  <c r="L91" i="9" s="1"/>
  <c r="G54" i="4"/>
  <c r="G92" i="9"/>
  <c r="H49" i="5"/>
  <c r="H74" i="5"/>
  <c r="L85" i="9"/>
  <c r="L81" i="9"/>
  <c r="AH81" i="9" s="1"/>
  <c r="Q62" i="22"/>
  <c r="F53" i="18"/>
  <c r="F52" i="18" s="1"/>
  <c r="J52" i="18" s="1"/>
  <c r="D19" i="11" s="1"/>
  <c r="E75" i="7"/>
  <c r="R37" i="22"/>
  <c r="AE37" i="22" s="1"/>
  <c r="AP37" i="22" s="1"/>
  <c r="L41" i="22"/>
  <c r="K112" i="9"/>
  <c r="AH98" i="9"/>
  <c r="C101" i="10" s="1"/>
  <c r="P95" i="9"/>
  <c r="S95" i="9" s="1"/>
  <c r="C16" i="8"/>
  <c r="C47" i="8" s="1"/>
  <c r="L82" i="9"/>
  <c r="AH82" i="9" s="1"/>
  <c r="C85" i="10" s="1"/>
  <c r="L74" i="9"/>
  <c r="AH74" i="9" s="1"/>
  <c r="C77" i="10" s="1"/>
  <c r="R43" i="22"/>
  <c r="AE43" i="22" s="1"/>
  <c r="AP43" i="22" s="1"/>
  <c r="L45" i="22"/>
  <c r="M29" i="22"/>
  <c r="AB29" i="22" s="1"/>
  <c r="I33" i="22"/>
  <c r="I35" i="22" s="1"/>
  <c r="Q27" i="22"/>
  <c r="AD27" i="22" s="1"/>
  <c r="O33" i="22"/>
  <c r="D109" i="5"/>
  <c r="H109" i="5" s="1"/>
  <c r="H112" i="5"/>
  <c r="H58" i="5"/>
  <c r="H69" i="5"/>
  <c r="D112" i="9"/>
  <c r="I112" i="9"/>
  <c r="I70" i="9"/>
  <c r="L59" i="9"/>
  <c r="G90" i="9"/>
  <c r="D47" i="11"/>
  <c r="AH157" i="9"/>
  <c r="R48" i="22"/>
  <c r="AE48" i="22" s="1"/>
  <c r="AP48" i="22" s="1"/>
  <c r="H35" i="22"/>
  <c r="C18" i="10"/>
  <c r="H26" i="8"/>
  <c r="D103" i="9"/>
  <c r="D94" i="9" s="1"/>
  <c r="R40" i="22"/>
  <c r="AE40" i="22" s="1"/>
  <c r="AP40" i="22" s="1"/>
  <c r="Q24" i="22"/>
  <c r="O26" i="20"/>
  <c r="D47" i="8"/>
  <c r="H103" i="5"/>
  <c r="AH152" i="9"/>
  <c r="AH115" i="9"/>
  <c r="AH150" i="9"/>
  <c r="R58" i="22"/>
  <c r="AE58" i="22" s="1"/>
  <c r="AP58" i="22" s="1"/>
  <c r="Q49" i="22"/>
  <c r="J48" i="18"/>
  <c r="C48" i="23" s="1"/>
  <c r="Q48" i="23" s="1"/>
  <c r="L65" i="9"/>
  <c r="I41" i="22"/>
  <c r="E19" i="21"/>
  <c r="E20" i="21" s="1"/>
  <c r="L106" i="9"/>
  <c r="AH106" i="9" s="1"/>
  <c r="C109" i="10" s="1"/>
  <c r="AH99" i="9"/>
  <c r="C102" i="10" s="1"/>
  <c r="AH124" i="9"/>
  <c r="N26" i="20"/>
  <c r="H40" i="5"/>
  <c r="L76" i="9"/>
  <c r="AH76" i="9" s="1"/>
  <c r="L87" i="9"/>
  <c r="L78" i="9"/>
  <c r="AH78" i="9" s="1"/>
  <c r="F70" i="9"/>
  <c r="G52" i="9"/>
  <c r="W142" i="9"/>
  <c r="M130" i="9"/>
  <c r="AH132" i="9"/>
  <c r="C136" i="10" s="1"/>
  <c r="D134" i="10" s="1"/>
  <c r="L90" i="9"/>
  <c r="G72" i="18"/>
  <c r="C66" i="18"/>
  <c r="D18" i="18"/>
  <c r="D72" i="18" s="1"/>
  <c r="D73" i="18" s="1"/>
  <c r="S168" i="9" s="1"/>
  <c r="H18" i="18"/>
  <c r="H72" i="18" s="1"/>
  <c r="H73" i="18" s="1"/>
  <c r="C22" i="13" s="1"/>
  <c r="D22" i="13" s="1"/>
  <c r="J64" i="18"/>
  <c r="F11" i="4"/>
  <c r="F99" i="4" s="1"/>
  <c r="K70" i="9"/>
  <c r="J70" i="9"/>
  <c r="L57" i="9"/>
  <c r="L77" i="9"/>
  <c r="AH77" i="9" s="1"/>
  <c r="C80" i="10" s="1"/>
  <c r="L72" i="9"/>
  <c r="L61" i="9"/>
  <c r="H70" i="9"/>
  <c r="C86" i="9"/>
  <c r="F44" i="9"/>
  <c r="G72" i="9"/>
  <c r="C64" i="9"/>
  <c r="G189" i="4"/>
  <c r="G185" i="4"/>
  <c r="E86" i="9"/>
  <c r="G47" i="9"/>
  <c r="C70" i="9"/>
  <c r="G63" i="9"/>
  <c r="G53" i="9"/>
  <c r="G48" i="9"/>
  <c r="D70" i="9"/>
  <c r="G57" i="9"/>
  <c r="F64" i="9"/>
  <c r="G206" i="4"/>
  <c r="G205" i="4" s="1"/>
  <c r="E44" i="9"/>
  <c r="G147" i="4"/>
  <c r="G60" i="9"/>
  <c r="D86" i="9"/>
  <c r="D44" i="9"/>
  <c r="G183" i="4"/>
  <c r="G169" i="4"/>
  <c r="H73" i="5"/>
  <c r="D72" i="5"/>
  <c r="D68" i="4"/>
  <c r="G68" i="4" s="1"/>
  <c r="L71" i="9"/>
  <c r="G67" i="9"/>
  <c r="G56" i="9"/>
  <c r="G38" i="4"/>
  <c r="G118" i="9"/>
  <c r="G85" i="9"/>
  <c r="H79" i="5"/>
  <c r="H48" i="5"/>
  <c r="J44" i="9"/>
  <c r="H76" i="5"/>
  <c r="G87" i="9"/>
  <c r="F86" i="9"/>
  <c r="H91" i="5"/>
  <c r="H90" i="5"/>
  <c r="H68" i="5"/>
  <c r="H63" i="5"/>
  <c r="H62" i="5"/>
  <c r="H55" i="5"/>
  <c r="K44" i="9"/>
  <c r="I44" i="9"/>
  <c r="G12" i="4"/>
  <c r="L45" i="9"/>
  <c r="H44" i="9"/>
  <c r="H108" i="5"/>
  <c r="C178" i="4"/>
  <c r="G89" i="9"/>
  <c r="G164" i="4"/>
  <c r="D120" i="4"/>
  <c r="E120" i="4"/>
  <c r="E208" i="4" s="1"/>
  <c r="D127" i="5"/>
  <c r="D126" i="5" s="1"/>
  <c r="H95" i="5"/>
  <c r="H89" i="5"/>
  <c r="G65" i="9"/>
  <c r="E11" i="4"/>
  <c r="E99" i="4" s="1"/>
  <c r="H59" i="5"/>
  <c r="K64" i="9"/>
  <c r="H52" i="5"/>
  <c r="H87" i="5"/>
  <c r="C66" i="5"/>
  <c r="C69" i="10"/>
  <c r="F120" i="4"/>
  <c r="F208" i="4" s="1"/>
  <c r="H50" i="5"/>
  <c r="J19" i="18"/>
  <c r="C18" i="18"/>
  <c r="O76" i="22"/>
  <c r="Q72" i="22"/>
  <c r="M76" i="22"/>
  <c r="Q63" i="22"/>
  <c r="Q64" i="22"/>
  <c r="I56" i="22"/>
  <c r="Q19" i="22"/>
  <c r="M25" i="22"/>
  <c r="P26" i="20"/>
  <c r="J9" i="18"/>
  <c r="Q50" i="22"/>
  <c r="C42" i="5"/>
  <c r="H77" i="5"/>
  <c r="AH131" i="9"/>
  <c r="H86" i="5"/>
  <c r="H84" i="5"/>
  <c r="AH135" i="9"/>
  <c r="AH137" i="9"/>
  <c r="AH73" i="9"/>
  <c r="C76" i="10" s="1"/>
  <c r="E39" i="9"/>
  <c r="F39" i="9"/>
  <c r="AH146" i="9"/>
  <c r="C150" i="10" s="1"/>
  <c r="G116" i="9"/>
  <c r="AH69" i="9"/>
  <c r="C72" i="10" s="1"/>
  <c r="H23" i="8"/>
  <c r="F47" i="8"/>
  <c r="G47" i="8"/>
  <c r="H25" i="8"/>
  <c r="E47" i="8"/>
  <c r="AH129" i="9"/>
  <c r="C133" i="10" s="1"/>
  <c r="H125" i="5"/>
  <c r="C123" i="5"/>
  <c r="H123" i="5" s="1"/>
  <c r="C72" i="5"/>
  <c r="H75" i="5"/>
  <c r="H65" i="5"/>
  <c r="C47" i="5"/>
  <c r="G103" i="9"/>
  <c r="C88" i="5"/>
  <c r="H92" i="5"/>
  <c r="G91" i="9"/>
  <c r="S26" i="20"/>
  <c r="R18" i="20"/>
  <c r="R19" i="20"/>
  <c r="R20" i="20" s="1"/>
  <c r="M120" i="9" l="1"/>
  <c r="M160" i="9" s="1"/>
  <c r="C18" i="14" s="1"/>
  <c r="C8" i="23"/>
  <c r="Q8" i="23" s="1"/>
  <c r="Q9" i="23"/>
  <c r="C60" i="23"/>
  <c r="Q60" i="23" s="1"/>
  <c r="Q61" i="23"/>
  <c r="C18" i="23"/>
  <c r="Q18" i="23" s="1"/>
  <c r="Q19" i="23"/>
  <c r="J53" i="18"/>
  <c r="C54" i="23"/>
  <c r="AH57" i="9"/>
  <c r="C56" i="10" s="1"/>
  <c r="AH56" i="9"/>
  <c r="C55" i="10" s="1"/>
  <c r="C42" i="23"/>
  <c r="H67" i="5"/>
  <c r="C35" i="23"/>
  <c r="Q36" i="23"/>
  <c r="AH59" i="9"/>
  <c r="C58" i="10" s="1"/>
  <c r="AH54" i="9"/>
  <c r="C53" i="10" s="1"/>
  <c r="AH63" i="9"/>
  <c r="C62" i="10" s="1"/>
  <c r="AH67" i="9"/>
  <c r="AH50" i="9"/>
  <c r="C49" i="10" s="1"/>
  <c r="AH60" i="9"/>
  <c r="AH45" i="9"/>
  <c r="C44" i="10" s="1"/>
  <c r="AH65" i="9"/>
  <c r="C68" i="10" s="1"/>
  <c r="AH58" i="9"/>
  <c r="C57" i="10" s="1"/>
  <c r="AH47" i="9"/>
  <c r="C46" i="10" s="1"/>
  <c r="AH51" i="9"/>
  <c r="C50" i="10" s="1"/>
  <c r="AH53" i="9"/>
  <c r="C52" i="10" s="1"/>
  <c r="AH48" i="9"/>
  <c r="AH61" i="9"/>
  <c r="C60" i="10" s="1"/>
  <c r="AH52" i="9"/>
  <c r="C51" i="10" s="1"/>
  <c r="AH49" i="9"/>
  <c r="C48" i="10" s="1"/>
  <c r="AH55" i="9"/>
  <c r="C54" i="10" s="1"/>
  <c r="G32" i="9"/>
  <c r="AH32" i="9" s="1"/>
  <c r="AM18" i="22"/>
  <c r="C31" i="9"/>
  <c r="AP45" i="22"/>
  <c r="AP18" i="22"/>
  <c r="AR11" i="22"/>
  <c r="AE11" i="22"/>
  <c r="AC35" i="22"/>
  <c r="AN29" i="22"/>
  <c r="AR29" i="22"/>
  <c r="AR14" i="22"/>
  <c r="AN61" i="22"/>
  <c r="AR61" i="22"/>
  <c r="AN28" i="22"/>
  <c r="AR28" i="22"/>
  <c r="AN31" i="22"/>
  <c r="AR31" i="22"/>
  <c r="AR15" i="22"/>
  <c r="AR22" i="22"/>
  <c r="AR19" i="22"/>
  <c r="AR52" i="22"/>
  <c r="AR20" i="22"/>
  <c r="AR21" i="22"/>
  <c r="AN45" i="22"/>
  <c r="AR45" i="22"/>
  <c r="AN41" i="22"/>
  <c r="AR41" i="22"/>
  <c r="AR17" i="22"/>
  <c r="AN30" i="22"/>
  <c r="AR30" i="22"/>
  <c r="AN32" i="22"/>
  <c r="AR32" i="22"/>
  <c r="AN27" i="22"/>
  <c r="AR27" i="22"/>
  <c r="AR23" i="22"/>
  <c r="AR51" i="22"/>
  <c r="AR24" i="22"/>
  <c r="AH121" i="9"/>
  <c r="H93" i="5"/>
  <c r="AB25" i="22"/>
  <c r="AC77" i="22"/>
  <c r="AB56" i="22"/>
  <c r="AM56" i="22"/>
  <c r="AM77" i="22" s="1"/>
  <c r="AP50" i="22"/>
  <c r="AN77" i="22"/>
  <c r="Q18" i="22"/>
  <c r="AM25" i="22"/>
  <c r="AP61" i="22"/>
  <c r="AP41" i="22"/>
  <c r="AN18" i="22"/>
  <c r="AN35" i="22" s="1"/>
  <c r="AE45" i="22"/>
  <c r="AE61" i="22"/>
  <c r="AE41" i="22"/>
  <c r="R50" i="22"/>
  <c r="R63" i="22"/>
  <c r="R20" i="22"/>
  <c r="R22" i="22"/>
  <c r="R55" i="22"/>
  <c r="Q25" i="22"/>
  <c r="Q33" i="22"/>
  <c r="AD33" i="22" s="1"/>
  <c r="R62" i="22"/>
  <c r="R23" i="22"/>
  <c r="M49" i="22"/>
  <c r="AB49" i="22" s="1"/>
  <c r="AB47" i="22"/>
  <c r="AB18" i="22"/>
  <c r="R24" i="22"/>
  <c r="R72" i="22"/>
  <c r="R21" i="22"/>
  <c r="R66" i="22"/>
  <c r="R65" i="22"/>
  <c r="R52" i="22"/>
  <c r="R11" i="22"/>
  <c r="R18" i="22" s="1"/>
  <c r="R64" i="22"/>
  <c r="R70" i="22"/>
  <c r="R51" i="22"/>
  <c r="R54" i="22"/>
  <c r="R31" i="22"/>
  <c r="AE31" i="22" s="1"/>
  <c r="AP31" i="22" s="1"/>
  <c r="P79" i="22"/>
  <c r="H79" i="22"/>
  <c r="AH95" i="9"/>
  <c r="I72" i="18"/>
  <c r="I73" i="18" s="1"/>
  <c r="G44" i="9"/>
  <c r="L35" i="22"/>
  <c r="L79" i="22" s="1"/>
  <c r="J39" i="18"/>
  <c r="D17" i="11" s="1"/>
  <c r="D98" i="10"/>
  <c r="G120" i="4"/>
  <c r="L94" i="9"/>
  <c r="J26" i="20"/>
  <c r="J13" i="21"/>
  <c r="K13" i="21" s="1"/>
  <c r="H43" i="9"/>
  <c r="AH126" i="9"/>
  <c r="C130" i="10" s="1"/>
  <c r="D125" i="10" s="1"/>
  <c r="S149" i="9"/>
  <c r="AH149" i="9" s="1"/>
  <c r="R30" i="22"/>
  <c r="AE30" i="22" s="1"/>
  <c r="AP30" i="22" s="1"/>
  <c r="C34" i="10"/>
  <c r="D33" i="10" s="1"/>
  <c r="R32" i="22"/>
  <c r="AE32" i="22" s="1"/>
  <c r="AP32" i="22" s="1"/>
  <c r="R27" i="22"/>
  <c r="AE27" i="22" s="1"/>
  <c r="R19" i="22"/>
  <c r="N79" i="22"/>
  <c r="R28" i="22"/>
  <c r="AE28" i="22" s="1"/>
  <c r="AP28" i="22" s="1"/>
  <c r="S103" i="9"/>
  <c r="P148" i="9"/>
  <c r="S148" i="9" s="1"/>
  <c r="AH148" i="9" s="1"/>
  <c r="D45" i="11" s="1"/>
  <c r="AH118" i="9"/>
  <c r="AH71" i="9"/>
  <c r="C74" i="10" s="1"/>
  <c r="AH90" i="9"/>
  <c r="C93" i="10" s="1"/>
  <c r="O77" i="22"/>
  <c r="J18" i="21"/>
  <c r="K18" i="21" s="1"/>
  <c r="J10" i="21"/>
  <c r="K10" i="21" s="1"/>
  <c r="H19" i="21"/>
  <c r="H20" i="21" s="1"/>
  <c r="J9" i="21"/>
  <c r="K9" i="21" s="1"/>
  <c r="J15" i="21"/>
  <c r="K15" i="21" s="1"/>
  <c r="AH85" i="9"/>
  <c r="C88" i="10" s="1"/>
  <c r="L86" i="9"/>
  <c r="M33" i="22"/>
  <c r="I19" i="21"/>
  <c r="I20" i="21" s="1"/>
  <c r="J16" i="21"/>
  <c r="K16" i="21" s="1"/>
  <c r="J17" i="21"/>
  <c r="K17" i="21" s="1"/>
  <c r="J11" i="21"/>
  <c r="K11" i="21" s="1"/>
  <c r="K33" i="22"/>
  <c r="K35" i="22" s="1"/>
  <c r="K79" i="22" s="1"/>
  <c r="J14" i="21"/>
  <c r="K14" i="21" s="1"/>
  <c r="J12" i="21"/>
  <c r="K12" i="21" s="1"/>
  <c r="L31" i="9"/>
  <c r="H128" i="5"/>
  <c r="H127" i="5" s="1"/>
  <c r="D208" i="4"/>
  <c r="C94" i="9"/>
  <c r="G94" i="9" s="1"/>
  <c r="J61" i="18"/>
  <c r="J60" i="18" s="1"/>
  <c r="C70" i="10"/>
  <c r="AH75" i="9"/>
  <c r="C78" i="10" s="1"/>
  <c r="AH91" i="9"/>
  <c r="L64" i="9"/>
  <c r="D16" i="10"/>
  <c r="AH116" i="9"/>
  <c r="H126" i="5"/>
  <c r="AH89" i="9"/>
  <c r="C92" i="10" s="1"/>
  <c r="Q26" i="20"/>
  <c r="D102" i="5"/>
  <c r="AH92" i="9"/>
  <c r="C95" i="10" s="1"/>
  <c r="D94" i="10" s="1"/>
  <c r="D138" i="10"/>
  <c r="C87" i="10"/>
  <c r="P94" i="9"/>
  <c r="AH142" i="9"/>
  <c r="C146" i="10" s="1"/>
  <c r="S130" i="9"/>
  <c r="AH130" i="9" s="1"/>
  <c r="O139" i="9"/>
  <c r="L70" i="9"/>
  <c r="C59" i="10"/>
  <c r="C47" i="10"/>
  <c r="C43" i="9"/>
  <c r="H72" i="5"/>
  <c r="Q56" i="22"/>
  <c r="K39" i="9"/>
  <c r="K37" i="9" s="1"/>
  <c r="K9" i="9" s="1"/>
  <c r="R61" i="22"/>
  <c r="R47" i="22"/>
  <c r="R45" i="22"/>
  <c r="R29" i="22"/>
  <c r="AE29" i="22" s="1"/>
  <c r="AP29" i="22" s="1"/>
  <c r="O35" i="22"/>
  <c r="J43" i="9"/>
  <c r="AH72" i="9"/>
  <c r="C75" i="10" s="1"/>
  <c r="AH87" i="9"/>
  <c r="C90" i="10" s="1"/>
  <c r="E43" i="9"/>
  <c r="R41" i="22"/>
  <c r="H16" i="8"/>
  <c r="C72" i="18"/>
  <c r="C73" i="18" s="1"/>
  <c r="C18" i="5"/>
  <c r="H15" i="9" s="1"/>
  <c r="C15" i="9"/>
  <c r="Q76" i="22"/>
  <c r="G20" i="21"/>
  <c r="I43" i="9"/>
  <c r="F43" i="9"/>
  <c r="T120" i="9"/>
  <c r="T160" i="9" s="1"/>
  <c r="D25" i="11"/>
  <c r="D43" i="9"/>
  <c r="G107" i="5"/>
  <c r="G64" i="9"/>
  <c r="H107" i="5"/>
  <c r="G86" i="9"/>
  <c r="G70" i="9"/>
  <c r="G178" i="4"/>
  <c r="D99" i="4"/>
  <c r="G11" i="4"/>
  <c r="K43" i="9"/>
  <c r="L44" i="9"/>
  <c r="H88" i="5"/>
  <c r="M77" i="22"/>
  <c r="I77" i="22"/>
  <c r="I79" i="22" s="1"/>
  <c r="J39" i="9"/>
  <c r="J37" i="9" s="1"/>
  <c r="D10" i="9"/>
  <c r="D9" i="9" s="1"/>
  <c r="E27" i="12"/>
  <c r="C28" i="14"/>
  <c r="H28" i="14" s="1"/>
  <c r="D46" i="5"/>
  <c r="H66" i="5"/>
  <c r="H47" i="5"/>
  <c r="C46" i="5"/>
  <c r="R26" i="20"/>
  <c r="AM35" i="22" l="1"/>
  <c r="D21" i="11"/>
  <c r="C120" i="10"/>
  <c r="D119" i="10" s="1"/>
  <c r="AH44" i="9"/>
  <c r="S94" i="9"/>
  <c r="AH94" i="9" s="1"/>
  <c r="P160" i="9"/>
  <c r="C53" i="23"/>
  <c r="Q54" i="23"/>
  <c r="C73" i="23"/>
  <c r="Q73" i="23" s="1"/>
  <c r="C150" i="5"/>
  <c r="L168" i="9"/>
  <c r="C20" i="13"/>
  <c r="W168" i="9"/>
  <c r="C39" i="23"/>
  <c r="Q39" i="23" s="1"/>
  <c r="Q42" i="23"/>
  <c r="Q35" i="23"/>
  <c r="G31" i="9"/>
  <c r="AH31" i="9" s="1"/>
  <c r="AH64" i="9"/>
  <c r="C23" i="14"/>
  <c r="H23" i="14" s="1"/>
  <c r="T169" i="9"/>
  <c r="C16" i="5"/>
  <c r="C13" i="5" s="1"/>
  <c r="AP83" i="22"/>
  <c r="AE83" i="22"/>
  <c r="H46" i="5"/>
  <c r="H19" i="5"/>
  <c r="AC79" i="22"/>
  <c r="C29" i="5" s="1"/>
  <c r="D43" i="10"/>
  <c r="R56" i="22"/>
  <c r="H10" i="9"/>
  <c r="R25" i="22"/>
  <c r="E17" i="12"/>
  <c r="AN79" i="22"/>
  <c r="D29" i="5" s="1"/>
  <c r="AB77" i="22"/>
  <c r="AR56" i="22"/>
  <c r="H47" i="8"/>
  <c r="AB35" i="22"/>
  <c r="AR18" i="22"/>
  <c r="AN47" i="22"/>
  <c r="AR47" i="22"/>
  <c r="AR25" i="22"/>
  <c r="G16" i="9"/>
  <c r="AH16" i="9" s="1"/>
  <c r="F10" i="9"/>
  <c r="F9" i="9" s="1"/>
  <c r="F160" i="9" s="1"/>
  <c r="D15" i="14" s="1"/>
  <c r="AN49" i="22"/>
  <c r="AR49" i="22"/>
  <c r="H102" i="5"/>
  <c r="AM79" i="22"/>
  <c r="AE33" i="22"/>
  <c r="AP27" i="22"/>
  <c r="AP33" i="22" s="1"/>
  <c r="AP76" i="22"/>
  <c r="AP56" i="22"/>
  <c r="AE76" i="22"/>
  <c r="R76" i="22"/>
  <c r="AE56" i="22"/>
  <c r="R49" i="22"/>
  <c r="AE47" i="22"/>
  <c r="M35" i="22"/>
  <c r="M79" i="22" s="1"/>
  <c r="AB33" i="22"/>
  <c r="D18" i="5"/>
  <c r="D13" i="5" s="1"/>
  <c r="AH103" i="9"/>
  <c r="D106" i="10" s="1"/>
  <c r="E97" i="10" s="1"/>
  <c r="O79" i="22"/>
  <c r="R33" i="22"/>
  <c r="E22" i="12"/>
  <c r="S140" i="9"/>
  <c r="AH86" i="9"/>
  <c r="D67" i="10"/>
  <c r="K19" i="21"/>
  <c r="K20" i="21" s="1"/>
  <c r="C31" i="10"/>
  <c r="D30" i="10" s="1"/>
  <c r="D73" i="10"/>
  <c r="D89" i="10"/>
  <c r="C10" i="9"/>
  <c r="C14" i="13"/>
  <c r="G13" i="9"/>
  <c r="AH70" i="9"/>
  <c r="Q35" i="22"/>
  <c r="Q77" i="22"/>
  <c r="F72" i="18"/>
  <c r="F73" i="18" s="1"/>
  <c r="G15" i="9"/>
  <c r="J19" i="21"/>
  <c r="J20" i="21" s="1"/>
  <c r="D42" i="5"/>
  <c r="H42" i="5" s="1"/>
  <c r="D160" i="9"/>
  <c r="D12" i="14" s="1"/>
  <c r="G43" i="9"/>
  <c r="K160" i="9"/>
  <c r="C15" i="14" s="1"/>
  <c r="L43" i="9"/>
  <c r="H43" i="5"/>
  <c r="J18" i="18"/>
  <c r="J72" i="18" s="1"/>
  <c r="J73" i="18" s="1"/>
  <c r="G73" i="18"/>
  <c r="E10" i="9"/>
  <c r="E9" i="9" s="1"/>
  <c r="E160" i="9" s="1"/>
  <c r="D14" i="14" s="1"/>
  <c r="G11" i="9"/>
  <c r="L13" i="9"/>
  <c r="I10" i="9"/>
  <c r="I9" i="9" s="1"/>
  <c r="I160" i="9" s="1"/>
  <c r="C12" i="14" s="1"/>
  <c r="AH13" i="9" l="1"/>
  <c r="D32" i="5"/>
  <c r="C29" i="9" s="1"/>
  <c r="C52" i="23"/>
  <c r="Q53" i="23"/>
  <c r="C72" i="23"/>
  <c r="AH43" i="9"/>
  <c r="G197" i="4"/>
  <c r="D122" i="5" s="1"/>
  <c r="D120" i="5" s="1"/>
  <c r="D119" i="5" s="1"/>
  <c r="C26" i="9"/>
  <c r="G26" i="9" s="1"/>
  <c r="G25" i="9" s="1"/>
  <c r="C15" i="10"/>
  <c r="C16" i="13"/>
  <c r="C25" i="13" s="1"/>
  <c r="D150" i="5"/>
  <c r="G168" i="9"/>
  <c r="H13" i="5"/>
  <c r="H16" i="5"/>
  <c r="R77" i="22"/>
  <c r="R35" i="22"/>
  <c r="C12" i="10"/>
  <c r="G10" i="9"/>
  <c r="AR35" i="22"/>
  <c r="AB79" i="22"/>
  <c r="E25" i="12"/>
  <c r="F24" i="12" s="1"/>
  <c r="G23" i="12" s="1"/>
  <c r="AN33" i="22"/>
  <c r="AR33" i="22"/>
  <c r="H18" i="5"/>
  <c r="H12" i="14"/>
  <c r="H121" i="5"/>
  <c r="AP77" i="22"/>
  <c r="AE18" i="22"/>
  <c r="AE49" i="22"/>
  <c r="AP47" i="22"/>
  <c r="AP49" i="22" s="1"/>
  <c r="AE25" i="22"/>
  <c r="AE77" i="22"/>
  <c r="H15" i="14"/>
  <c r="D39" i="11"/>
  <c r="Q79" i="22"/>
  <c r="C114" i="9"/>
  <c r="G114" i="9" s="1"/>
  <c r="C195" i="4"/>
  <c r="C86" i="4"/>
  <c r="C85" i="4" s="1"/>
  <c r="C99" i="4" s="1"/>
  <c r="G88" i="4"/>
  <c r="C122" i="5" s="1"/>
  <c r="H114" i="9"/>
  <c r="E42" i="10"/>
  <c r="O120" i="9"/>
  <c r="O160" i="9" s="1"/>
  <c r="D13" i="14"/>
  <c r="L15" i="9"/>
  <c r="AH15" i="9" s="1"/>
  <c r="C39" i="9"/>
  <c r="G39" i="9"/>
  <c r="AH39" i="9" s="1"/>
  <c r="D13" i="11"/>
  <c r="D27" i="11" s="1"/>
  <c r="E168" i="10"/>
  <c r="E14" i="12"/>
  <c r="J10" i="9"/>
  <c r="J9" i="9" s="1"/>
  <c r="J160" i="9" s="1"/>
  <c r="L11" i="9"/>
  <c r="AH11" i="9" s="1"/>
  <c r="E11" i="12"/>
  <c r="H18" i="14"/>
  <c r="Q52" i="23" l="1"/>
  <c r="C71" i="23"/>
  <c r="Q71" i="23" s="1"/>
  <c r="C32" i="5"/>
  <c r="H29" i="9" s="1"/>
  <c r="L29" i="9" s="1"/>
  <c r="D31" i="5"/>
  <c r="AH168" i="9"/>
  <c r="C75" i="23"/>
  <c r="D28" i="5"/>
  <c r="C28" i="5"/>
  <c r="H26" i="9"/>
  <c r="R79" i="22"/>
  <c r="R80" i="22" s="1"/>
  <c r="C26" i="14"/>
  <c r="C25" i="14" s="1"/>
  <c r="C24" i="14" s="1"/>
  <c r="D37" i="11"/>
  <c r="C14" i="10"/>
  <c r="AP25" i="22"/>
  <c r="AE35" i="22"/>
  <c r="AE79" i="22" s="1"/>
  <c r="AE82" i="22" s="1"/>
  <c r="AE91" i="22" s="1"/>
  <c r="C22" i="14"/>
  <c r="C21" i="14" s="1"/>
  <c r="C10" i="10"/>
  <c r="L10" i="9"/>
  <c r="AH10" i="9" s="1"/>
  <c r="P75" i="23"/>
  <c r="C120" i="5"/>
  <c r="H122" i="5"/>
  <c r="C113" i="9"/>
  <c r="C112" i="9" s="1"/>
  <c r="C194" i="4"/>
  <c r="C208" i="4" s="1"/>
  <c r="G195" i="4"/>
  <c r="L114" i="9"/>
  <c r="H113" i="9"/>
  <c r="H112" i="9" s="1"/>
  <c r="G86" i="4"/>
  <c r="C25" i="9"/>
  <c r="H29" i="5"/>
  <c r="H39" i="9"/>
  <c r="E13" i="12"/>
  <c r="F12" i="12" s="1"/>
  <c r="C14" i="14"/>
  <c r="H14" i="14" s="1"/>
  <c r="H13" i="14" s="1"/>
  <c r="D12" i="5" l="1"/>
  <c r="L26" i="9"/>
  <c r="AH26" i="9" s="1"/>
  <c r="C25" i="10" s="1"/>
  <c r="C31" i="5"/>
  <c r="H31" i="5" s="1"/>
  <c r="C28" i="9"/>
  <c r="C9" i="9" s="1"/>
  <c r="C160" i="9" s="1"/>
  <c r="G29" i="9"/>
  <c r="G28" i="9" s="1"/>
  <c r="G9" i="9" s="1"/>
  <c r="H25" i="9"/>
  <c r="H26" i="14"/>
  <c r="H25" i="14" s="1"/>
  <c r="H24" i="14" s="1"/>
  <c r="H28" i="5"/>
  <c r="K22" i="21"/>
  <c r="G209" i="4"/>
  <c r="AP35" i="22"/>
  <c r="AP79" i="22" s="1"/>
  <c r="AP82" i="22" s="1"/>
  <c r="AP91" i="22" s="1"/>
  <c r="AR91" i="22" s="1"/>
  <c r="D9" i="10"/>
  <c r="G112" i="9"/>
  <c r="H32" i="5"/>
  <c r="G194" i="4"/>
  <c r="G208" i="4" s="1"/>
  <c r="H120" i="5"/>
  <c r="C119" i="5"/>
  <c r="L112" i="9"/>
  <c r="L113" i="9"/>
  <c r="AH114" i="9"/>
  <c r="C117" i="10" s="1"/>
  <c r="D116" i="10" s="1"/>
  <c r="E115" i="10" s="1"/>
  <c r="G113" i="9"/>
  <c r="G85" i="4"/>
  <c r="G99" i="4" s="1"/>
  <c r="C39" i="10"/>
  <c r="D38" i="10" s="1"/>
  <c r="H28" i="9"/>
  <c r="C13" i="14"/>
  <c r="C20" i="14"/>
  <c r="L25" i="9" l="1"/>
  <c r="AH25" i="9" s="1"/>
  <c r="C12" i="5"/>
  <c r="C146" i="5" s="1"/>
  <c r="C151" i="5" s="1"/>
  <c r="AH29" i="9"/>
  <c r="H9" i="9"/>
  <c r="H160" i="9" s="1"/>
  <c r="C11" i="14" s="1"/>
  <c r="C10" i="14" s="1"/>
  <c r="AE95" i="22"/>
  <c r="D146" i="5"/>
  <c r="D151" i="5" s="1"/>
  <c r="G210" i="4"/>
  <c r="H119" i="5"/>
  <c r="G160" i="9"/>
  <c r="AH113" i="9"/>
  <c r="AH112" i="9"/>
  <c r="D41" i="11" s="1"/>
  <c r="D11" i="14"/>
  <c r="L28" i="9"/>
  <c r="AH28" i="9" s="1"/>
  <c r="D24" i="10"/>
  <c r="G100" i="4" l="1"/>
  <c r="G101" i="4" s="1"/>
  <c r="H12" i="5"/>
  <c r="AR92" i="22" s="1"/>
  <c r="AR93" i="22" s="1"/>
  <c r="D16" i="13"/>
  <c r="G169" i="9"/>
  <c r="E10" i="12"/>
  <c r="H11" i="14"/>
  <c r="H10" i="14" s="1"/>
  <c r="H9" i="14" s="1"/>
  <c r="C28" i="10"/>
  <c r="D27" i="10" s="1"/>
  <c r="E8" i="10" s="1"/>
  <c r="D10" i="14"/>
  <c r="D9" i="14" s="1"/>
  <c r="D29" i="14" s="1"/>
  <c r="L9" i="9"/>
  <c r="AH9" i="9" s="1"/>
  <c r="C9" i="14"/>
  <c r="H146" i="5" l="1"/>
  <c r="D35" i="11"/>
  <c r="F9" i="12"/>
  <c r="G8" i="12" s="1"/>
  <c r="L160" i="9"/>
  <c r="L169" i="9" s="1"/>
  <c r="U120" i="9" l="1"/>
  <c r="U160" i="9" s="1"/>
  <c r="W140" i="9"/>
  <c r="AH140" i="9" s="1"/>
  <c r="C144" i="10" s="1"/>
  <c r="F19" i="14" l="1"/>
  <c r="F17" i="14" s="1"/>
  <c r="F16" i="14" s="1"/>
  <c r="V120" i="9"/>
  <c r="V160" i="9" s="1"/>
  <c r="E21" i="12" l="1"/>
  <c r="F20" i="12" s="1"/>
  <c r="G19" i="12" s="1"/>
  <c r="F22" i="14"/>
  <c r="W139" i="9"/>
  <c r="W120" i="9"/>
  <c r="H22" i="14" l="1"/>
  <c r="H21" i="14" s="1"/>
  <c r="H20" i="14" s="1"/>
  <c r="F21" i="14"/>
  <c r="F20" i="14" s="1"/>
  <c r="F29" i="14" s="1"/>
  <c r="W160" i="9"/>
  <c r="W169" i="9" s="1"/>
  <c r="D20" i="13" l="1"/>
  <c r="S144" i="9"/>
  <c r="AH144" i="9" l="1"/>
  <c r="C148" i="10" s="1"/>
  <c r="S143" i="9"/>
  <c r="AH143" i="9" s="1"/>
  <c r="C147" i="10" s="1"/>
  <c r="C166" i="10" l="1"/>
  <c r="N120" i="9"/>
  <c r="N160" i="9" s="1"/>
  <c r="S139" i="9"/>
  <c r="AH139" i="9" s="1"/>
  <c r="D143" i="10"/>
  <c r="E124" i="10" l="1"/>
  <c r="E166" i="10" s="1"/>
  <c r="E169" i="10" s="1"/>
  <c r="D166" i="10"/>
  <c r="S120" i="9"/>
  <c r="AH120" i="9" l="1"/>
  <c r="S160" i="9"/>
  <c r="S169" i="9" s="1"/>
  <c r="C19" i="14"/>
  <c r="E18" i="12"/>
  <c r="AH160" i="9" l="1"/>
  <c r="AH169" i="9" s="1"/>
  <c r="F16" i="12"/>
  <c r="G15" i="12" s="1"/>
  <c r="G28" i="12" s="1"/>
  <c r="E28" i="12"/>
  <c r="D14" i="13"/>
  <c r="D25" i="13" s="1"/>
  <c r="D27" i="13" s="1"/>
  <c r="D43" i="11"/>
  <c r="D51" i="11" s="1"/>
  <c r="C17" i="14"/>
  <c r="C16" i="14" s="1"/>
  <c r="C29" i="14" s="1"/>
  <c r="H19" i="14"/>
  <c r="H17" i="14" s="1"/>
  <c r="H16" i="14" s="1"/>
  <c r="H29" i="14" s="1"/>
  <c r="F28" i="12" l="1"/>
  <c r="G30" i="12" l="1"/>
</calcChain>
</file>

<file path=xl/comments1.xml><?xml version="1.0" encoding="utf-8"?>
<comments xmlns="http://schemas.openxmlformats.org/spreadsheetml/2006/main">
  <authors>
    <author>NAVEGANTE</author>
  </authors>
  <commentList>
    <comment ref="A11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Intereses en Cta. De Ahorro al 31/12/2017.
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Int. Al 30/09/2017 $2097.05
Int. Del 01/10 al 31/12/2017 $2,751.27
Apertura de Cta. De Ahorro $20.00
Apertura de Cta. Cte. Proy. Const. De Plaza $5.00.</t>
        </r>
      </text>
    </comment>
  </commentList>
</comments>
</file>

<file path=xl/sharedStrings.xml><?xml version="1.0" encoding="utf-8"?>
<sst xmlns="http://schemas.openxmlformats.org/spreadsheetml/2006/main" count="1961" uniqueCount="767">
  <si>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</si>
  <si>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</si>
  <si>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</si>
  <si>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</si>
  <si>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</si>
  <si>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</si>
  <si>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</si>
  <si>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</si>
  <si>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</si>
  <si>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</si>
  <si>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</si>
  <si>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</si>
  <si>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</si>
  <si>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</si>
  <si>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</si>
  <si>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</si>
  <si>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</si>
  <si>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</si>
  <si>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</si>
  <si>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</si>
  <si>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</si>
  <si>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</si>
  <si>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</si>
  <si>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</si>
  <si>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</si>
  <si>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</si>
  <si>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</si>
  <si>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</si>
  <si>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</si>
  <si>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</si>
  <si>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</si>
  <si>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</si>
  <si>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</si>
  <si>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</si>
  <si>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</si>
  <si>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</si>
  <si>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</si>
  <si>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</si>
  <si>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</si>
  <si>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</si>
  <si>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</si>
  <si>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</si>
  <si>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</si>
  <si>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</si>
  <si>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</si>
  <si>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</si>
  <si>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</si>
  <si>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</si>
  <si>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</si>
  <si>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</si>
  <si>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</si>
  <si>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</si>
  <si>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</si>
  <si>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</si>
  <si>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</si>
  <si>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</si>
  <si>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</si>
  <si>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</si>
  <si>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</si>
  <si>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</si>
  <si>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</si>
  <si>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</si>
  <si>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</si>
  <si>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</si>
  <si>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</si>
  <si>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</si>
  <si>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</si>
  <si>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</si>
  <si>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</si>
  <si>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</si>
  <si>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</si>
  <si>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</si>
  <si>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</si>
  <si>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</si>
  <si>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</si>
  <si>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</si>
  <si>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</si>
  <si>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</si>
  <si>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</si>
  <si>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</si>
  <si>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</si>
  <si>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</si>
  <si>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</si>
  <si>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</si>
  <si>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</si>
  <si>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</si>
  <si>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</si>
  <si>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</si>
  <si>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</si>
  <si>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</si>
  <si>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</si>
  <si>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</si>
  <si>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</si>
  <si>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</si>
  <si>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</si>
  <si>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</si>
  <si>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</si>
  <si>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</si>
  <si>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</si>
  <si>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</si>
  <si>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</si>
  <si>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</si>
  <si>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</si>
  <si>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</si>
  <si>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</si>
  <si>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</si>
  <si>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</si>
  <si>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</si>
  <si>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</si>
  <si>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</si>
  <si>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</si>
  <si>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</si>
  <si>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</si>
  <si>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</si>
  <si>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</si>
  <si>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</si>
  <si>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</si>
  <si>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</si>
  <si>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</si>
  <si>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</si>
  <si>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</si>
  <si>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</si>
  <si>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</si>
  <si>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</si>
  <si>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</si>
  <si>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</si>
  <si>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</si>
  <si>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</si>
  <si>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</si>
  <si>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</si>
  <si>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</si>
  <si>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</si>
  <si>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</si>
  <si>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</si>
  <si>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</si>
  <si>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</si>
  <si>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</si>
  <si>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</si>
  <si>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</si>
  <si>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</si>
  <si>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</si>
  <si>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</si>
  <si>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</si>
  <si>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</si>
  <si>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</si>
  <si>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</si>
  <si>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</si>
  <si>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</si>
  <si>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</si>
  <si>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</si>
  <si>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</si>
  <si>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</si>
  <si>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</si>
  <si>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</si>
  <si>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</si>
  <si>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</si>
  <si>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</si>
  <si>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</si>
  <si>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</si>
  <si>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</si>
  <si>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</si>
  <si>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</si>
  <si>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</si>
  <si>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</si>
  <si>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</si>
  <si>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</si>
  <si>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</si>
  <si>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</si>
  <si>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</si>
  <si>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</si>
  <si>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</si>
  <si>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</si>
  <si>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</si>
  <si>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</si>
  <si>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</si>
  <si>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</si>
  <si>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</si>
  <si>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</si>
  <si>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</si>
  <si>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</si>
  <si>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</si>
  <si>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</si>
  <si>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</si>
  <si>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</si>
  <si>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</si>
  <si>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</si>
  <si>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</si>
  <si>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</si>
  <si>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</si>
  <si>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</si>
  <si>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</si>
  <si>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</si>
  <si>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</si>
  <si>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</si>
  <si>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</si>
  <si>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</si>
  <si>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</si>
  <si>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</si>
  <si>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</si>
  <si>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</si>
  <si>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</si>
  <si>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</si>
  <si>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</si>
  <si>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</si>
  <si>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</si>
  <si>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</si>
  <si>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</si>
  <si>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</si>
  <si>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</si>
  <si>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</si>
  <si>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</si>
  <si>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</si>
  <si>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</si>
  <si>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</si>
  <si>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</si>
  <si>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</si>
  <si>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</si>
  <si>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</si>
  <si>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</si>
  <si>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</si>
  <si>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</si>
  <si>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</si>
  <si>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</si>
  <si>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</si>
  <si>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</si>
  <si>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</si>
  <si>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</si>
  <si>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</si>
  <si>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</si>
  <si>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</si>
  <si>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</si>
  <si>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</si>
  <si>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</si>
  <si>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</si>
  <si>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</si>
  <si>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</si>
  <si>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</si>
  <si>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</si>
  <si>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</si>
  <si>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</si>
  <si>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</si>
  <si>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</si>
  <si>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</si>
  <si>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</si>
  <si>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</si>
  <si>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</si>
  <si>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</si>
  <si>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</si>
  <si>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</si>
  <si>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</si>
  <si>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</si>
  <si>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</si>
  <si>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</si>
  <si>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</si>
  <si>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</si>
  <si>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</si>
  <si>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</si>
  <si>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</si>
  <si>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</si>
  <si>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</si>
  <si>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</si>
  <si>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</si>
  <si>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</si>
  <si>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</si>
  <si>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</si>
  <si>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</si>
  <si>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</si>
  <si>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</si>
  <si>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</si>
  <si>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</si>
  <si>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</si>
  <si>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</si>
  <si>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</si>
  <si>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</si>
  <si>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</si>
  <si>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</si>
  <si>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</si>
  <si>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</si>
  <si>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</si>
  <si>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</si>
  <si>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</si>
  <si>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</si>
  <si>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</si>
  <si>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</si>
  <si>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</si>
  <si>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</si>
  <si>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</si>
  <si>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</si>
  <si>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</si>
  <si>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</si>
  <si>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</si>
  <si>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</si>
  <si>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</si>
  <si>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</si>
  <si>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</si>
  <si>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</si>
  <si>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</si>
  <si>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</si>
  <si>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</si>
  <si>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</si>
  <si>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</si>
  <si>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</si>
  <si>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</si>
  <si>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</si>
  <si>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</si>
  <si>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</si>
  <si>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</si>
  <si>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</si>
  <si>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</si>
  <si>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</si>
  <si>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</si>
  <si>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</si>
  <si>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</si>
  <si>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</si>
  <si>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</si>
  <si>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</si>
  <si>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</si>
  <si>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</si>
  <si>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</si>
  <si>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</si>
  <si>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</si>
  <si>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</si>
  <si>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</si>
  <si>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</si>
  <si>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</si>
  <si>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</si>
  <si>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</si>
  <si>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</si>
  <si>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</si>
  <si>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</si>
  <si>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</si>
  <si>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</si>
  <si>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</si>
  <si>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</si>
  <si>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</si>
  <si>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</si>
  <si>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</si>
  <si>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</si>
  <si>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</si>
  <si>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</si>
  <si>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</si>
  <si>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</si>
  <si>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</si>
  <si>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</si>
  <si>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</si>
  <si>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</si>
  <si>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</si>
  <si>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</si>
  <si>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</si>
  <si>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</si>
  <si>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</si>
  <si>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</si>
  <si>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</si>
  <si>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</si>
  <si>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</si>
  <si>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</si>
  <si>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</si>
  <si>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</si>
  <si>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</si>
  <si>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</si>
  <si>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</si>
  <si>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</si>
  <si>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</si>
  <si>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</si>
  <si>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</si>
  <si>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</si>
  <si>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</si>
  <si>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</si>
  <si>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</si>
  <si>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</si>
  <si>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</si>
  <si>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</si>
  <si>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</si>
  <si>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</si>
  <si>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</si>
  <si>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</si>
  <si>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</si>
  <si>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</si>
  <si>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</si>
  <si>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</si>
  <si>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</si>
  <si>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</si>
  <si>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</si>
  <si>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1er. Regidor Propietario</t>
  </si>
  <si>
    <t>2o. Regidor Suplente</t>
  </si>
  <si>
    <t>4o. Regidor Suplente</t>
  </si>
  <si>
    <t>Sub-Total Línea de Trabajo 0101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</si>
  <si>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</si>
  <si>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</si>
  <si>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</si>
  <si>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</si>
  <si>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</si>
  <si>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</si>
  <si>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</si>
  <si>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</si>
  <si>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</si>
  <si>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</si>
  <si>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</si>
  <si>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</si>
  <si>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</si>
  <si>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</si>
  <si>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</si>
  <si>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</si>
  <si>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</si>
  <si>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</si>
  <si>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</si>
  <si>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</si>
  <si>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</si>
  <si>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</si>
  <si>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</si>
  <si>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</si>
  <si>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</si>
  <si>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</si>
  <si>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</si>
  <si>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</si>
  <si>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</si>
  <si>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</si>
  <si>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</si>
  <si>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</si>
  <si>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</si>
  <si>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</si>
  <si>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</si>
  <si>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</si>
  <si>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</si>
  <si>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</si>
  <si>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</si>
  <si>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</si>
  <si>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</si>
  <si>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</si>
  <si>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CMAC</t>
  </si>
  <si>
    <t xml:space="preserve">Agentes </t>
  </si>
  <si>
    <t>Barrendero</t>
  </si>
  <si>
    <t>Motorista</t>
  </si>
  <si>
    <t>Operadores</t>
  </si>
  <si>
    <t>Fontaneros y Valvuleros</t>
  </si>
  <si>
    <t>TOTAL LINEAS</t>
  </si>
  <si>
    <t>TOTAL UNIDAD PRESUPUESTARIA 01:</t>
  </si>
  <si>
    <t>FISDL</t>
  </si>
  <si>
    <t>ARRENDAMIENTOS DE BIENES</t>
  </si>
  <si>
    <t>Encargada de Proyectos</t>
  </si>
  <si>
    <t>Clinica Municipal</t>
  </si>
  <si>
    <t>FSDL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</si>
  <si>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</si>
  <si>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</si>
  <si>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</si>
  <si>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</si>
  <si>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</si>
  <si>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</si>
  <si>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</si>
  <si>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</si>
  <si>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</si>
  <si>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</si>
  <si>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</si>
  <si>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</si>
  <si>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</si>
  <si>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</si>
  <si>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</si>
  <si>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</si>
  <si>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</si>
  <si>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</si>
  <si>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</si>
  <si>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</si>
  <si>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</si>
  <si>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</si>
  <si>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</si>
  <si>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</si>
  <si>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</si>
  <si>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</si>
  <si>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</si>
  <si>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</si>
  <si>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De Salud y Saneamiento Ambiental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</si>
  <si>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</si>
  <si>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</si>
  <si>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</si>
  <si>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</si>
  <si>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</si>
  <si>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</si>
  <si>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</si>
  <si>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</si>
  <si>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</si>
  <si>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</si>
  <si>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</si>
  <si>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</si>
  <si>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</si>
  <si>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</si>
  <si>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</si>
  <si>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</si>
  <si>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</si>
  <si>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</si>
  <si>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</si>
  <si>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</si>
  <si>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TOTAL INVERSIÓN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</si>
  <si>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</si>
  <si>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</si>
  <si>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</si>
  <si>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</si>
  <si>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</si>
  <si>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</si>
  <si>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Proyectos y Programas de Inversión Diversos</t>
  </si>
  <si>
    <t>Viales</t>
  </si>
  <si>
    <t>Obras de Infraestructura Diversas</t>
  </si>
  <si>
    <t>Bienes Muebles</t>
  </si>
  <si>
    <t>CONSULTORÍAS, ESTUDIOS E INVESTIGACIONES DIVERSAS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</si>
  <si>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</si>
  <si>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</si>
  <si>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</si>
  <si>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</si>
  <si>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</si>
  <si>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</si>
  <si>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</si>
  <si>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</si>
  <si>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</si>
  <si>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</si>
  <si>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</si>
  <si>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</si>
  <si>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</si>
  <si>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</si>
  <si>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</si>
  <si>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</si>
  <si>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</si>
  <si>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</si>
  <si>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</si>
  <si>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</si>
  <si>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</si>
  <si>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</si>
  <si>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</si>
  <si>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</si>
  <si>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</si>
  <si>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</si>
  <si>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</si>
  <si>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</si>
  <si>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</si>
  <si>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</si>
  <si>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</si>
  <si>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</si>
  <si>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</si>
  <si>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</si>
  <si>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</si>
  <si>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</si>
  <si>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</si>
  <si>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</si>
  <si>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</si>
  <si>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</si>
  <si>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</si>
  <si>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</si>
  <si>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</si>
  <si>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</si>
  <si>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</si>
  <si>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</si>
  <si>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</si>
  <si>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</si>
  <si>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</si>
  <si>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</si>
  <si>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</si>
  <si>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</si>
  <si>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</si>
  <si>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</si>
  <si>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</si>
  <si>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</si>
  <si>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</si>
  <si>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</si>
  <si>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</si>
  <si>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INVERSION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</si>
  <si>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</si>
  <si>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</si>
  <si>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</si>
  <si>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</si>
  <si>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</si>
  <si>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</si>
  <si>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</si>
  <si>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</si>
  <si>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</si>
  <si>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</si>
  <si>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</si>
  <si>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</si>
  <si>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</si>
  <si>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</si>
  <si>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</si>
  <si>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Agua Potable</t>
  </si>
  <si>
    <t>3a. Regidor Propietaria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</si>
  <si>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</si>
  <si>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</si>
  <si>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</si>
  <si>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</si>
  <si>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</si>
  <si>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</si>
  <si>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</si>
  <si>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</si>
  <si>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</si>
  <si>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</si>
  <si>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</si>
  <si>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SALDO INICIAL EN BANCO</t>
  </si>
  <si>
    <t xml:space="preserve">PRESTACIONES </t>
  </si>
  <si>
    <t>UM</t>
  </si>
  <si>
    <t>Enc. Unidad de Niñez, Adolescencia, Juventud y Casa de la Cultura</t>
  </si>
  <si>
    <t>U. de Niñez, Adoles., Juv. y Casa de la Cultura</t>
  </si>
  <si>
    <t>Plaza</t>
  </si>
  <si>
    <t>Unidad</t>
  </si>
  <si>
    <t>DES. ECON.</t>
  </si>
  <si>
    <t>CÓDIGO</t>
  </si>
  <si>
    <t>EN DÓLARES DE LOS ESTADOS UNIDOS DE AMERICA</t>
  </si>
  <si>
    <t>Proy. de uso privativos</t>
  </si>
  <si>
    <t>Proyectos de Desarrollo  Social</t>
  </si>
  <si>
    <t>TRANSF. CTES. AL SECTOR PUB. (COMURES, CDA, INSAFORP)</t>
  </si>
  <si>
    <t>Otros Proyectos y programas.</t>
  </si>
  <si>
    <t>Proyeccion Social</t>
  </si>
  <si>
    <t>Unidad Ambiental</t>
  </si>
  <si>
    <t>Enc. De Catastro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</si>
  <si>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</si>
  <si>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</si>
  <si>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</si>
  <si>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</si>
  <si>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</si>
  <si>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</si>
  <si>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</si>
  <si>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</si>
  <si>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</si>
  <si>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</si>
  <si>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</si>
  <si>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</si>
  <si>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4a. Regidor Propietaria</t>
  </si>
  <si>
    <t>5o. Regidor Propietario</t>
  </si>
  <si>
    <t>6o. Regidor Propietaria</t>
  </si>
  <si>
    <t>1er. Regidor Suplente</t>
  </si>
  <si>
    <t>3ra. Regidor Suplente</t>
  </si>
  <si>
    <t>Médico Gral. De Clinica Municipal</t>
  </si>
  <si>
    <t>Enc. De la Unidad de la Mujer</t>
  </si>
  <si>
    <t>Promotora Social</t>
  </si>
  <si>
    <t>Enc. de UACI</t>
  </si>
  <si>
    <t>Asesor Jurídico</t>
  </si>
  <si>
    <t>2a. Regidor Propietaria</t>
  </si>
  <si>
    <t>BENEFICIO ADICIONAL</t>
  </si>
  <si>
    <t>Por Plaza</t>
  </si>
  <si>
    <t>Sub- Total Linea 01:</t>
  </si>
  <si>
    <t>Sub- Total Linea 02:</t>
  </si>
  <si>
    <t>Transf. Ctes.</t>
  </si>
  <si>
    <t>Ingresos</t>
  </si>
  <si>
    <t>Bonificaciones</t>
  </si>
  <si>
    <t>Beneficios adicionales</t>
  </si>
  <si>
    <t>0502</t>
  </si>
  <si>
    <t>Amort.  Endeud. Púb.</t>
  </si>
  <si>
    <t>Amort.  Intereses</t>
  </si>
  <si>
    <t>CUENTAS POR PAGAR DE AÑOS ANT. GTOS. CTES.</t>
  </si>
  <si>
    <t>Eléctricas y Comunicaciones</t>
  </si>
  <si>
    <t>AMORTIZACIÓN DE INTERESES</t>
  </si>
  <si>
    <t>51102</t>
  </si>
  <si>
    <t>MEDICOS HOSPITALARIOS</t>
  </si>
  <si>
    <t>Registro del Estado Familiar, Ordenanzas, Clínica Municipal, Casa de la cultura, Unidad de la Mujer, Unidad de la  Niñez,  Adolescencia y Juventud, Unidad Contravencional, , Oficina Municipal de Apoyo a la Discapacidad.</t>
  </si>
  <si>
    <t>Encargado de la Unidad OMADIS.</t>
  </si>
  <si>
    <t>INSAFORP</t>
  </si>
  <si>
    <t>25% FODES</t>
  </si>
  <si>
    <t>FONDO PROPIO</t>
  </si>
  <si>
    <t>AFP</t>
  </si>
  <si>
    <t>No. MESES</t>
  </si>
  <si>
    <t>Enc. De LA Oficina Municipal de Apoyo a las Personas con Discapacidad.</t>
  </si>
  <si>
    <t>PRODUCTOS  DE CUERO Y CAUCHO</t>
  </si>
  <si>
    <t>Proy. Des. Econ.</t>
  </si>
  <si>
    <t>DES. SOC.</t>
  </si>
  <si>
    <t>Infraestructuras</t>
  </si>
  <si>
    <t>Seguridad Social Púb.</t>
  </si>
  <si>
    <t>EJERCICIO FISCAL: 2 0 1 8</t>
  </si>
  <si>
    <t>Intereses por prestamos.</t>
  </si>
  <si>
    <t>ALCALDIA MUNICIPAL DE VILLA EL CARMEN
DEPARTAMENTO DE CUSCATLAN
PROGRAMACIÓN DE INGRESOS REALES 2018</t>
  </si>
  <si>
    <t>Unidad Abiental</t>
  </si>
  <si>
    <t>Unidad de Gestión de Riesgo</t>
  </si>
  <si>
    <t>Jefe del CMAC (Ad-honorem)</t>
  </si>
  <si>
    <t>Adm. del Proyecto de Agua Potable</t>
  </si>
  <si>
    <t>Jeje Operador</t>
  </si>
  <si>
    <t>Proyección de Recursos Humanos para el Año 2018</t>
  </si>
  <si>
    <t>ALCALDIA MUNICIPAL DE VILLA EL CARMEN
DEPARTAMENTO DE CUSCATLAN
PLANILLA POR CONTRATO
AÑO: 2018</t>
  </si>
  <si>
    <t>AGUINALDO</t>
  </si>
  <si>
    <t xml:space="preserve">Dietas </t>
  </si>
  <si>
    <t>Gastos de Representación</t>
  </si>
  <si>
    <t>Salarios</t>
  </si>
  <si>
    <t>50% del 25% FODES</t>
  </si>
  <si>
    <t>FORMA DE PAGO SALARIOS AÑO 2018</t>
  </si>
  <si>
    <t>Horas Extras</t>
  </si>
  <si>
    <t>Bonif. CBI</t>
  </si>
  <si>
    <t>Indemnizaciones</t>
  </si>
  <si>
    <t>AÑO 2018</t>
  </si>
  <si>
    <t>BONIFICA-
CIONES</t>
  </si>
  <si>
    <t>EJERCICIO FINANCIERO FISCAL: 2018</t>
  </si>
  <si>
    <t>Año 2018</t>
  </si>
  <si>
    <t>Diferencia Ingresos - Egresos</t>
  </si>
  <si>
    <t>ALCALDIA MUNICIPAL DE VILLA EL CARMEN, DEPARTAMENTO DE CUSCATLAN,  PRESUPUESTO DE EGRESOS APROBADO PARA EL AÑO 2018</t>
  </si>
  <si>
    <t>Diferencia Ingresos -Egresos</t>
  </si>
  <si>
    <t>3-463</t>
  </si>
  <si>
    <t>4 CUOTAS</t>
  </si>
  <si>
    <t>VEHICULO</t>
  </si>
  <si>
    <t>10-960</t>
  </si>
  <si>
    <t>12 CUOTAS</t>
  </si>
  <si>
    <t>FIDELIDAD Y/O FONDOS</t>
  </si>
  <si>
    <t>INCENDIO</t>
  </si>
  <si>
    <t>EJERCICIO FINANCIERO FISCAL: DEL 01 DE ENERO AL 31 DE DICIEMBRE DE 2018</t>
  </si>
  <si>
    <t>611 04</t>
  </si>
  <si>
    <t>612 02</t>
  </si>
  <si>
    <t>615 99</t>
  </si>
  <si>
    <t>616 01</t>
  </si>
  <si>
    <t>616 02</t>
  </si>
  <si>
    <t>616 03</t>
  </si>
  <si>
    <t>616 04</t>
  </si>
  <si>
    <t>616 06</t>
  </si>
  <si>
    <t>616 99</t>
  </si>
  <si>
    <t>Adquisición de Equipo Informático y de Oficina 2018.</t>
  </si>
  <si>
    <t>Reparaciones y Mejoras al Edificio y Parque Municipal 2018.</t>
  </si>
  <si>
    <t>5% FODES, Preinversión 2017.</t>
  </si>
  <si>
    <t>5% Preinversión FODES 2018.</t>
  </si>
  <si>
    <t>Instalación de Paradas de Autobuses en zona urbana del Municipio.</t>
  </si>
  <si>
    <t>Obras de Mitigación de Riesgo 2017.</t>
  </si>
  <si>
    <t>Consultorio Medico Municipal Dr. David Humberto Hernández Sánchez. 2018.</t>
  </si>
  <si>
    <t>Recolección, Transporte y Disposición Final de  Desechos  Sólidos del Municipio 2018.</t>
  </si>
  <si>
    <t>Ampliación y Mejoras del Sistema de  Agua Potable en Diferentes Sectores del Municipio 2018.</t>
  </si>
  <si>
    <t>Instalación de Medidores en Sistemas de Agua Potable del Municipio.</t>
  </si>
  <si>
    <t>Fortalecimiento a la Educación 2018.</t>
  </si>
  <si>
    <t>Escuela de Fútbol Municipal y Apoyo al Deporte 2018.</t>
  </si>
  <si>
    <t>Programa de la Niñez, Adolescencia y Juventud 2018.</t>
  </si>
  <si>
    <t>Casa de La Cultura 2018.</t>
  </si>
  <si>
    <t>Fiestas Patronales y Sectoriales 2018.</t>
  </si>
  <si>
    <t>Mejoramiento de Calle de Acceso y Cancha de Fútbol de Cantón el Carmen, El Carmen, Cuscatlán.</t>
  </si>
  <si>
    <t>Contraparte a Proyectos de Construcción de Viviendas Permanentes con diferentes Instituciones 2017.</t>
  </si>
  <si>
    <t>Mejoras de Viviendas Permanentes y Construcción de Viviendas Temporales 2018.</t>
  </si>
  <si>
    <t>Instalación del Servicio de Energía Eléctrica para familias en diferentes sectores del Municipio Villa El Carmen, Cuscatlán 2017.</t>
  </si>
  <si>
    <t>Instalacion del servicio de Energia Electrica para Familias en  diferentes Sectores del Municipio 2018.</t>
  </si>
  <si>
    <t>Ampliación y Mejoras de Alumbrado Publico en diferentes Sectores del Municipio.</t>
  </si>
  <si>
    <t>Unidad de la Mujer 2018</t>
  </si>
  <si>
    <t>Fortalecimiento al Sector Agrícola, Villa El Carmen, Cuscatlán 2018</t>
  </si>
  <si>
    <t>Inversiones en Activos Fijos</t>
  </si>
  <si>
    <t>Equipos Infórmáticos</t>
  </si>
  <si>
    <t>Bienes Inmuebles</t>
  </si>
  <si>
    <t>Estudios de Preinversión</t>
  </si>
  <si>
    <t>Campañas de Limpieza, Reforestacion y Divulgacion de Normativa Forestal  para la Protección de Recursos Naturales en el Municipio.</t>
  </si>
  <si>
    <t>De Vivienda y Oficina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</si>
  <si>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2018</t>
    </r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</si>
  <si>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2018</t>
    </r>
  </si>
  <si>
    <t>Concreteado de Calle de Caserio La Lateada, Cantón Candelaria, Villa El Carmen, Cuscatlán.</t>
  </si>
  <si>
    <t>Concreteado de Calle a la Bomba, Cantón San Antonio, Villa El Carmen, Cuscatlán.</t>
  </si>
  <si>
    <t>Concreteado de Tramo de Calle al Puente, Ba. El Centro, Villa El Carmen Cuscatlán.</t>
  </si>
  <si>
    <t>Construcción de Rampas en Autopísta, Comunidad Vista Hermosa, Cantón Concepción.</t>
  </si>
  <si>
    <t>Reparación de Concreto de Calle a Comunidad Vista Hermosa, Cantón Concepción.</t>
  </si>
  <si>
    <t>Concreteado de Pasaje Washington, Barrio El Centro, Villa El Carmen, Cuscatlán.</t>
  </si>
  <si>
    <t>Concreteado de Calle Sector El Calvario, Cantón San Antonio, Villa El Carmen, Cuscatlán.</t>
  </si>
  <si>
    <t>Concreteado de Calle Las Pilas a Poste Riel Km 39, Canton Santa Lucia. II Etapa.</t>
  </si>
  <si>
    <t>Mejoramiento de Calle a Río Mucuyo y Obras de Protección en Cancha Cantón El Carmen.</t>
  </si>
  <si>
    <t>Saldo de Años Anteriores</t>
  </si>
  <si>
    <t>Cuentas por Pagar de Años Anteriores Gastos Corrientes</t>
  </si>
  <si>
    <t>El Carmen/855-FDO.GENERAL-Infraestruc. Social-2017/ Concret. De Calle hacia Centro Esc. Com. Vista Hermosa, Ctón. Concepción.</t>
  </si>
  <si>
    <t>Pavimentacion de Calle a Candelaria y Sectores, Villa El Carmen Cuscatlan.</t>
  </si>
  <si>
    <t>Pavimentacion de Calle a Sector La Joya de Canton San Antonio, Villa El Carmen, Cuscatlan.</t>
  </si>
  <si>
    <t>Polideportivo Villa El Carmen Fase III, Villa El Carmen, Cuscatlan.</t>
  </si>
  <si>
    <t>Construcción de Plaza La Señora del Carmen, Villa El Carmen, Cuscatlan.</t>
  </si>
  <si>
    <t>Perforación de Fozo, Equipamiento y Conexion a Sistema de Agua Potable Múltiple, Villa El Carmen, Cuscatlán.</t>
  </si>
  <si>
    <t>Ejercicio Financiero Fiscal: 2018</t>
  </si>
  <si>
    <t>EJERCICIO FISCAL 2018</t>
  </si>
  <si>
    <t>Concejo, Alcaldesa, Secretaria Municipal, Secretaria del Despacho, Sindicatura, Auditoria Interna, Comunicaciones, Unidad de Acceso a la Información Publica,  Proyección Social, Motorista.</t>
  </si>
  <si>
    <t>Tesorería, Contabilidad, Cuentas Corrientes, Catastro, UACI, Colecturía, Proyectos.</t>
  </si>
  <si>
    <t>CMAC, Servicios Generales, Agua Potable, Medio Ambiental y Gestión de Riesgo.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</si>
  <si>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</si>
  <si>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Total Línea de Trabajo</t>
  </si>
  <si>
    <t>SALDO INICIAL EN CAJA</t>
  </si>
  <si>
    <t>Remodelacion Para Centro de Alcance de Prevención de la Violencia en Jóvenes de Villa El Carmen, Cuscatlán.</t>
  </si>
  <si>
    <t>Implementación de Proyecto de Reciclaje, Manejo de Desechos y Divulgación de Normativa Ambiental en el Municipio.</t>
  </si>
  <si>
    <t>Construcción de Aulas Provisionales para Bachillerato  en Complejo Educativo Rafael Barraza Rodriguez.</t>
  </si>
  <si>
    <t>Concreteado de Calles en Sectores de Cantón La Paz, El Carmen, Cuscatlán.</t>
  </si>
  <si>
    <t>Construcción de muros en diferentes Sectores del Municipio.</t>
  </si>
  <si>
    <t>Concreteado de Calle al Conacaste, Canton La paz.</t>
  </si>
  <si>
    <t>Concreteado de Calle a la Escuela, Cantón San Sebastian.</t>
  </si>
  <si>
    <t xml:space="preserve">Concreteado de Franjas de Calle  al Polideportivo Villa El Carmen, Cuscaltán.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</si>
</sst>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  <numFmt numFmtId="175" formatCode="0.0000"/>
    <numFmt numFmtId="176" formatCode="#,##0.000000000000"/>
    <numFmt numFmtId="177" formatCode="_-[$$-440A]* #,##0.00_-;\-[$$-440A]* #,##0.00_-;_-[$$-440A]* &quot;-&quot;??_-;_-@_-"/>
    <numFmt numFmtId="178" formatCode="_([$$-440A]* #,##0.00000_);_([$$-440A]* \(#,##0.00000\);_([$$-440A]* &quot;-&quot;??_);_(@_)"/>
    <numFmt numFmtId="179" formatCode="_([$$-409]* #,##0.000_);_([$$-409]* \(#,##0.000\);_([$$-409]* &quot;-&quot;??_);_(@_)"/>
    <numFmt numFmtId="180" formatCode="0.000"/>
    <numFmt numFmtId="181" formatCode="#,##0.000000000"/>
  </numFmts>
  <fonts count="75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22" borderId="0" applyNumberFormat="0" applyBorder="0" applyAlignment="0" applyProtection="0"/>
    <xf numFmtId="0" fontId="4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23" borderId="4" applyNumberFormat="0" applyFont="0" applyAlignment="0" applyProtection="0"/>
  </cellStyleXfs>
  <cellXfs count="148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/>
    <xf numFmtId="4" fontId="2" fillId="0" borderId="0" xfId="31" applyNumberFormat="1" applyFont="1" applyFill="1" applyBorder="1" applyAlignment="1">
      <alignment horizontal="left" vertical="center"/>
    </xf>
    <xf numFmtId="167" fontId="0" fillId="0" borderId="0" xfId="0" applyNumberFormat="1" applyFill="1"/>
    <xf numFmtId="165" fontId="0" fillId="0" borderId="0" xfId="0" applyNumberFormat="1" applyFill="1"/>
    <xf numFmtId="49" fontId="8" fillId="0" borderId="12" xfId="31" applyNumberFormat="1" applyFont="1" applyFill="1" applyBorder="1" applyAlignment="1">
      <alignment horizontal="left"/>
    </xf>
    <xf numFmtId="167" fontId="2" fillId="0" borderId="10" xfId="34" applyNumberFormat="1" applyFill="1" applyBorder="1" applyAlignment="1"/>
    <xf numFmtId="167" fontId="3" fillId="0" borderId="10" xfId="34" applyNumberFormat="1" applyFont="1" applyFill="1" applyBorder="1" applyAlignment="1"/>
    <xf numFmtId="167" fontId="0" fillId="0" borderId="10" xfId="0" applyNumberFormat="1" applyFill="1" applyBorder="1" applyAlignment="1"/>
    <xf numFmtId="167" fontId="3" fillId="0" borderId="18" xfId="0" applyNumberFormat="1" applyFont="1" applyFill="1" applyBorder="1" applyAlignment="1">
      <alignment vertical="center"/>
    </xf>
    <xf numFmtId="167" fontId="3" fillId="0" borderId="10" xfId="0" quotePrefix="1" applyNumberFormat="1" applyFont="1" applyFill="1" applyBorder="1" applyAlignment="1">
      <alignment wrapText="1"/>
    </xf>
    <xf numFmtId="168" fontId="0" fillId="0" borderId="0" xfId="0" applyNumberFormat="1" applyFill="1"/>
    <xf numFmtId="167" fontId="3" fillId="0" borderId="0" xfId="0" applyNumberFormat="1" applyFont="1" applyFill="1"/>
    <xf numFmtId="167" fontId="3" fillId="0" borderId="10" xfId="0" applyNumberFormat="1" applyFont="1" applyFill="1" applyBorder="1" applyAlignment="1"/>
    <xf numFmtId="0" fontId="0" fillId="0" borderId="0" xfId="0" applyFill="1" applyBorder="1"/>
    <xf numFmtId="0" fontId="0" fillId="0" borderId="0" xfId="0" applyAlignment="1">
      <alignment horizontal="left"/>
    </xf>
    <xf numFmtId="4" fontId="3" fillId="0" borderId="0" xfId="31" applyNumberFormat="1" applyFont="1" applyBorder="1"/>
    <xf numFmtId="4" fontId="4" fillId="0" borderId="22" xfId="31" applyNumberFormat="1" applyFont="1" applyBorder="1"/>
    <xf numFmtId="0" fontId="0" fillId="0" borderId="24" xfId="0" applyBorder="1" applyAlignment="1">
      <alignment horizontal="left"/>
    </xf>
    <xf numFmtId="0" fontId="3" fillId="0" borderId="24" xfId="0" applyFont="1" applyBorder="1" applyAlignment="1">
      <alignment horizontal="left"/>
    </xf>
    <xf numFmtId="4" fontId="3" fillId="0" borderId="22" xfId="31" applyNumberFormat="1" applyFont="1" applyBorder="1"/>
    <xf numFmtId="0" fontId="3" fillId="0" borderId="22" xfId="0" applyFont="1" applyBorder="1"/>
    <xf numFmtId="0" fontId="3" fillId="0" borderId="0" xfId="0" applyFont="1" applyBorder="1" applyAlignment="1">
      <alignment horizontal="left"/>
    </xf>
    <xf numFmtId="167" fontId="3" fillId="0" borderId="0" xfId="31" applyNumberFormat="1" applyFont="1" applyBorder="1" applyAlignment="1">
      <alignment horizontal="right"/>
    </xf>
    <xf numFmtId="0" fontId="4" fillId="0" borderId="0" xfId="0" applyFont="1"/>
    <xf numFmtId="0" fontId="0" fillId="0" borderId="25" xfId="0" applyBorder="1" applyAlignment="1">
      <alignment horizontal="left"/>
    </xf>
    <xf numFmtId="4" fontId="4" fillId="0" borderId="26" xfId="31" applyNumberFormat="1" applyFont="1" applyBorder="1"/>
    <xf numFmtId="4" fontId="4" fillId="0" borderId="27" xfId="31" applyNumberFormat="1" applyFont="1" applyBorder="1"/>
    <xf numFmtId="4" fontId="2" fillId="0" borderId="26" xfId="31" applyNumberFormat="1" applyFont="1" applyBorder="1"/>
    <xf numFmtId="4" fontId="4" fillId="0" borderId="21" xfId="31" applyNumberFormat="1" applyFont="1" applyBorder="1"/>
    <xf numFmtId="0" fontId="0" fillId="0" borderId="22" xfId="0" applyBorder="1"/>
    <xf numFmtId="4" fontId="8" fillId="0" borderId="22" xfId="0" applyNumberFormat="1" applyFont="1" applyBorder="1"/>
    <xf numFmtId="4" fontId="7" fillId="0" borderId="22" xfId="0" applyNumberFormat="1" applyFont="1" applyBorder="1"/>
    <xf numFmtId="0" fontId="12" fillId="0" borderId="24" xfId="0" applyFont="1" applyBorder="1" applyAlignment="1">
      <alignment horizontal="left"/>
    </xf>
    <xf numFmtId="0" fontId="9" fillId="0" borderId="22" xfId="0" applyFont="1" applyBorder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 applyAlignment="1">
      <alignment horizontal="left"/>
    </xf>
    <xf numFmtId="0" fontId="3" fillId="0" borderId="30" xfId="0" applyFont="1" applyBorder="1" applyAlignment="1">
      <alignment horizontal="center"/>
    </xf>
    <xf numFmtId="4" fontId="0" fillId="0" borderId="0" xfId="0" applyNumberFormat="1"/>
    <xf numFmtId="4" fontId="2" fillId="0" borderId="0" xfId="31" applyNumberFormat="1"/>
    <xf numFmtId="4" fontId="3" fillId="0" borderId="0" xfId="31" applyNumberFormat="1" applyFont="1"/>
    <xf numFmtId="49" fontId="2" fillId="0" borderId="0" xfId="31" applyNumberFormat="1" applyAlignment="1">
      <alignment horizontal="left"/>
    </xf>
    <xf numFmtId="167" fontId="3" fillId="0" borderId="0" xfId="31" applyNumberFormat="1" applyFont="1" applyFill="1" applyBorder="1"/>
    <xf numFmtId="4" fontId="2" fillId="0" borderId="0" xfId="31" applyNumberFormat="1" applyBorder="1"/>
    <xf numFmtId="167" fontId="4" fillId="0" borderId="1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wrapText="1"/>
    </xf>
    <xf numFmtId="165" fontId="4" fillId="0" borderId="0" xfId="36" applyFont="1" applyFill="1" applyBorder="1"/>
    <xf numFmtId="165" fontId="3" fillId="0" borderId="0" xfId="36" applyFont="1" applyFill="1" applyBorder="1"/>
    <xf numFmtId="164" fontId="0" fillId="0" borderId="0" xfId="37" applyFont="1" applyFill="1"/>
    <xf numFmtId="165" fontId="0" fillId="0" borderId="0" xfId="33" applyFont="1"/>
    <xf numFmtId="4" fontId="3" fillId="0" borderId="0" xfId="0" applyNumberFormat="1" applyFont="1" applyFill="1"/>
    <xf numFmtId="165" fontId="0" fillId="0" borderId="0" xfId="0" applyNumberFormat="1"/>
    <xf numFmtId="164" fontId="0" fillId="0" borderId="0" xfId="37" applyFont="1"/>
    <xf numFmtId="43" fontId="0" fillId="0" borderId="0" xfId="0" applyNumberFormat="1"/>
    <xf numFmtId="49" fontId="3" fillId="0" borderId="41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0" fillId="0" borderId="20" xfId="0" applyFill="1" applyBorder="1"/>
    <xf numFmtId="49" fontId="3" fillId="0" borderId="20" xfId="0" applyNumberFormat="1" applyFont="1" applyFill="1" applyBorder="1" applyAlignment="1">
      <alignment horizontal="center"/>
    </xf>
    <xf numFmtId="0" fontId="3" fillId="0" borderId="43" xfId="0" applyFont="1" applyFill="1" applyBorder="1"/>
    <xf numFmtId="49" fontId="4" fillId="0" borderId="20" xfId="0" applyNumberFormat="1" applyFont="1" applyFill="1" applyBorder="1" applyAlignment="1">
      <alignment horizontal="center"/>
    </xf>
    <xf numFmtId="0" fontId="4" fillId="0" borderId="43" xfId="0" applyFont="1" applyFill="1" applyBorder="1"/>
    <xf numFmtId="49" fontId="4" fillId="0" borderId="44" xfId="0" applyNumberFormat="1" applyFont="1" applyFill="1" applyBorder="1" applyAlignment="1">
      <alignment horizontal="center"/>
    </xf>
    <xf numFmtId="0" fontId="4" fillId="0" borderId="45" xfId="0" applyFont="1" applyFill="1" applyBorder="1"/>
    <xf numFmtId="43" fontId="0" fillId="0" borderId="0" xfId="0" applyNumberFormat="1" applyFill="1"/>
    <xf numFmtId="0" fontId="3" fillId="0" borderId="43" xfId="0" applyFont="1" applyFill="1" applyBorder="1" applyAlignment="1">
      <alignment horizontal="left"/>
    </xf>
    <xf numFmtId="49" fontId="0" fillId="0" borderId="0" xfId="0" applyNumberFormat="1" applyFill="1"/>
    <xf numFmtId="0" fontId="0" fillId="24" borderId="0" xfId="0" applyFill="1"/>
    <xf numFmtId="0" fontId="3" fillId="25" borderId="46" xfId="0" applyFont="1" applyFill="1" applyBorder="1"/>
    <xf numFmtId="0" fontId="0" fillId="25" borderId="10" xfId="0" applyFill="1" applyBorder="1"/>
    <xf numFmtId="49" fontId="3" fillId="25" borderId="10" xfId="0" applyNumberFormat="1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167" fontId="0" fillId="0" borderId="52" xfId="0" applyNumberFormat="1" applyFill="1" applyBorder="1" applyAlignment="1"/>
    <xf numFmtId="167" fontId="3" fillId="0" borderId="54" xfId="0" applyNumberFormat="1" applyFont="1" applyFill="1" applyBorder="1"/>
    <xf numFmtId="0" fontId="3" fillId="0" borderId="53" xfId="0" applyFont="1" applyBorder="1" applyAlignment="1">
      <alignment horizontal="left"/>
    </xf>
    <xf numFmtId="0" fontId="17" fillId="0" borderId="30" xfId="0" applyFont="1" applyBorder="1" applyAlignment="1">
      <alignment horizontal="left" vertical="justify" wrapText="1"/>
    </xf>
    <xf numFmtId="0" fontId="3" fillId="25" borderId="57" xfId="0" applyFont="1" applyFill="1" applyBorder="1" applyAlignment="1">
      <alignment horizontal="center" vertical="center" wrapText="1"/>
    </xf>
    <xf numFmtId="0" fontId="3" fillId="25" borderId="58" xfId="0" applyFont="1" applyFill="1" applyBorder="1" applyAlignment="1">
      <alignment horizontal="center" vertical="center" wrapText="1"/>
    </xf>
    <xf numFmtId="0" fontId="3" fillId="25" borderId="59" xfId="0" applyFont="1" applyFill="1" applyBorder="1" applyAlignment="1">
      <alignment horizontal="center" vertical="center" wrapText="1"/>
    </xf>
    <xf numFmtId="0" fontId="3" fillId="25" borderId="61" xfId="0" applyFont="1" applyFill="1" applyBorder="1"/>
    <xf numFmtId="49" fontId="0" fillId="25" borderId="62" xfId="0" applyNumberFormat="1" applyFill="1" applyBorder="1"/>
    <xf numFmtId="0" fontId="3" fillId="25" borderId="63" xfId="0" applyFont="1" applyFill="1" applyBorder="1"/>
    <xf numFmtId="0" fontId="0" fillId="25" borderId="63" xfId="0" applyFill="1" applyBorder="1"/>
    <xf numFmtId="0" fontId="18" fillId="25" borderId="64" xfId="0" applyFont="1" applyFill="1" applyBorder="1" applyAlignment="1">
      <alignment horizontal="left" vertical="justify" wrapText="1"/>
    </xf>
    <xf numFmtId="49" fontId="0" fillId="25" borderId="65" xfId="0" applyNumberFormat="1" applyFill="1" applyBorder="1"/>
    <xf numFmtId="0" fontId="0" fillId="0" borderId="0" xfId="0" applyAlignment="1">
      <alignment horizontal="center"/>
    </xf>
    <xf numFmtId="0" fontId="3" fillId="0" borderId="3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38" fillId="0" borderId="0" xfId="0" applyFont="1"/>
    <xf numFmtId="0" fontId="38" fillId="0" borderId="0" xfId="0" applyFont="1" applyFill="1" applyBorder="1"/>
    <xf numFmtId="8" fontId="38" fillId="0" borderId="0" xfId="0" applyNumberFormat="1" applyFont="1" applyFill="1" applyBorder="1" applyAlignment="1">
      <alignment horizontal="center"/>
    </xf>
    <xf numFmtId="0" fontId="38" fillId="0" borderId="0" xfId="0" applyFont="1" applyFill="1"/>
    <xf numFmtId="0" fontId="13" fillId="0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4" fontId="0" fillId="0" borderId="0" xfId="0" applyNumberFormat="1" applyFill="1"/>
    <xf numFmtId="167" fontId="3" fillId="0" borderId="0" xfId="31" applyNumberFormat="1" applyFont="1" applyFill="1" applyBorder="1" applyAlignment="1">
      <alignment horizontal="right"/>
    </xf>
    <xf numFmtId="0" fontId="3" fillId="0" borderId="47" xfId="0" applyFont="1" applyFill="1" applyBorder="1" applyAlignment="1">
      <alignment horizontal="center" vertical="center" wrapText="1"/>
    </xf>
    <xf numFmtId="0" fontId="46" fillId="0" borderId="33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44" fillId="0" borderId="55" xfId="0" applyFont="1" applyBorder="1" applyAlignment="1">
      <alignment horizontal="center" wrapText="1"/>
    </xf>
    <xf numFmtId="0" fontId="3" fillId="0" borderId="6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4" fillId="0" borderId="51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0" fontId="4" fillId="0" borderId="10" xfId="0" applyFont="1" applyFill="1" applyBorder="1" applyAlignment="1">
      <alignment vertical="center" wrapText="1"/>
    </xf>
    <xf numFmtId="8" fontId="4" fillId="0" borderId="46" xfId="0" applyNumberFormat="1" applyFont="1" applyFill="1" applyBorder="1" applyAlignment="1">
      <alignment horizontal="center"/>
    </xf>
    <xf numFmtId="8" fontId="4" fillId="0" borderId="68" xfId="0" applyNumberFormat="1" applyFont="1" applyFill="1" applyBorder="1" applyAlignment="1">
      <alignment horizontal="center"/>
    </xf>
    <xf numFmtId="164" fontId="38" fillId="0" borderId="0" xfId="0" applyNumberFormat="1" applyFont="1" applyFill="1" applyBorder="1"/>
    <xf numFmtId="8" fontId="4" fillId="0" borderId="36" xfId="0" applyNumberFormat="1" applyFont="1" applyFill="1" applyBorder="1" applyAlignment="1">
      <alignment horizontal="center"/>
    </xf>
    <xf numFmtId="8" fontId="4" fillId="0" borderId="10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3" fillId="0" borderId="36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vertical="center" wrapText="1"/>
    </xf>
    <xf numFmtId="8" fontId="4" fillId="0" borderId="13" xfId="0" applyNumberFormat="1" applyFont="1" applyFill="1" applyBorder="1" applyAlignment="1">
      <alignment horizontal="center"/>
    </xf>
    <xf numFmtId="8" fontId="3" fillId="0" borderId="52" xfId="0" applyNumberFormat="1" applyFont="1" applyFill="1" applyBorder="1" applyAlignment="1">
      <alignment horizontal="center"/>
    </xf>
    <xf numFmtId="8" fontId="3" fillId="0" borderId="69" xfId="0" applyNumberFormat="1" applyFont="1" applyFill="1" applyBorder="1" applyAlignment="1">
      <alignment horizontal="center"/>
    </xf>
    <xf numFmtId="8" fontId="3" fillId="0" borderId="30" xfId="0" applyNumberFormat="1" applyFont="1" applyFill="1" applyBorder="1" applyAlignment="1">
      <alignment horizontal="center"/>
    </xf>
    <xf numFmtId="8" fontId="3" fillId="0" borderId="47" xfId="0" applyNumberFormat="1" applyFont="1" applyFill="1" applyBorder="1" applyAlignment="1">
      <alignment horizontal="center"/>
    </xf>
    <xf numFmtId="10" fontId="39" fillId="0" borderId="35" xfId="0" applyNumberFormat="1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13" fillId="0" borderId="70" xfId="0" applyFont="1" applyFill="1" applyBorder="1" applyAlignment="1">
      <alignment horizontal="center"/>
    </xf>
    <xf numFmtId="0" fontId="13" fillId="0" borderId="71" xfId="0" applyFont="1" applyFill="1" applyBorder="1"/>
    <xf numFmtId="167" fontId="5" fillId="0" borderId="72" xfId="35" applyNumberFormat="1" applyFont="1" applyFill="1" applyBorder="1" applyAlignment="1">
      <alignment horizontal="center"/>
    </xf>
    <xf numFmtId="4" fontId="13" fillId="0" borderId="0" xfId="0" applyNumberFormat="1" applyFont="1" applyFill="1"/>
    <xf numFmtId="0" fontId="13" fillId="0" borderId="0" xfId="0" applyFont="1" applyFill="1"/>
    <xf numFmtId="0" fontId="7" fillId="0" borderId="20" xfId="0" applyFont="1" applyFill="1" applyBorder="1"/>
    <xf numFmtId="0" fontId="13" fillId="0" borderId="73" xfId="0" applyFont="1" applyFill="1" applyBorder="1" applyAlignment="1">
      <alignment horizontal="center"/>
    </xf>
    <xf numFmtId="0" fontId="13" fillId="0" borderId="50" xfId="0" applyFont="1" applyFill="1" applyBorder="1"/>
    <xf numFmtId="0" fontId="13" fillId="0" borderId="16" xfId="0" applyFont="1" applyFill="1" applyBorder="1" applyAlignment="1">
      <alignment horizontal="center"/>
    </xf>
    <xf numFmtId="0" fontId="5" fillId="0" borderId="74" xfId="0" applyFont="1" applyFill="1" applyBorder="1"/>
    <xf numFmtId="0" fontId="5" fillId="0" borderId="71" xfId="0" applyFont="1" applyFill="1" applyBorder="1"/>
    <xf numFmtId="167" fontId="5" fillId="0" borderId="75" xfId="35" applyNumberFormat="1" applyFont="1" applyFill="1" applyBorder="1" applyAlignment="1">
      <alignment horizontal="center"/>
    </xf>
    <xf numFmtId="167" fontId="5" fillId="0" borderId="23" xfId="35" applyNumberFormat="1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5" fillId="0" borderId="66" xfId="0" applyFont="1" applyFill="1" applyBorder="1"/>
    <xf numFmtId="167" fontId="5" fillId="0" borderId="30" xfId="35" applyNumberFormat="1" applyFont="1" applyFill="1" applyBorder="1" applyAlignment="1">
      <alignment horizontal="center"/>
    </xf>
    <xf numFmtId="4" fontId="4" fillId="0" borderId="0" xfId="0" applyNumberFormat="1" applyFont="1" applyFill="1"/>
    <xf numFmtId="0" fontId="13" fillId="0" borderId="66" xfId="0" applyFont="1" applyFill="1" applyBorder="1"/>
    <xf numFmtId="167" fontId="5" fillId="0" borderId="30" xfId="35" applyNumberFormat="1" applyFont="1" applyFill="1" applyBorder="1"/>
    <xf numFmtId="0" fontId="7" fillId="0" borderId="0" xfId="0" applyFont="1" applyBorder="1" applyAlignment="1">
      <alignment horizontal="left"/>
    </xf>
    <xf numFmtId="0" fontId="42" fillId="0" borderId="0" xfId="0" applyFont="1" applyFill="1"/>
    <xf numFmtId="0" fontId="15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0" fontId="0" fillId="0" borderId="34" xfId="0" applyFill="1" applyBorder="1"/>
    <xf numFmtId="0" fontId="3" fillId="0" borderId="34" xfId="0" applyFont="1" applyFill="1" applyBorder="1"/>
    <xf numFmtId="0" fontId="0" fillId="0" borderId="35" xfId="0" applyFill="1" applyBorder="1" applyAlignment="1">
      <alignment horizontal="center"/>
    </xf>
    <xf numFmtId="0" fontId="0" fillId="0" borderId="35" xfId="0" applyFill="1" applyBorder="1"/>
    <xf numFmtId="0" fontId="0" fillId="0" borderId="66" xfId="0" applyFill="1" applyBorder="1"/>
    <xf numFmtId="0" fontId="15" fillId="0" borderId="4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3" fillId="0" borderId="35" xfId="0" applyFont="1" applyFill="1" applyBorder="1"/>
    <xf numFmtId="49" fontId="44" fillId="0" borderId="41" xfId="0" applyNumberFormat="1" applyFont="1" applyFill="1" applyBorder="1" applyAlignment="1">
      <alignment horizontal="center"/>
    </xf>
    <xf numFmtId="49" fontId="44" fillId="0" borderId="33" xfId="0" applyNumberFormat="1" applyFont="1" applyFill="1" applyBorder="1" applyAlignment="1">
      <alignment horizontal="center"/>
    </xf>
    <xf numFmtId="49" fontId="44" fillId="0" borderId="78" xfId="0" applyNumberFormat="1" applyFont="1" applyFill="1" applyBorder="1" applyAlignment="1">
      <alignment horizontal="center"/>
    </xf>
    <xf numFmtId="49" fontId="44" fillId="0" borderId="44" xfId="0" applyNumberFormat="1" applyFont="1" applyFill="1" applyBorder="1" applyAlignment="1">
      <alignment horizontal="center"/>
    </xf>
    <xf numFmtId="49" fontId="44" fillId="0" borderId="35" xfId="0" applyNumberFormat="1" applyFont="1" applyFill="1" applyBorder="1" applyAlignment="1">
      <alignment horizontal="center"/>
    </xf>
    <xf numFmtId="49" fontId="44" fillId="0" borderId="31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3" fillId="0" borderId="78" xfId="0" applyNumberFormat="1" applyFont="1" applyFill="1" applyBorder="1"/>
    <xf numFmtId="49" fontId="3" fillId="0" borderId="34" xfId="0" applyNumberFormat="1" applyFont="1" applyFill="1" applyBorder="1"/>
    <xf numFmtId="49" fontId="3" fillId="0" borderId="0" xfId="0" applyNumberFormat="1" applyFont="1" applyFill="1" applyBorder="1"/>
    <xf numFmtId="49" fontId="0" fillId="0" borderId="34" xfId="0" applyNumberFormat="1" applyFill="1" applyBorder="1"/>
    <xf numFmtId="0" fontId="3" fillId="0" borderId="44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49" fontId="42" fillId="0" borderId="0" xfId="0" applyNumberFormat="1" applyFont="1" applyFill="1"/>
    <xf numFmtId="49" fontId="3" fillId="0" borderId="30" xfId="0" applyNumberFormat="1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0" xfId="0" applyNumberFormat="1" applyFill="1" applyBorder="1"/>
    <xf numFmtId="0" fontId="9" fillId="0" borderId="0" xfId="0" applyFont="1" applyFill="1" applyAlignment="1">
      <alignment horizontal="right"/>
    </xf>
    <xf numFmtId="0" fontId="13" fillId="0" borderId="20" xfId="0" applyFont="1" applyFill="1" applyBorder="1" applyAlignment="1">
      <alignment wrapText="1"/>
    </xf>
    <xf numFmtId="0" fontId="46" fillId="0" borderId="0" xfId="0" applyFont="1" applyAlignment="1">
      <alignment horizontal="center"/>
    </xf>
    <xf numFmtId="0" fontId="4" fillId="0" borderId="0" xfId="0" applyFont="1" applyFill="1"/>
    <xf numFmtId="167" fontId="0" fillId="26" borderId="0" xfId="0" applyNumberFormat="1" applyFill="1"/>
    <xf numFmtId="0" fontId="4" fillId="25" borderId="10" xfId="0" applyFont="1" applyFill="1" applyBorder="1" applyAlignment="1">
      <alignment vertical="center" wrapText="1"/>
    </xf>
    <xf numFmtId="0" fontId="0" fillId="26" borderId="0" xfId="0" applyFill="1"/>
    <xf numFmtId="49" fontId="3" fillId="25" borderId="79" xfId="0" applyNumberFormat="1" applyFont="1" applyFill="1" applyBorder="1"/>
    <xf numFmtId="0" fontId="4" fillId="25" borderId="80" xfId="0" applyFont="1" applyFill="1" applyBorder="1" applyAlignment="1">
      <alignment vertical="center" wrapText="1"/>
    </xf>
    <xf numFmtId="0" fontId="46" fillId="26" borderId="0" xfId="0" applyFont="1" applyFill="1" applyAlignment="1">
      <alignment horizontal="center"/>
    </xf>
    <xf numFmtId="4" fontId="4" fillId="26" borderId="26" xfId="31" applyNumberFormat="1" applyFont="1" applyFill="1" applyBorder="1"/>
    <xf numFmtId="4" fontId="4" fillId="26" borderId="22" xfId="31" applyNumberFormat="1" applyFont="1" applyFill="1" applyBorder="1"/>
    <xf numFmtId="4" fontId="0" fillId="26" borderId="0" xfId="0" applyNumberFormat="1" applyFill="1"/>
    <xf numFmtId="164" fontId="4" fillId="26" borderId="0" xfId="0" applyNumberFormat="1" applyFont="1" applyFill="1"/>
    <xf numFmtId="164" fontId="3" fillId="26" borderId="0" xfId="37" applyFont="1" applyFill="1"/>
    <xf numFmtId="164" fontId="0" fillId="26" borderId="0" xfId="0" applyNumberFormat="1" applyFill="1"/>
    <xf numFmtId="164" fontId="49" fillId="26" borderId="0" xfId="37" applyFont="1" applyFill="1"/>
    <xf numFmtId="164" fontId="42" fillId="0" borderId="0" xfId="37" applyFont="1" applyFill="1"/>
    <xf numFmtId="164" fontId="15" fillId="0" borderId="33" xfId="37" applyFont="1" applyFill="1" applyBorder="1" applyAlignment="1">
      <alignment horizontal="center"/>
    </xf>
    <xf numFmtId="164" fontId="3" fillId="0" borderId="34" xfId="37" applyFont="1" applyFill="1" applyBorder="1" applyAlignment="1">
      <alignment horizontal="center" wrapText="1"/>
    </xf>
    <xf numFmtId="164" fontId="4" fillId="0" borderId="34" xfId="37" applyFont="1" applyFill="1" applyBorder="1"/>
    <xf numFmtId="164" fontId="3" fillId="0" borderId="34" xfId="37" applyFont="1" applyFill="1" applyBorder="1"/>
    <xf numFmtId="164" fontId="0" fillId="0" borderId="35" xfId="37" applyFont="1" applyFill="1" applyBorder="1"/>
    <xf numFmtId="164" fontId="3" fillId="0" borderId="47" xfId="37" applyFont="1" applyFill="1" applyBorder="1"/>
    <xf numFmtId="164" fontId="15" fillId="0" borderId="82" xfId="37" applyFont="1" applyFill="1" applyBorder="1" applyAlignment="1">
      <alignment horizontal="center"/>
    </xf>
    <xf numFmtId="164" fontId="3" fillId="0" borderId="23" xfId="37" applyFont="1" applyFill="1" applyBorder="1"/>
    <xf numFmtId="164" fontId="3" fillId="0" borderId="83" xfId="37" applyFont="1" applyFill="1" applyBorder="1"/>
    <xf numFmtId="164" fontId="3" fillId="0" borderId="30" xfId="37" applyFont="1" applyFill="1" applyBorder="1" applyAlignment="1">
      <alignment horizontal="center"/>
    </xf>
    <xf numFmtId="164" fontId="2" fillId="0" borderId="34" xfId="37" applyFill="1" applyBorder="1"/>
    <xf numFmtId="164" fontId="3" fillId="0" borderId="30" xfId="37" applyFont="1" applyFill="1" applyBorder="1"/>
    <xf numFmtId="164" fontId="3" fillId="0" borderId="78" xfId="37" applyFont="1" applyFill="1" applyBorder="1" applyAlignment="1">
      <alignment horizontal="center"/>
    </xf>
    <xf numFmtId="0" fontId="4" fillId="26" borderId="0" xfId="0" applyFont="1" applyFill="1"/>
    <xf numFmtId="8" fontId="51" fillId="0" borderId="0" xfId="0" applyNumberFormat="1" applyFont="1"/>
    <xf numFmtId="164" fontId="3" fillId="0" borderId="33" xfId="37" applyFont="1" applyFill="1" applyBorder="1" applyAlignment="1">
      <alignment horizontal="right"/>
    </xf>
    <xf numFmtId="164" fontId="3" fillId="0" borderId="34" xfId="37" applyFont="1" applyFill="1" applyBorder="1" applyAlignment="1">
      <alignment horizontal="right"/>
    </xf>
    <xf numFmtId="164" fontId="4" fillId="0" borderId="34" xfId="37" applyFont="1" applyFill="1" applyBorder="1" applyAlignment="1">
      <alignment horizontal="right"/>
    </xf>
    <xf numFmtId="164" fontId="4" fillId="0" borderId="35" xfId="37" applyFont="1" applyFill="1" applyBorder="1" applyAlignment="1">
      <alignment horizontal="right"/>
    </xf>
    <xf numFmtId="164" fontId="3" fillId="0" borderId="35" xfId="37" applyFont="1" applyFill="1" applyBorder="1" applyAlignment="1">
      <alignment horizontal="right"/>
    </xf>
    <xf numFmtId="164" fontId="3" fillId="0" borderId="30" xfId="37" applyFont="1" applyFill="1" applyBorder="1" applyAlignment="1">
      <alignment horizontal="right"/>
    </xf>
    <xf numFmtId="164" fontId="4" fillId="26" borderId="22" xfId="37" applyFont="1" applyFill="1" applyBorder="1"/>
    <xf numFmtId="164" fontId="4" fillId="0" borderId="22" xfId="37" applyFont="1" applyBorder="1"/>
    <xf numFmtId="164" fontId="4" fillId="0" borderId="21" xfId="37" applyFont="1" applyBorder="1"/>
    <xf numFmtId="164" fontId="3" fillId="26" borderId="22" xfId="37" applyFont="1" applyFill="1" applyBorder="1"/>
    <xf numFmtId="164" fontId="3" fillId="0" borderId="22" xfId="37" applyFont="1" applyBorder="1"/>
    <xf numFmtId="164" fontId="3" fillId="0" borderId="21" xfId="37" applyFont="1" applyBorder="1"/>
    <xf numFmtId="164" fontId="50" fillId="26" borderId="22" xfId="37" applyFont="1" applyFill="1" applyBorder="1"/>
    <xf numFmtId="164" fontId="0" fillId="0" borderId="22" xfId="37" applyFont="1" applyBorder="1"/>
    <xf numFmtId="164" fontId="0" fillId="0" borderId="21" xfId="37" applyFont="1" applyBorder="1"/>
    <xf numFmtId="164" fontId="12" fillId="26" borderId="22" xfId="37" applyFont="1" applyFill="1" applyBorder="1"/>
    <xf numFmtId="164" fontId="12" fillId="0" borderId="22" xfId="37" applyFont="1" applyBorder="1"/>
    <xf numFmtId="164" fontId="12" fillId="0" borderId="21" xfId="37" applyFont="1" applyBorder="1"/>
    <xf numFmtId="164" fontId="50" fillId="26" borderId="29" xfId="37" applyFont="1" applyFill="1" applyBorder="1"/>
    <xf numFmtId="164" fontId="0" fillId="0" borderId="29" xfId="37" applyFont="1" applyBorder="1"/>
    <xf numFmtId="164" fontId="0" fillId="0" borderId="85" xfId="37" applyFont="1" applyBorder="1"/>
    <xf numFmtId="164" fontId="3" fillId="26" borderId="30" xfId="37" applyFont="1" applyFill="1" applyBorder="1"/>
    <xf numFmtId="164" fontId="3" fillId="0" borderId="32" xfId="37" applyFont="1" applyBorder="1"/>
    <xf numFmtId="164" fontId="3" fillId="0" borderId="30" xfId="37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73" fontId="3" fillId="0" borderId="46" xfId="0" applyNumberFormat="1" applyFont="1" applyFill="1" applyBorder="1"/>
    <xf numFmtId="173" fontId="3" fillId="0" borderId="10" xfId="0" applyNumberFormat="1" applyFont="1" applyFill="1" applyBorder="1"/>
    <xf numFmtId="173" fontId="4" fillId="0" borderId="10" xfId="0" applyNumberFormat="1" applyFont="1" applyFill="1" applyBorder="1"/>
    <xf numFmtId="173" fontId="3" fillId="0" borderId="30" xfId="0" applyNumberFormat="1" applyFont="1" applyFill="1" applyBorder="1"/>
    <xf numFmtId="0" fontId="39" fillId="0" borderId="35" xfId="0" applyFont="1" applyFill="1" applyBorder="1" applyAlignment="1">
      <alignment horizontal="center" vertical="center"/>
    </xf>
    <xf numFmtId="170" fontId="4" fillId="0" borderId="0" xfId="0" applyNumberFormat="1" applyFont="1" applyFill="1"/>
    <xf numFmtId="173" fontId="4" fillId="0" borderId="0" xfId="0" applyNumberFormat="1" applyFont="1" applyFill="1"/>
    <xf numFmtId="8" fontId="4" fillId="0" borderId="0" xfId="0" applyNumberFormat="1" applyFont="1"/>
    <xf numFmtId="167" fontId="13" fillId="0" borderId="23" xfId="35" applyNumberFormat="1" applyFont="1" applyFill="1" applyBorder="1"/>
    <xf numFmtId="167" fontId="5" fillId="0" borderId="72" xfId="35" applyNumberFormat="1" applyFont="1" applyFill="1" applyBorder="1"/>
    <xf numFmtId="167" fontId="13" fillId="0" borderId="72" xfId="35" applyNumberFormat="1" applyFont="1" applyFill="1" applyBorder="1"/>
    <xf numFmtId="167" fontId="13" fillId="0" borderId="49" xfId="35" applyNumberFormat="1" applyFont="1" applyFill="1" applyBorder="1"/>
    <xf numFmtId="167" fontId="13" fillId="0" borderId="72" xfId="35" applyNumberFormat="1" applyFont="1" applyFill="1" applyBorder="1" applyAlignment="1">
      <alignment horizontal="center"/>
    </xf>
    <xf numFmtId="167" fontId="5" fillId="0" borderId="47" xfId="35" applyNumberFormat="1" applyFont="1" applyFill="1" applyBorder="1" applyAlignment="1">
      <alignment horizontal="center"/>
    </xf>
    <xf numFmtId="167" fontId="5" fillId="0" borderId="47" xfId="35" applyNumberFormat="1" applyFont="1" applyFill="1" applyBorder="1"/>
    <xf numFmtId="0" fontId="13" fillId="0" borderId="33" xfId="0" applyFont="1" applyFill="1" applyBorder="1"/>
    <xf numFmtId="0" fontId="13" fillId="0" borderId="33" xfId="0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167" fontId="13" fillId="0" borderId="33" xfId="35" applyNumberFormat="1" applyFont="1" applyFill="1" applyBorder="1"/>
    <xf numFmtId="0" fontId="13" fillId="0" borderId="34" xfId="0" applyFont="1" applyFill="1" applyBorder="1"/>
    <xf numFmtId="0" fontId="13" fillId="0" borderId="34" xfId="0" applyFont="1" applyFill="1" applyBorder="1" applyAlignment="1">
      <alignment horizontal="center"/>
    </xf>
    <xf numFmtId="49" fontId="13" fillId="0" borderId="34" xfId="0" applyNumberFormat="1" applyFont="1" applyFill="1" applyBorder="1" applyAlignment="1">
      <alignment horizontal="center"/>
    </xf>
    <xf numFmtId="167" fontId="13" fillId="26" borderId="34" xfId="35" applyNumberFormat="1" applyFont="1" applyFill="1" applyBorder="1" applyAlignment="1">
      <alignment horizontal="center"/>
    </xf>
    <xf numFmtId="167" fontId="13" fillId="0" borderId="34" xfId="35" applyNumberFormat="1" applyFont="1" applyFill="1" applyBorder="1"/>
    <xf numFmtId="167" fontId="5" fillId="0" borderId="34" xfId="35" applyNumberFormat="1" applyFont="1" applyFill="1" applyBorder="1"/>
    <xf numFmtId="0" fontId="13" fillId="0" borderId="86" xfId="0" applyFont="1" applyFill="1" applyBorder="1"/>
    <xf numFmtId="0" fontId="5" fillId="0" borderId="86" xfId="0" applyFont="1" applyFill="1" applyBorder="1" applyAlignment="1">
      <alignment horizontal="center"/>
    </xf>
    <xf numFmtId="49" fontId="13" fillId="0" borderId="86" xfId="0" applyNumberFormat="1" applyFont="1" applyFill="1" applyBorder="1" applyAlignment="1">
      <alignment horizontal="center"/>
    </xf>
    <xf numFmtId="167" fontId="5" fillId="0" borderId="86" xfId="35" applyNumberFormat="1" applyFont="1" applyFill="1" applyBorder="1" applyAlignment="1">
      <alignment horizontal="center"/>
    </xf>
    <xf numFmtId="167" fontId="5" fillId="0" borderId="86" xfId="35" applyNumberFormat="1" applyFont="1" applyFill="1" applyBorder="1"/>
    <xf numFmtId="0" fontId="13" fillId="0" borderId="86" xfId="0" applyFont="1" applyFill="1" applyBorder="1" applyAlignment="1">
      <alignment horizontal="center"/>
    </xf>
    <xf numFmtId="167" fontId="13" fillId="0" borderId="86" xfId="35" applyNumberFormat="1" applyFont="1" applyFill="1" applyBorder="1" applyAlignment="1">
      <alignment horizontal="center"/>
    </xf>
    <xf numFmtId="0" fontId="13" fillId="0" borderId="37" xfId="0" applyFont="1" applyFill="1" applyBorder="1"/>
    <xf numFmtId="0" fontId="13" fillId="0" borderId="37" xfId="0" applyFont="1" applyFill="1" applyBorder="1" applyAlignment="1">
      <alignment horizontal="center"/>
    </xf>
    <xf numFmtId="49" fontId="13" fillId="0" borderId="37" xfId="0" applyNumberFormat="1" applyFont="1" applyFill="1" applyBorder="1" applyAlignment="1">
      <alignment horizontal="center"/>
    </xf>
    <xf numFmtId="167" fontId="13" fillId="0" borderId="37" xfId="35" applyNumberFormat="1" applyFont="1" applyFill="1" applyBorder="1"/>
    <xf numFmtId="0" fontId="13" fillId="0" borderId="87" xfId="0" applyFont="1" applyFill="1" applyBorder="1"/>
    <xf numFmtId="0" fontId="5" fillId="0" borderId="87" xfId="0" applyFont="1" applyFill="1" applyBorder="1" applyAlignment="1">
      <alignment horizontal="center"/>
    </xf>
    <xf numFmtId="49" fontId="13" fillId="0" borderId="87" xfId="0" applyNumberFormat="1" applyFont="1" applyFill="1" applyBorder="1" applyAlignment="1">
      <alignment horizontal="center"/>
    </xf>
    <xf numFmtId="167" fontId="5" fillId="0" borderId="87" xfId="35" applyNumberFormat="1" applyFont="1" applyFill="1" applyBorder="1" applyAlignment="1">
      <alignment horizontal="center"/>
    </xf>
    <xf numFmtId="0" fontId="5" fillId="0" borderId="87" xfId="0" applyFont="1" applyFill="1" applyBorder="1"/>
    <xf numFmtId="49" fontId="5" fillId="0" borderId="87" xfId="0" applyNumberFormat="1" applyFont="1" applyFill="1" applyBorder="1" applyAlignment="1">
      <alignment horizontal="center"/>
    </xf>
    <xf numFmtId="0" fontId="5" fillId="0" borderId="34" xfId="0" applyFont="1" applyFill="1" applyBorder="1"/>
    <xf numFmtId="167" fontId="5" fillId="0" borderId="34" xfId="35" applyNumberFormat="1" applyFont="1" applyFill="1" applyBorder="1" applyAlignment="1">
      <alignment horizontal="center"/>
    </xf>
    <xf numFmtId="167" fontId="5" fillId="0" borderId="35" xfId="35" applyNumberFormat="1" applyFont="1" applyFill="1" applyBorder="1" applyAlignment="1">
      <alignment horizontal="center"/>
    </xf>
    <xf numFmtId="0" fontId="5" fillId="0" borderId="30" xfId="0" applyFont="1" applyFill="1" applyBorder="1"/>
    <xf numFmtId="49" fontId="5" fillId="0" borderId="30" xfId="0" applyNumberFormat="1" applyFont="1" applyFill="1" applyBorder="1" applyAlignment="1">
      <alignment horizontal="center"/>
    </xf>
    <xf numFmtId="0" fontId="13" fillId="0" borderId="30" xfId="0" applyFont="1" applyFill="1" applyBorder="1"/>
    <xf numFmtId="49" fontId="13" fillId="0" borderId="30" xfId="0" applyNumberFormat="1" applyFont="1" applyFill="1" applyBorder="1" applyAlignment="1">
      <alignment horizontal="center"/>
    </xf>
    <xf numFmtId="10" fontId="39" fillId="0" borderId="33" xfId="0" applyNumberFormat="1" applyFont="1" applyFill="1" applyBorder="1" applyAlignment="1">
      <alignment horizontal="center" vertical="center"/>
    </xf>
    <xf numFmtId="9" fontId="39" fillId="0" borderId="33" xfId="0" applyNumberFormat="1" applyFont="1" applyFill="1" applyBorder="1" applyAlignment="1">
      <alignment horizontal="center" vertical="center"/>
    </xf>
    <xf numFmtId="9" fontId="8" fillId="0" borderId="33" xfId="0" applyNumberFormat="1" applyFont="1" applyFill="1" applyBorder="1" applyAlignment="1">
      <alignment horizontal="center" vertical="center"/>
    </xf>
    <xf numFmtId="10" fontId="39" fillId="0" borderId="3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/>
    <xf numFmtId="0" fontId="0" fillId="0" borderId="0" xfId="0" applyFont="1"/>
    <xf numFmtId="168" fontId="0" fillId="26" borderId="0" xfId="0" applyNumberFormat="1" applyFill="1"/>
    <xf numFmtId="167" fontId="3" fillId="26" borderId="0" xfId="0" applyNumberFormat="1" applyFont="1" applyFill="1"/>
    <xf numFmtId="172" fontId="4" fillId="0" borderId="0" xfId="0" applyNumberFormat="1" applyFont="1" applyFill="1"/>
    <xf numFmtId="0" fontId="0" fillId="0" borderId="34" xfId="0" applyBorder="1" applyAlignment="1">
      <alignment horizontal="left"/>
    </xf>
    <xf numFmtId="4" fontId="2" fillId="0" borderId="34" xfId="31" applyNumberFormat="1" applyBorder="1"/>
    <xf numFmtId="164" fontId="4" fillId="26" borderId="34" xfId="37" applyFont="1" applyFill="1" applyBorder="1"/>
    <xf numFmtId="164" fontId="4" fillId="0" borderId="34" xfId="37" applyFont="1" applyBorder="1"/>
    <xf numFmtId="0" fontId="3" fillId="0" borderId="34" xfId="0" applyFont="1" applyBorder="1" applyAlignment="1">
      <alignment horizontal="left"/>
    </xf>
    <xf numFmtId="0" fontId="3" fillId="0" borderId="34" xfId="0" applyFont="1" applyBorder="1"/>
    <xf numFmtId="164" fontId="3" fillId="26" borderId="34" xfId="37" applyFont="1" applyFill="1" applyBorder="1"/>
    <xf numFmtId="164" fontId="3" fillId="0" borderId="34" xfId="37" applyFont="1" applyBorder="1"/>
    <xf numFmtId="4" fontId="3" fillId="0" borderId="34" xfId="31" applyNumberFormat="1" applyFont="1" applyBorder="1"/>
    <xf numFmtId="0" fontId="4" fillId="0" borderId="34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4" fontId="5" fillId="0" borderId="34" xfId="31" applyNumberFormat="1" applyFont="1" applyBorder="1"/>
    <xf numFmtId="0" fontId="4" fillId="0" borderId="34" xfId="0" applyFont="1" applyFill="1" applyBorder="1"/>
    <xf numFmtId="49" fontId="0" fillId="26" borderId="0" xfId="0" applyNumberFormat="1" applyFill="1" applyAlignment="1">
      <alignment horizontal="left"/>
    </xf>
    <xf numFmtId="0" fontId="16" fillId="0" borderId="31" xfId="0" applyFont="1" applyBorder="1" applyAlignment="1">
      <alignment horizontal="center"/>
    </xf>
    <xf numFmtId="167" fontId="2" fillId="0" borderId="46" xfId="34" applyNumberFormat="1" applyFill="1" applyBorder="1" applyAlignment="1"/>
    <xf numFmtId="1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3" fillId="0" borderId="0" xfId="0" applyNumberFormat="1" applyFont="1" applyAlignment="1">
      <alignment horizontal="left"/>
    </xf>
    <xf numFmtId="49" fontId="7" fillId="0" borderId="14" xfId="31" applyNumberFormat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49" fontId="47" fillId="0" borderId="3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4" fontId="0" fillId="0" borderId="0" xfId="0" applyNumberFormat="1"/>
    <xf numFmtId="174" fontId="3" fillId="0" borderId="13" xfId="0" applyNumberFormat="1" applyFont="1" applyBorder="1"/>
    <xf numFmtId="174" fontId="0" fillId="0" borderId="15" xfId="0" applyNumberFormat="1" applyFill="1" applyBorder="1"/>
    <xf numFmtId="174" fontId="3" fillId="0" borderId="30" xfId="0" applyNumberFormat="1" applyFont="1" applyBorder="1"/>
    <xf numFmtId="174" fontId="0" fillId="0" borderId="0" xfId="0" applyNumberFormat="1" applyFill="1"/>
    <xf numFmtId="174" fontId="3" fillId="0" borderId="21" xfId="31" applyNumberFormat="1" applyFont="1" applyBorder="1"/>
    <xf numFmtId="174" fontId="3" fillId="0" borderId="21" xfId="31" applyNumberFormat="1" applyFont="1" applyBorder="1" applyAlignment="1">
      <alignment horizontal="right"/>
    </xf>
    <xf numFmtId="174" fontId="4" fillId="0" borderId="21" xfId="31" applyNumberFormat="1" applyFont="1" applyBorder="1" applyAlignment="1">
      <alignment horizontal="right"/>
    </xf>
    <xf numFmtId="174" fontId="3" fillId="0" borderId="55" xfId="31" applyNumberFormat="1" applyFont="1" applyBorder="1" applyAlignment="1">
      <alignment horizontal="right"/>
    </xf>
    <xf numFmtId="49" fontId="4" fillId="0" borderId="20" xfId="0" applyNumberFormat="1" applyFont="1" applyFill="1" applyBorder="1"/>
    <xf numFmtId="49" fontId="4" fillId="0" borderId="34" xfId="0" applyNumberFormat="1" applyFont="1" applyFill="1" applyBorder="1"/>
    <xf numFmtId="49" fontId="4" fillId="0" borderId="0" xfId="0" applyNumberFormat="1" applyFont="1" applyFill="1" applyBorder="1"/>
    <xf numFmtId="0" fontId="4" fillId="0" borderId="21" xfId="0" applyFont="1" applyFill="1" applyBorder="1"/>
    <xf numFmtId="49" fontId="4" fillId="0" borderId="44" xfId="0" applyNumberFormat="1" applyFont="1" applyFill="1" applyBorder="1"/>
    <xf numFmtId="49" fontId="4" fillId="0" borderId="35" xfId="0" applyNumberFormat="1" applyFont="1" applyFill="1" applyBorder="1"/>
    <xf numFmtId="49" fontId="4" fillId="0" borderId="31" xfId="0" applyNumberFormat="1" applyFont="1" applyFill="1" applyBorder="1"/>
    <xf numFmtId="174" fontId="4" fillId="0" borderId="0" xfId="0" applyNumberFormat="1" applyFont="1" applyFill="1"/>
    <xf numFmtId="173" fontId="2" fillId="0" borderId="10" xfId="0" applyNumberFormat="1" applyFont="1" applyFill="1" applyBorder="1"/>
    <xf numFmtId="0" fontId="54" fillId="0" borderId="0" xfId="0" applyFont="1"/>
    <xf numFmtId="168" fontId="3" fillId="26" borderId="0" xfId="0" applyNumberFormat="1" applyFont="1" applyFill="1"/>
    <xf numFmtId="174" fontId="3" fillId="0" borderId="10" xfId="0" applyNumberFormat="1" applyFont="1" applyFill="1" applyBorder="1"/>
    <xf numFmtId="174" fontId="4" fillId="0" borderId="77" xfId="0" applyNumberFormat="1" applyFont="1" applyFill="1" applyBorder="1"/>
    <xf numFmtId="174" fontId="3" fillId="0" borderId="11" xfId="0" applyNumberFormat="1" applyFont="1" applyFill="1" applyBorder="1"/>
    <xf numFmtId="49" fontId="2" fillId="0" borderId="0" xfId="31" applyNumberFormat="1" applyFont="1" applyAlignment="1">
      <alignment horizontal="left"/>
    </xf>
    <xf numFmtId="4" fontId="2" fillId="0" borderId="0" xfId="31" applyNumberFormat="1" applyFont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5" borderId="63" xfId="0" applyFill="1" applyBorder="1" applyAlignment="1">
      <alignment horizontal="justify" vertical="top" wrapText="1"/>
    </xf>
    <xf numFmtId="0" fontId="0" fillId="0" borderId="66" xfId="0" applyBorder="1"/>
    <xf numFmtId="0" fontId="3" fillId="0" borderId="30" xfId="0" applyFont="1" applyBorder="1"/>
    <xf numFmtId="0" fontId="55" fillId="0" borderId="66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wrapText="1"/>
    </xf>
    <xf numFmtId="173" fontId="3" fillId="0" borderId="36" xfId="0" applyNumberFormat="1" applyFont="1" applyFill="1" applyBorder="1"/>
    <xf numFmtId="173" fontId="4" fillId="0" borderId="36" xfId="0" applyNumberFormat="1" applyFont="1" applyFill="1" applyBorder="1"/>
    <xf numFmtId="0" fontId="3" fillId="0" borderId="14" xfId="0" applyFont="1" applyFill="1" applyBorder="1" applyAlignment="1">
      <alignment horizontal="center" vertical="center" wrapText="1"/>
    </xf>
    <xf numFmtId="173" fontId="3" fillId="26" borderId="49" xfId="0" applyNumberFormat="1" applyFont="1" applyFill="1" applyBorder="1"/>
    <xf numFmtId="173" fontId="3" fillId="26" borderId="147" xfId="0" applyNumberFormat="1" applyFont="1" applyFill="1" applyBorder="1"/>
    <xf numFmtId="173" fontId="4" fillId="26" borderId="147" xfId="0" applyNumberFormat="1" applyFont="1" applyFill="1" applyBorder="1"/>
    <xf numFmtId="173" fontId="3" fillId="26" borderId="47" xfId="0" applyNumberFormat="1" applyFont="1" applyFill="1" applyBorder="1"/>
    <xf numFmtId="173" fontId="3" fillId="0" borderId="37" xfId="0" applyNumberFormat="1" applyFont="1" applyFill="1" applyBorder="1"/>
    <xf numFmtId="173" fontId="3" fillId="0" borderId="148" xfId="0" applyNumberFormat="1" applyFont="1" applyFill="1" applyBorder="1"/>
    <xf numFmtId="173" fontId="4" fillId="0" borderId="148" xfId="0" applyNumberFormat="1" applyFont="1" applyFill="1" applyBorder="1"/>
    <xf numFmtId="0" fontId="8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/>
    </xf>
    <xf numFmtId="0" fontId="2" fillId="25" borderId="63" xfId="0" applyFont="1" applyFill="1" applyBorder="1" applyAlignment="1">
      <alignment horizontal="justify" vertical="top" wrapText="1"/>
    </xf>
    <xf numFmtId="4" fontId="8" fillId="0" borderId="38" xfId="31" applyNumberFormat="1" applyFont="1" applyFill="1" applyBorder="1"/>
    <xf numFmtId="4" fontId="8" fillId="0" borderId="38" xfId="31" applyNumberFormat="1" applyFont="1" applyBorder="1"/>
    <xf numFmtId="0" fontId="7" fillId="0" borderId="16" xfId="0" applyFont="1" applyFill="1" applyBorder="1" applyAlignment="1">
      <alignment vertical="center" wrapText="1"/>
    </xf>
    <xf numFmtId="174" fontId="3" fillId="0" borderId="12" xfId="0" applyNumberFormat="1" applyFont="1" applyFill="1" applyBorder="1"/>
    <xf numFmtId="174" fontId="4" fillId="0" borderId="14" xfId="0" applyNumberFormat="1" applyFont="1" applyFill="1" applyBorder="1"/>
    <xf numFmtId="174" fontId="3" fillId="0" borderId="151" xfId="0" applyNumberFormat="1" applyFont="1" applyBorder="1"/>
    <xf numFmtId="174" fontId="3" fillId="0" borderId="148" xfId="0" applyNumberFormat="1" applyFont="1" applyBorder="1"/>
    <xf numFmtId="174" fontId="0" fillId="0" borderId="148" xfId="0" applyNumberFormat="1" applyFill="1" applyBorder="1"/>
    <xf numFmtId="174" fontId="0" fillId="0" borderId="148" xfId="0" applyNumberFormat="1" applyBorder="1"/>
    <xf numFmtId="174" fontId="0" fillId="0" borderId="87" xfId="0" applyNumberFormat="1" applyBorder="1"/>
    <xf numFmtId="174" fontId="0" fillId="0" borderId="152" xfId="0" applyNumberFormat="1" applyBorder="1"/>
    <xf numFmtId="174" fontId="0" fillId="0" borderId="152" xfId="0" applyNumberFormat="1" applyFill="1" applyBorder="1"/>
    <xf numFmtId="174" fontId="0" fillId="0" borderId="153" xfId="0" applyNumberFormat="1" applyBorder="1"/>
    <xf numFmtId="174" fontId="3" fillId="0" borderId="37" xfId="0" applyNumberFormat="1" applyFont="1" applyBorder="1"/>
    <xf numFmtId="0" fontId="8" fillId="0" borderId="92" xfId="0" applyFont="1" applyBorder="1"/>
    <xf numFmtId="0" fontId="8" fillId="0" borderId="90" xfId="0" applyFont="1" applyBorder="1"/>
    <xf numFmtId="0" fontId="7" fillId="0" borderId="90" xfId="0" applyFont="1" applyBorder="1"/>
    <xf numFmtId="0" fontId="6" fillId="0" borderId="90" xfId="0" applyFont="1" applyBorder="1"/>
    <xf numFmtId="0" fontId="7" fillId="0" borderId="154" xfId="0" applyFont="1" applyBorder="1"/>
    <xf numFmtId="0" fontId="7" fillId="0" borderId="155" xfId="0" applyFont="1" applyBorder="1"/>
    <xf numFmtId="0" fontId="7" fillId="0" borderId="156" xfId="0" applyFont="1" applyBorder="1"/>
    <xf numFmtId="0" fontId="8" fillId="0" borderId="81" xfId="0" applyFont="1" applyBorder="1"/>
    <xf numFmtId="0" fontId="8" fillId="0" borderId="151" xfId="0" applyFont="1" applyBorder="1" applyAlignment="1">
      <alignment horizontal="left"/>
    </xf>
    <xf numFmtId="0" fontId="8" fillId="0" borderId="148" xfId="0" applyFont="1" applyBorder="1" applyAlignment="1">
      <alignment horizontal="left"/>
    </xf>
    <xf numFmtId="0" fontId="7" fillId="0" borderId="148" xfId="0" applyFont="1" applyBorder="1" applyAlignment="1">
      <alignment horizontal="left"/>
    </xf>
    <xf numFmtId="0" fontId="7" fillId="0" borderId="87" xfId="0" applyFont="1" applyBorder="1" applyAlignment="1">
      <alignment horizontal="left"/>
    </xf>
    <xf numFmtId="0" fontId="7" fillId="0" borderId="152" xfId="0" applyFont="1" applyBorder="1" applyAlignment="1">
      <alignment horizontal="left"/>
    </xf>
    <xf numFmtId="0" fontId="7" fillId="0" borderId="153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174" fontId="3" fillId="0" borderId="96" xfId="0" applyNumberFormat="1" applyFont="1" applyBorder="1"/>
    <xf numFmtId="174" fontId="3" fillId="0" borderId="147" xfId="0" applyNumberFormat="1" applyFont="1" applyBorder="1"/>
    <xf numFmtId="174" fontId="0" fillId="0" borderId="147" xfId="0" applyNumberFormat="1" applyBorder="1"/>
    <xf numFmtId="174" fontId="0" fillId="0" borderId="147" xfId="0" applyNumberFormat="1" applyFill="1" applyBorder="1"/>
    <xf numFmtId="174" fontId="3" fillId="26" borderId="147" xfId="0" applyNumberFormat="1" applyFont="1" applyFill="1" applyBorder="1"/>
    <xf numFmtId="174" fontId="4" fillId="0" borderId="147" xfId="0" applyNumberFormat="1" applyFont="1" applyBorder="1"/>
    <xf numFmtId="174" fontId="0" fillId="0" borderId="75" xfId="0" applyNumberFormat="1" applyFill="1" applyBorder="1"/>
    <xf numFmtId="174" fontId="3" fillId="0" borderId="47" xfId="0" applyNumberFormat="1" applyFont="1" applyBorder="1"/>
    <xf numFmtId="174" fontId="3" fillId="0" borderId="13" xfId="0" applyNumberFormat="1" applyFont="1" applyFill="1" applyBorder="1"/>
    <xf numFmtId="174" fontId="4" fillId="0" borderId="15" xfId="0" applyNumberFormat="1" applyFont="1" applyFill="1" applyBorder="1"/>
    <xf numFmtId="174" fontId="3" fillId="0" borderId="30" xfId="0" applyNumberFormat="1" applyFont="1" applyFill="1" applyBorder="1"/>
    <xf numFmtId="0" fontId="7" fillId="0" borderId="90" xfId="0" applyFont="1" applyFill="1" applyBorder="1"/>
    <xf numFmtId="4" fontId="8" fillId="0" borderId="90" xfId="31" applyNumberFormat="1" applyFont="1" applyFill="1" applyBorder="1"/>
    <xf numFmtId="4" fontId="8" fillId="0" borderId="90" xfId="31" applyNumberFormat="1" applyFont="1" applyBorder="1"/>
    <xf numFmtId="0" fontId="7" fillId="0" borderId="154" xfId="0" applyFont="1" applyFill="1" applyBorder="1" applyAlignment="1">
      <alignment vertical="center" wrapText="1"/>
    </xf>
    <xf numFmtId="0" fontId="3" fillId="0" borderId="32" xfId="0" applyFont="1" applyBorder="1"/>
    <xf numFmtId="0" fontId="7" fillId="0" borderId="148" xfId="0" applyFont="1" applyFill="1" applyBorder="1" applyAlignment="1">
      <alignment horizontal="left"/>
    </xf>
    <xf numFmtId="0" fontId="6" fillId="0" borderId="148" xfId="0" applyFont="1" applyBorder="1" applyAlignment="1">
      <alignment horizontal="left"/>
    </xf>
    <xf numFmtId="49" fontId="8" fillId="0" borderId="148" xfId="31" applyNumberFormat="1" applyFont="1" applyFill="1" applyBorder="1" applyAlignment="1">
      <alignment horizontal="left"/>
    </xf>
    <xf numFmtId="49" fontId="7" fillId="0" borderId="87" xfId="31" applyNumberFormat="1" applyFont="1" applyFill="1" applyBorder="1" applyAlignment="1">
      <alignment horizontal="left"/>
    </xf>
    <xf numFmtId="0" fontId="0" fillId="0" borderId="30" xfId="0" applyBorder="1"/>
    <xf numFmtId="167" fontId="3" fillId="0" borderId="150" xfId="0" applyNumberFormat="1" applyFont="1" applyFill="1" applyBorder="1" applyAlignment="1">
      <alignment vertical="center"/>
    </xf>
    <xf numFmtId="167" fontId="3" fillId="0" borderId="38" xfId="0" quotePrefix="1" applyNumberFormat="1" applyFont="1" applyFill="1" applyBorder="1" applyAlignment="1">
      <alignment wrapText="1"/>
    </xf>
    <xf numFmtId="167" fontId="2" fillId="0" borderId="38" xfId="34" applyNumberFormat="1" applyFill="1" applyBorder="1" applyAlignment="1"/>
    <xf numFmtId="167" fontId="3" fillId="0" borderId="38" xfId="34" applyNumberFormat="1" applyFont="1" applyFill="1" applyBorder="1" applyAlignment="1"/>
    <xf numFmtId="167" fontId="2" fillId="0" borderId="73" xfId="34" applyNumberFormat="1" applyFill="1" applyBorder="1" applyAlignment="1"/>
    <xf numFmtId="167" fontId="3" fillId="0" borderId="38" xfId="0" applyNumberFormat="1" applyFont="1" applyFill="1" applyBorder="1" applyAlignment="1"/>
    <xf numFmtId="167" fontId="0" fillId="0" borderId="38" xfId="0" applyNumberFormat="1" applyFill="1" applyBorder="1" applyAlignment="1"/>
    <xf numFmtId="167" fontId="4" fillId="0" borderId="38" xfId="0" applyNumberFormat="1" applyFont="1" applyFill="1" applyBorder="1" applyAlignment="1"/>
    <xf numFmtId="167" fontId="0" fillId="0" borderId="76" xfId="0" applyNumberFormat="1" applyFill="1" applyBorder="1" applyAlignment="1"/>
    <xf numFmtId="167" fontId="3" fillId="0" borderId="56" xfId="0" applyNumberFormat="1" applyFont="1" applyFill="1" applyBorder="1"/>
    <xf numFmtId="167" fontId="3" fillId="0" borderId="151" xfId="0" applyNumberFormat="1" applyFont="1" applyFill="1" applyBorder="1" applyAlignment="1">
      <alignment vertical="center"/>
    </xf>
    <xf numFmtId="167" fontId="3" fillId="0" borderId="148" xfId="0" quotePrefix="1" applyNumberFormat="1" applyFont="1" applyFill="1" applyBorder="1" applyAlignment="1">
      <alignment wrapText="1"/>
    </xf>
    <xf numFmtId="167" fontId="2" fillId="0" borderId="148" xfId="34" quotePrefix="1" applyNumberFormat="1" applyFill="1" applyBorder="1" applyAlignment="1">
      <alignment wrapText="1"/>
    </xf>
    <xf numFmtId="167" fontId="3" fillId="0" borderId="148" xfId="34" quotePrefix="1" applyNumberFormat="1" applyFont="1" applyFill="1" applyBorder="1" applyAlignment="1">
      <alignment wrapText="1"/>
    </xf>
    <xf numFmtId="167" fontId="3" fillId="0" borderId="37" xfId="34" quotePrefix="1" applyNumberFormat="1" applyFont="1" applyFill="1" applyBorder="1" applyAlignment="1">
      <alignment wrapText="1"/>
    </xf>
    <xf numFmtId="167" fontId="4" fillId="0" borderId="148" xfId="34" quotePrefix="1" applyNumberFormat="1" applyFont="1" applyFill="1" applyBorder="1" applyAlignment="1">
      <alignment wrapText="1"/>
    </xf>
    <xf numFmtId="167" fontId="2" fillId="0" borderId="149" xfId="34" quotePrefix="1" applyNumberFormat="1" applyFill="1" applyBorder="1" applyAlignment="1">
      <alignment wrapText="1"/>
    </xf>
    <xf numFmtId="167" fontId="3" fillId="0" borderId="30" xfId="0" applyNumberFormat="1" applyFont="1" applyFill="1" applyBorder="1"/>
    <xf numFmtId="165" fontId="8" fillId="0" borderId="30" xfId="0" applyNumberFormat="1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92" xfId="0" applyFont="1" applyFill="1" applyBorder="1" applyAlignment="1">
      <alignment horizontal="left"/>
    </xf>
    <xf numFmtId="0" fontId="8" fillId="0" borderId="90" xfId="0" applyFont="1" applyFill="1" applyBorder="1" applyAlignment="1">
      <alignment horizontal="left"/>
    </xf>
    <xf numFmtId="4" fontId="7" fillId="0" borderId="90" xfId="31" applyNumberFormat="1" applyFont="1" applyFill="1" applyBorder="1" applyAlignment="1"/>
    <xf numFmtId="0" fontId="7" fillId="0" borderId="90" xfId="0" applyFont="1" applyFill="1" applyBorder="1" applyAlignment="1"/>
    <xf numFmtId="4" fontId="8" fillId="0" borderId="90" xfId="31" applyNumberFormat="1" applyFont="1" applyFill="1" applyBorder="1" applyAlignment="1"/>
    <xf numFmtId="4" fontId="8" fillId="0" borderId="90" xfId="31" applyNumberFormat="1" applyFont="1" applyFill="1" applyBorder="1" applyAlignment="1">
      <alignment vertical="center" wrapText="1"/>
    </xf>
    <xf numFmtId="0" fontId="8" fillId="0" borderId="90" xfId="0" applyFont="1" applyFill="1" applyBorder="1" applyAlignment="1"/>
    <xf numFmtId="0" fontId="8" fillId="0" borderId="90" xfId="0" applyFont="1" applyFill="1" applyBorder="1"/>
    <xf numFmtId="0" fontId="7" fillId="0" borderId="90" xfId="0" applyFont="1" applyFill="1" applyBorder="1" applyAlignment="1">
      <alignment vertical="center" wrapText="1"/>
    </xf>
    <xf numFmtId="0" fontId="8" fillId="0" borderId="81" xfId="0" applyFont="1" applyFill="1" applyBorder="1"/>
    <xf numFmtId="0" fontId="6" fillId="0" borderId="90" xfId="0" applyFont="1" applyFill="1" applyBorder="1" applyAlignment="1">
      <alignment vertical="center" wrapText="1"/>
    </xf>
    <xf numFmtId="4" fontId="8" fillId="0" borderId="0" xfId="31" applyNumberFormat="1" applyFont="1" applyBorder="1"/>
    <xf numFmtId="4" fontId="7" fillId="0" borderId="90" xfId="31" applyNumberFormat="1" applyFont="1" applyFill="1" applyBorder="1"/>
    <xf numFmtId="0" fontId="7" fillId="0" borderId="94" xfId="0" applyFont="1" applyFill="1" applyBorder="1" applyAlignment="1">
      <alignment vertical="center" wrapText="1"/>
    </xf>
    <xf numFmtId="0" fontId="8" fillId="0" borderId="151" xfId="0" applyFont="1" applyFill="1" applyBorder="1" applyAlignment="1">
      <alignment horizontal="left"/>
    </xf>
    <xf numFmtId="0" fontId="8" fillId="0" borderId="148" xfId="0" applyFont="1" applyFill="1" applyBorder="1" applyAlignment="1">
      <alignment horizontal="left"/>
    </xf>
    <xf numFmtId="49" fontId="7" fillId="0" borderId="148" xfId="31" applyNumberFormat="1" applyFont="1" applyFill="1" applyBorder="1" applyAlignment="1">
      <alignment horizontal="left"/>
    </xf>
    <xf numFmtId="0" fontId="8" fillId="0" borderId="37" xfId="0" applyFont="1" applyFill="1" applyBorder="1" applyAlignment="1">
      <alignment horizontal="left"/>
    </xf>
    <xf numFmtId="0" fontId="7" fillId="0" borderId="149" xfId="0" applyFont="1" applyFill="1" applyBorder="1" applyAlignment="1">
      <alignment horizontal="left"/>
    </xf>
    <xf numFmtId="0" fontId="0" fillId="0" borderId="30" xfId="0" applyFill="1" applyBorder="1"/>
    <xf numFmtId="164" fontId="3" fillId="0" borderId="24" xfId="37" applyNumberFormat="1" applyFont="1" applyFill="1" applyBorder="1" applyAlignment="1">
      <alignment horizontal="center" wrapText="1"/>
    </xf>
    <xf numFmtId="167" fontId="3" fillId="0" borderId="24" xfId="31" applyNumberFormat="1" applyFont="1" applyFill="1" applyBorder="1" applyAlignment="1">
      <alignment horizontal="right"/>
    </xf>
    <xf numFmtId="49" fontId="4" fillId="0" borderId="24" xfId="0" applyNumberFormat="1" applyFont="1" applyFill="1" applyBorder="1" applyAlignment="1">
      <alignment horizontal="left"/>
    </xf>
    <xf numFmtId="0" fontId="3" fillId="26" borderId="56" xfId="0" applyFont="1" applyFill="1" applyBorder="1" applyAlignment="1">
      <alignment horizontal="left" vertical="center" wrapText="1"/>
    </xf>
    <xf numFmtId="164" fontId="3" fillId="26" borderId="53" xfId="37" applyNumberFormat="1" applyFont="1" applyFill="1" applyBorder="1" applyAlignment="1">
      <alignment horizontal="center" wrapText="1"/>
    </xf>
    <xf numFmtId="164" fontId="3" fillId="26" borderId="54" xfId="37" applyNumberFormat="1" applyFont="1" applyFill="1" applyBorder="1" applyAlignment="1">
      <alignment horizontal="center" wrapText="1"/>
    </xf>
    <xf numFmtId="4" fontId="3" fillId="0" borderId="56" xfId="31" applyNumberFormat="1" applyFont="1" applyBorder="1"/>
    <xf numFmtId="0" fontId="55" fillId="0" borderId="47" xfId="0" applyFont="1" applyBorder="1" applyAlignment="1">
      <alignment horizontal="center" wrapText="1"/>
    </xf>
    <xf numFmtId="174" fontId="4" fillId="0" borderId="145" xfId="31" applyNumberFormat="1" applyFont="1" applyBorder="1"/>
    <xf numFmtId="174" fontId="3" fillId="0" borderId="145" xfId="31" applyNumberFormat="1" applyFont="1" applyBorder="1" applyAlignment="1">
      <alignment horizontal="right"/>
    </xf>
    <xf numFmtId="174" fontId="4" fillId="0" borderId="145" xfId="31" applyNumberFormat="1" applyFont="1" applyBorder="1" applyAlignment="1">
      <alignment horizontal="right"/>
    </xf>
    <xf numFmtId="174" fontId="3" fillId="0" borderId="97" xfId="31" applyNumberFormat="1" applyFont="1" applyBorder="1" applyAlignment="1">
      <alignment horizontal="right"/>
    </xf>
    <xf numFmtId="174" fontId="3" fillId="0" borderId="24" xfId="31" applyNumberFormat="1" applyFont="1" applyFill="1" applyBorder="1"/>
    <xf numFmtId="174" fontId="4" fillId="0" borderId="24" xfId="31" applyNumberFormat="1" applyFont="1" applyFill="1" applyBorder="1"/>
    <xf numFmtId="174" fontId="3" fillId="0" borderId="53" xfId="31" applyNumberFormat="1" applyFont="1" applyFill="1" applyBorder="1" applyAlignment="1">
      <alignment horizontal="right"/>
    </xf>
    <xf numFmtId="0" fontId="3" fillId="0" borderId="66" xfId="0" applyFont="1" applyBorder="1" applyAlignment="1">
      <alignment horizontal="left"/>
    </xf>
    <xf numFmtId="0" fontId="48" fillId="26" borderId="30" xfId="0" applyFont="1" applyFill="1" applyBorder="1" applyAlignment="1">
      <alignment horizontal="center" wrapText="1"/>
    </xf>
    <xf numFmtId="0" fontId="48" fillId="0" borderId="30" xfId="0" applyFont="1" applyBorder="1" applyAlignment="1">
      <alignment horizontal="center" wrapText="1"/>
    </xf>
    <xf numFmtId="0" fontId="48" fillId="0" borderId="53" xfId="0" applyFont="1" applyBorder="1" applyAlignment="1">
      <alignment horizontal="center" wrapText="1"/>
    </xf>
    <xf numFmtId="0" fontId="8" fillId="0" borderId="20" xfId="0" applyFont="1" applyBorder="1" applyAlignment="1">
      <alignment horizontal="left"/>
    </xf>
    <xf numFmtId="49" fontId="7" fillId="0" borderId="20" xfId="31" applyNumberFormat="1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49" fontId="8" fillId="0" borderId="20" xfId="31" applyNumberFormat="1" applyFont="1" applyFill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49" fontId="2" fillId="0" borderId="66" xfId="31" applyNumberForma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7" fillId="0" borderId="34" xfId="31" applyNumberFormat="1" applyFont="1" applyFill="1" applyBorder="1" applyAlignment="1"/>
    <xf numFmtId="4" fontId="8" fillId="0" borderId="34" xfId="31" applyNumberFormat="1" applyFont="1" applyFill="1" applyBorder="1" applyAlignment="1"/>
    <xf numFmtId="0" fontId="7" fillId="0" borderId="34" xfId="0" applyFont="1" applyBorder="1" applyAlignment="1"/>
    <xf numFmtId="0" fontId="8" fillId="0" borderId="34" xfId="0" applyFont="1" applyBorder="1" applyAlignment="1">
      <alignment vertical="justify" wrapText="1"/>
    </xf>
    <xf numFmtId="0" fontId="8" fillId="0" borderId="34" xfId="0" applyFont="1" applyBorder="1" applyAlignment="1"/>
    <xf numFmtId="0" fontId="7" fillId="0" borderId="34" xfId="0" applyFont="1" applyBorder="1"/>
    <xf numFmtId="0" fontId="8" fillId="0" borderId="34" xfId="0" applyFont="1" applyBorder="1"/>
    <xf numFmtId="0" fontId="6" fillId="0" borderId="34" xfId="0" applyFont="1" applyBorder="1"/>
    <xf numFmtId="0" fontId="8" fillId="0" borderId="34" xfId="0" applyFont="1" applyFill="1" applyBorder="1"/>
    <xf numFmtId="4" fontId="8" fillId="0" borderId="34" xfId="31" applyNumberFormat="1" applyFont="1" applyBorder="1"/>
    <xf numFmtId="4" fontId="7" fillId="0" borderId="34" xfId="31" applyNumberFormat="1" applyFont="1" applyBorder="1"/>
    <xf numFmtId="4" fontId="3" fillId="0" borderId="30" xfId="31" applyNumberFormat="1" applyFont="1" applyBorder="1" applyAlignment="1">
      <alignment horizontal="center"/>
    </xf>
    <xf numFmtId="0" fontId="7" fillId="0" borderId="50" xfId="0" applyFont="1" applyBorder="1" applyAlignment="1">
      <alignment horizontal="left"/>
    </xf>
    <xf numFmtId="0" fontId="7" fillId="0" borderId="37" xfId="0" applyFont="1" applyBorder="1"/>
    <xf numFmtId="0" fontId="2" fillId="0" borderId="0" xfId="0" applyFont="1" applyFill="1"/>
    <xf numFmtId="0" fontId="13" fillId="0" borderId="34" xfId="0" applyFont="1" applyFill="1" applyBorder="1" applyAlignment="1">
      <alignment vertical="center"/>
    </xf>
    <xf numFmtId="0" fontId="13" fillId="0" borderId="34" xfId="0" applyFont="1" applyFill="1" applyBorder="1" applyAlignment="1">
      <alignment horizontal="center" vertical="center"/>
    </xf>
    <xf numFmtId="49" fontId="13" fillId="0" borderId="34" xfId="0" applyNumberFormat="1" applyFont="1" applyFill="1" applyBorder="1" applyAlignment="1">
      <alignment horizontal="center" vertical="center"/>
    </xf>
    <xf numFmtId="167" fontId="13" fillId="0" borderId="34" xfId="35" applyNumberFormat="1" applyFont="1" applyFill="1" applyBorder="1" applyAlignment="1">
      <alignment vertical="center"/>
    </xf>
    <xf numFmtId="167" fontId="13" fillId="0" borderId="23" xfId="35" applyNumberFormat="1" applyFont="1" applyFill="1" applyBorder="1" applyAlignment="1">
      <alignment vertical="center"/>
    </xf>
    <xf numFmtId="0" fontId="13" fillId="0" borderId="26" xfId="0" applyFont="1" applyFill="1" applyBorder="1" applyAlignment="1">
      <alignment horizontal="center" vertical="center" wrapText="1"/>
    </xf>
    <xf numFmtId="165" fontId="0" fillId="26" borderId="0" xfId="0" applyNumberFormat="1" applyFill="1"/>
    <xf numFmtId="164" fontId="0" fillId="0" borderId="0" xfId="37" applyFont="1" applyAlignment="1">
      <alignment horizontal="left"/>
    </xf>
    <xf numFmtId="0" fontId="8" fillId="0" borderId="34" xfId="0" applyFont="1" applyBorder="1" applyAlignment="1">
      <alignment wrapText="1"/>
    </xf>
    <xf numFmtId="49" fontId="2" fillId="0" borderId="24" xfId="0" applyNumberFormat="1" applyFont="1" applyFill="1" applyBorder="1" applyAlignment="1">
      <alignment horizontal="left"/>
    </xf>
    <xf numFmtId="164" fontId="2" fillId="0" borderId="0" xfId="37" applyFont="1"/>
    <xf numFmtId="164" fontId="53" fillId="0" borderId="0" xfId="37" applyFont="1" applyFill="1"/>
    <xf numFmtId="164" fontId="16" fillId="0" borderId="31" xfId="37" applyFont="1" applyBorder="1" applyAlignment="1">
      <alignment horizontal="center"/>
    </xf>
    <xf numFmtId="164" fontId="20" fillId="0" borderId="30" xfId="37" applyFont="1" applyBorder="1" applyAlignment="1">
      <alignment horizontal="center" vertical="center" wrapText="1"/>
    </xf>
    <xf numFmtId="164" fontId="9" fillId="0" borderId="33" xfId="37" applyFont="1" applyFill="1" applyBorder="1"/>
    <xf numFmtId="164" fontId="3" fillId="0" borderId="33" xfId="37" applyFont="1" applyBorder="1"/>
    <xf numFmtId="164" fontId="3" fillId="0" borderId="23" xfId="37" applyFont="1" applyBorder="1"/>
    <xf numFmtId="164" fontId="2" fillId="0" borderId="34" xfId="37" applyBorder="1"/>
    <xf numFmtId="164" fontId="2" fillId="0" borderId="23" xfId="37" applyBorder="1"/>
    <xf numFmtId="164" fontId="2" fillId="0" borderId="0" xfId="37" applyBorder="1"/>
    <xf numFmtId="164" fontId="4" fillId="0" borderId="37" xfId="37" applyFont="1" applyBorder="1"/>
    <xf numFmtId="164" fontId="2" fillId="0" borderId="37" xfId="37" applyBorder="1"/>
    <xf numFmtId="164" fontId="2" fillId="0" borderId="49" xfId="37" applyBorder="1"/>
    <xf numFmtId="164" fontId="4" fillId="0" borderId="23" xfId="37" applyFont="1" applyFill="1" applyBorder="1"/>
    <xf numFmtId="164" fontId="3" fillId="0" borderId="47" xfId="37" applyFont="1" applyBorder="1"/>
    <xf numFmtId="164" fontId="2" fillId="0" borderId="0" xfId="37"/>
    <xf numFmtId="164" fontId="2" fillId="0" borderId="0" xfId="37" applyFont="1" applyBorder="1"/>
    <xf numFmtId="49" fontId="53" fillId="0" borderId="0" xfId="31" applyNumberFormat="1" applyFont="1" applyAlignment="1">
      <alignment horizontal="left"/>
    </xf>
    <xf numFmtId="4" fontId="53" fillId="0" borderId="0" xfId="31" applyNumberFormat="1" applyFont="1"/>
    <xf numFmtId="164" fontId="53" fillId="0" borderId="0" xfId="37" applyFont="1"/>
    <xf numFmtId="164" fontId="53" fillId="0" borderId="0" xfId="37" applyFont="1" applyBorder="1"/>
    <xf numFmtId="165" fontId="53" fillId="0" borderId="0" xfId="33" applyFont="1" applyFill="1"/>
    <xf numFmtId="8" fontId="4" fillId="0" borderId="12" xfId="0" applyNumberFormat="1" applyFont="1" applyFill="1" applyBorder="1" applyAlignment="1">
      <alignment horizontal="center"/>
    </xf>
    <xf numFmtId="8" fontId="3" fillId="0" borderId="12" xfId="0" applyNumberFormat="1" applyFont="1" applyFill="1" applyBorder="1" applyAlignment="1">
      <alignment horizontal="center"/>
    </xf>
    <xf numFmtId="8" fontId="3" fillId="0" borderId="14" xfId="0" applyNumberFormat="1" applyFont="1" applyFill="1" applyBorder="1" applyAlignment="1">
      <alignment horizontal="center"/>
    </xf>
    <xf numFmtId="8" fontId="3" fillId="0" borderId="15" xfId="0" applyNumberFormat="1" applyFont="1" applyFill="1" applyBorder="1" applyAlignment="1">
      <alignment horizontal="center"/>
    </xf>
    <xf numFmtId="167" fontId="58" fillId="0" borderId="0" xfId="0" applyNumberFormat="1" applyFont="1"/>
    <xf numFmtId="0" fontId="58" fillId="0" borderId="0" xfId="0" applyFont="1"/>
    <xf numFmtId="4" fontId="58" fillId="0" borderId="0" xfId="0" applyNumberFormat="1" applyFont="1"/>
    <xf numFmtId="164" fontId="58" fillId="0" borderId="0" xfId="37" applyFont="1" applyAlignment="1">
      <alignment horizontal="center"/>
    </xf>
    <xf numFmtId="164" fontId="58" fillId="0" borderId="0" xfId="0" applyNumberFormat="1" applyFont="1"/>
    <xf numFmtId="0" fontId="58" fillId="0" borderId="0" xfId="0" applyFont="1" applyFill="1"/>
    <xf numFmtId="165" fontId="58" fillId="0" borderId="0" xfId="0" applyNumberFormat="1" applyFont="1" applyFill="1"/>
    <xf numFmtId="164" fontId="0" fillId="0" borderId="0" xfId="0" applyNumberFormat="1" applyFill="1"/>
    <xf numFmtId="174" fontId="0" fillId="0" borderId="0" xfId="0" applyNumberFormat="1" applyFill="1" applyAlignment="1">
      <alignment horizontal="center"/>
    </xf>
    <xf numFmtId="174" fontId="8" fillId="0" borderId="30" xfId="0" applyNumberFormat="1" applyFont="1" applyFill="1" applyBorder="1" applyAlignment="1">
      <alignment horizontal="center" wrapText="1"/>
    </xf>
    <xf numFmtId="174" fontId="3" fillId="0" borderId="17" xfId="33" applyNumberFormat="1" applyFont="1" applyFill="1" applyBorder="1" applyAlignment="1">
      <alignment vertical="center"/>
    </xf>
    <xf numFmtId="174" fontId="3" fillId="0" borderId="12" xfId="37" applyNumberFormat="1" applyFont="1" applyFill="1" applyBorder="1" applyAlignment="1">
      <alignment vertical="center"/>
    </xf>
    <xf numFmtId="174" fontId="3" fillId="0" borderId="12" xfId="37" applyNumberFormat="1" applyFont="1" applyFill="1" applyBorder="1" applyAlignment="1"/>
    <xf numFmtId="174" fontId="2" fillId="0" borderId="12" xfId="37" applyNumberFormat="1" applyFill="1" applyBorder="1" applyAlignment="1"/>
    <xf numFmtId="174" fontId="3" fillId="0" borderId="67" xfId="37" applyNumberFormat="1" applyFont="1" applyFill="1" applyBorder="1" applyAlignment="1"/>
    <xf numFmtId="174" fontId="3" fillId="0" borderId="48" xfId="37" applyNumberFormat="1" applyFont="1" applyFill="1" applyBorder="1" applyAlignment="1"/>
    <xf numFmtId="174" fontId="2" fillId="0" borderId="48" xfId="37" applyNumberFormat="1" applyFill="1" applyBorder="1" applyAlignment="1"/>
    <xf numFmtId="174" fontId="4" fillId="0" borderId="12" xfId="37" applyNumberFormat="1" applyFont="1" applyFill="1" applyBorder="1" applyAlignment="1"/>
    <xf numFmtId="174" fontId="8" fillId="0" borderId="12" xfId="37" applyNumberFormat="1" applyFont="1" applyFill="1" applyBorder="1" applyAlignment="1">
      <alignment vertical="center" wrapText="1"/>
    </xf>
    <xf numFmtId="174" fontId="7" fillId="0" borderId="51" xfId="37" applyNumberFormat="1" applyFont="1" applyFill="1" applyBorder="1" applyAlignment="1">
      <alignment vertical="center" wrapText="1"/>
    </xf>
    <xf numFmtId="174" fontId="3" fillId="0" borderId="53" xfId="37" applyNumberFormat="1" applyFont="1" applyFill="1" applyBorder="1"/>
    <xf numFmtId="174" fontId="58" fillId="0" borderId="0" xfId="0" applyNumberFormat="1" applyFont="1" applyFill="1"/>
    <xf numFmtId="0" fontId="3" fillId="0" borderId="77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vertical="center"/>
    </xf>
    <xf numFmtId="0" fontId="0" fillId="25" borderId="10" xfId="0" applyFill="1" applyBorder="1" applyAlignment="1">
      <alignment vertical="center"/>
    </xf>
    <xf numFmtId="0" fontId="3" fillId="0" borderId="48" xfId="0" applyFont="1" applyFill="1" applyBorder="1" applyAlignment="1"/>
    <xf numFmtId="0" fontId="3" fillId="0" borderId="36" xfId="0" applyFont="1" applyFill="1" applyBorder="1" applyAlignment="1"/>
    <xf numFmtId="0" fontId="3" fillId="0" borderId="95" xfId="0" applyFont="1" applyFill="1" applyBorder="1" applyAlignment="1"/>
    <xf numFmtId="0" fontId="3" fillId="0" borderId="92" xfId="0" applyFont="1" applyFill="1" applyBorder="1" applyAlignment="1"/>
    <xf numFmtId="0" fontId="3" fillId="0" borderId="90" xfId="0" applyFont="1" applyFill="1" applyBorder="1" applyAlignment="1"/>
    <xf numFmtId="0" fontId="3" fillId="0" borderId="162" xfId="0" applyFont="1" applyFill="1" applyBorder="1" applyAlignment="1">
      <alignment horizontal="center" vertical="center" wrapText="1"/>
    </xf>
    <xf numFmtId="173" fontId="3" fillId="0" borderId="151" xfId="0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87" xfId="0" applyFont="1" applyFill="1" applyBorder="1" applyAlignment="1">
      <alignment vertical="center" wrapText="1"/>
    </xf>
    <xf numFmtId="10" fontId="8" fillId="0" borderId="3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0" fontId="59" fillId="0" borderId="0" xfId="0" applyFont="1" applyFill="1" applyAlignment="1">
      <alignment horizontal="center"/>
    </xf>
    <xf numFmtId="167" fontId="60" fillId="0" borderId="30" xfId="35" applyNumberFormat="1" applyFont="1" applyFill="1" applyBorder="1"/>
    <xf numFmtId="171" fontId="0" fillId="0" borderId="0" xfId="0" applyNumberFormat="1" applyFill="1"/>
    <xf numFmtId="49" fontId="4" fillId="0" borderId="38" xfId="0" applyNumberFormat="1" applyFont="1" applyFill="1" applyBorder="1" applyAlignment="1">
      <alignment horizontal="center"/>
    </xf>
    <xf numFmtId="8" fontId="3" fillId="0" borderId="28" xfId="0" applyNumberFormat="1" applyFont="1" applyFill="1" applyBorder="1" applyAlignment="1">
      <alignment horizontal="center"/>
    </xf>
    <xf numFmtId="0" fontId="13" fillId="0" borderId="144" xfId="0" applyFont="1" applyFill="1" applyBorder="1" applyAlignment="1">
      <alignment vertical="center" wrapText="1"/>
    </xf>
    <xf numFmtId="8" fontId="3" fillId="0" borderId="92" xfId="0" applyNumberFormat="1" applyFont="1" applyFill="1" applyBorder="1" applyAlignment="1">
      <alignment horizontal="center" vertical="center"/>
    </xf>
    <xf numFmtId="8" fontId="4" fillId="0" borderId="90" xfId="0" applyNumberFormat="1" applyFont="1" applyFill="1" applyBorder="1" applyAlignment="1">
      <alignment horizontal="center"/>
    </xf>
    <xf numFmtId="8" fontId="3" fillId="0" borderId="90" xfId="0" applyNumberFormat="1" applyFont="1" applyFill="1" applyBorder="1" applyAlignment="1">
      <alignment horizontal="center"/>
    </xf>
    <xf numFmtId="8" fontId="3" fillId="0" borderId="154" xfId="0" applyNumberFormat="1" applyFont="1" applyFill="1" applyBorder="1" applyAlignment="1">
      <alignment horizontal="center"/>
    </xf>
    <xf numFmtId="8" fontId="3" fillId="0" borderId="151" xfId="0" applyNumberFormat="1" applyFont="1" applyFill="1" applyBorder="1" applyAlignment="1">
      <alignment horizontal="center"/>
    </xf>
    <xf numFmtId="8" fontId="4" fillId="0" borderId="148" xfId="0" applyNumberFormat="1" applyFont="1" applyFill="1" applyBorder="1" applyAlignment="1">
      <alignment horizontal="center"/>
    </xf>
    <xf numFmtId="8" fontId="3" fillId="0" borderId="148" xfId="0" applyNumberFormat="1" applyFont="1" applyFill="1" applyBorder="1" applyAlignment="1">
      <alignment horizontal="center"/>
    </xf>
    <xf numFmtId="8" fontId="3" fillId="0" borderId="87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164" fontId="58" fillId="0" borderId="0" xfId="37" applyFont="1"/>
    <xf numFmtId="44" fontId="4" fillId="0" borderId="0" xfId="0" applyNumberFormat="1" applyFont="1" applyFill="1"/>
    <xf numFmtId="0" fontId="8" fillId="0" borderId="66" xfId="0" applyFont="1" applyFill="1" applyBorder="1" applyAlignment="1">
      <alignment horizontal="center" vertical="center"/>
    </xf>
    <xf numFmtId="164" fontId="3" fillId="0" borderId="148" xfId="37" applyFont="1" applyFill="1" applyBorder="1" applyAlignment="1"/>
    <xf numFmtId="164" fontId="2" fillId="0" borderId="148" xfId="37" applyFill="1" applyBorder="1" applyAlignment="1"/>
    <xf numFmtId="164" fontId="2" fillId="0" borderId="149" xfId="37" applyFill="1" applyBorder="1" applyAlignment="1"/>
    <xf numFmtId="0" fontId="3" fillId="0" borderId="0" xfId="0" applyFont="1" applyFill="1" applyAlignment="1">
      <alignment horizontal="center"/>
    </xf>
    <xf numFmtId="164" fontId="13" fillId="0" borderId="33" xfId="37" applyFont="1" applyFill="1" applyBorder="1" applyAlignment="1">
      <alignment horizontal="center"/>
    </xf>
    <xf numFmtId="164" fontId="13" fillId="0" borderId="34" xfId="37" applyFont="1" applyFill="1" applyBorder="1" applyAlignment="1">
      <alignment horizontal="center"/>
    </xf>
    <xf numFmtId="164" fontId="13" fillId="0" borderId="34" xfId="37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31" xfId="0" applyFont="1" applyFill="1" applyBorder="1" applyAlignment="1"/>
    <xf numFmtId="0" fontId="3" fillId="0" borderId="32" xfId="0" applyFont="1" applyFill="1" applyBorder="1" applyAlignment="1"/>
    <xf numFmtId="0" fontId="3" fillId="0" borderId="47" xfId="0" applyFont="1" applyFill="1" applyBorder="1" applyAlignment="1"/>
    <xf numFmtId="10" fontId="39" fillId="0" borderId="66" xfId="0" applyNumberFormat="1" applyFont="1" applyFill="1" applyBorder="1" applyAlignment="1">
      <alignment vertical="center"/>
    </xf>
    <xf numFmtId="9" fontId="39" fillId="0" borderId="82" xfId="0" applyNumberFormat="1" applyFont="1" applyFill="1" applyBorder="1" applyAlignment="1">
      <alignment vertical="center"/>
    </xf>
    <xf numFmtId="9" fontId="39" fillId="0" borderId="23" xfId="0" applyNumberFormat="1" applyFont="1" applyFill="1" applyBorder="1" applyAlignment="1">
      <alignment horizontal="center" vertical="center"/>
    </xf>
    <xf numFmtId="9" fontId="8" fillId="0" borderId="3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7" fontId="2" fillId="0" borderId="0" xfId="0" applyNumberFormat="1" applyFont="1"/>
    <xf numFmtId="0" fontId="2" fillId="0" borderId="0" xfId="0" applyFont="1"/>
    <xf numFmtId="0" fontId="13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vertical="center" wrapText="1"/>
    </xf>
    <xf numFmtId="167" fontId="13" fillId="0" borderId="33" xfId="35" applyNumberFormat="1" applyFont="1" applyFill="1" applyBorder="1" applyAlignment="1">
      <alignment horizontal="center"/>
    </xf>
    <xf numFmtId="167" fontId="13" fillId="0" borderId="34" xfId="35" applyNumberFormat="1" applyFont="1" applyFill="1" applyBorder="1" applyAlignment="1">
      <alignment horizontal="center"/>
    </xf>
    <xf numFmtId="167" fontId="13" fillId="0" borderId="34" xfId="35" applyNumberFormat="1" applyFont="1" applyFill="1" applyBorder="1" applyAlignment="1">
      <alignment horizontal="center" vertical="center"/>
    </xf>
    <xf numFmtId="167" fontId="13" fillId="0" borderId="37" xfId="35" applyNumberFormat="1" applyFont="1" applyFill="1" applyBorder="1" applyAlignment="1">
      <alignment horizontal="center"/>
    </xf>
    <xf numFmtId="167" fontId="13" fillId="0" borderId="30" xfId="35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167" fontId="58" fillId="0" borderId="0" xfId="0" applyNumberFormat="1" applyFont="1" applyFill="1" applyAlignment="1">
      <alignment horizontal="center"/>
    </xf>
    <xf numFmtId="164" fontId="58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95" xfId="0" applyFont="1" applyFill="1" applyBorder="1" applyAlignment="1">
      <alignment horizontal="center" vertical="center" wrapText="1"/>
    </xf>
    <xf numFmtId="174" fontId="3" fillId="0" borderId="148" xfId="0" applyNumberFormat="1" applyFont="1" applyFill="1" applyBorder="1"/>
    <xf numFmtId="174" fontId="4" fillId="0" borderId="90" xfId="0" applyNumberFormat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8" fontId="4" fillId="0" borderId="25" xfId="0" applyNumberFormat="1" applyFont="1" applyFill="1" applyBorder="1" applyAlignment="1">
      <alignment horizontal="center" vertical="center"/>
    </xf>
    <xf numFmtId="8" fontId="4" fillId="0" borderId="27" xfId="0" applyNumberFormat="1" applyFont="1" applyFill="1" applyBorder="1" applyAlignment="1">
      <alignment horizontal="center" vertical="center"/>
    </xf>
    <xf numFmtId="8" fontId="4" fillId="0" borderId="78" xfId="0" applyNumberFormat="1" applyFont="1" applyFill="1" applyBorder="1" applyAlignment="1">
      <alignment horizontal="center" vertical="center"/>
    </xf>
    <xf numFmtId="8" fontId="4" fillId="0" borderId="33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 wrapText="1"/>
    </xf>
    <xf numFmtId="0" fontId="13" fillId="0" borderId="162" xfId="0" applyFont="1" applyFill="1" applyBorder="1" applyAlignment="1">
      <alignment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8" fontId="4" fillId="0" borderId="14" xfId="0" applyNumberFormat="1" applyFont="1" applyFill="1" applyBorder="1" applyAlignment="1">
      <alignment horizontal="center" vertical="center"/>
    </xf>
    <xf numFmtId="8" fontId="4" fillId="0" borderId="15" xfId="0" applyNumberFormat="1" applyFont="1" applyFill="1" applyBorder="1" applyAlignment="1">
      <alignment horizontal="center" vertical="center"/>
    </xf>
    <xf numFmtId="8" fontId="4" fillId="0" borderId="154" xfId="0" applyNumberFormat="1" applyFont="1" applyFill="1" applyBorder="1" applyAlignment="1">
      <alignment horizontal="center" vertical="center"/>
    </xf>
    <xf numFmtId="8" fontId="4" fillId="0" borderId="87" xfId="0" applyNumberFormat="1" applyFont="1" applyFill="1" applyBorder="1" applyAlignment="1">
      <alignment horizontal="center" vertical="center"/>
    </xf>
    <xf numFmtId="164" fontId="4" fillId="0" borderId="0" xfId="37" applyFont="1" applyFill="1"/>
    <xf numFmtId="164" fontId="38" fillId="0" borderId="0" xfId="37" applyFont="1"/>
    <xf numFmtId="164" fontId="38" fillId="0" borderId="0" xfId="37" applyFont="1" applyFill="1"/>
    <xf numFmtId="164" fontId="38" fillId="0" borderId="0" xfId="37" applyFont="1" applyFill="1" applyBorder="1"/>
    <xf numFmtId="164" fontId="3" fillId="0" borderId="0" xfId="37" applyFont="1"/>
    <xf numFmtId="44" fontId="0" fillId="0" borderId="0" xfId="0" applyNumberFormat="1" applyFill="1"/>
    <xf numFmtId="0" fontId="19" fillId="0" borderId="0" xfId="0" applyFont="1" applyFill="1" applyAlignment="1">
      <alignment horizontal="left"/>
    </xf>
    <xf numFmtId="8" fontId="3" fillId="0" borderId="9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164" fontId="2" fillId="0" borderId="24" xfId="37" applyNumberFormat="1" applyFont="1" applyFill="1" applyBorder="1" applyAlignment="1">
      <alignment horizontal="center" wrapText="1"/>
    </xf>
    <xf numFmtId="164" fontId="3" fillId="0" borderId="22" xfId="37" applyNumberFormat="1" applyFont="1" applyFill="1" applyBorder="1" applyAlignment="1">
      <alignment horizontal="center" wrapText="1"/>
    </xf>
    <xf numFmtId="167" fontId="3" fillId="0" borderId="22" xfId="31" applyNumberFormat="1" applyFont="1" applyFill="1" applyBorder="1" applyAlignment="1">
      <alignment horizontal="right"/>
    </xf>
    <xf numFmtId="0" fontId="2" fillId="0" borderId="43" xfId="0" applyFont="1" applyFill="1" applyBorder="1"/>
    <xf numFmtId="0" fontId="2" fillId="0" borderId="20" xfId="0" applyFont="1" applyFill="1" applyBorder="1" applyAlignment="1">
      <alignment horizontal="left"/>
    </xf>
    <xf numFmtId="0" fontId="2" fillId="26" borderId="66" xfId="0" applyFont="1" applyFill="1" applyBorder="1" applyAlignment="1">
      <alignment horizontal="left" vertical="center" wrapText="1"/>
    </xf>
    <xf numFmtId="0" fontId="2" fillId="26" borderId="0" xfId="0" applyFont="1" applyFill="1" applyAlignment="1">
      <alignment horizontal="left"/>
    </xf>
    <xf numFmtId="4" fontId="2" fillId="0" borderId="43" xfId="31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164" fontId="2" fillId="0" borderId="22" xfId="37" applyNumberFormat="1" applyFont="1" applyFill="1" applyBorder="1" applyAlignment="1">
      <alignment horizontal="center" wrapText="1"/>
    </xf>
    <xf numFmtId="164" fontId="2" fillId="0" borderId="0" xfId="0" applyNumberFormat="1" applyFont="1"/>
    <xf numFmtId="167" fontId="2" fillId="0" borderId="24" xfId="31" applyNumberFormat="1" applyFont="1" applyFill="1" applyBorder="1" applyAlignment="1">
      <alignment horizontal="right"/>
    </xf>
    <xf numFmtId="167" fontId="2" fillId="0" borderId="22" xfId="31" applyNumberFormat="1" applyFont="1" applyFill="1" applyBorder="1" applyAlignment="1">
      <alignment horizontal="right"/>
    </xf>
    <xf numFmtId="44" fontId="0" fillId="26" borderId="0" xfId="0" applyNumberFormat="1" applyFill="1"/>
    <xf numFmtId="0" fontId="53" fillId="26" borderId="20" xfId="0" applyFont="1" applyFill="1" applyBorder="1" applyAlignment="1">
      <alignment horizontal="left" vertical="center" wrapText="1"/>
    </xf>
    <xf numFmtId="0" fontId="2" fillId="26" borderId="0" xfId="0" applyFont="1" applyFill="1" applyBorder="1" applyAlignment="1">
      <alignment horizontal="left" vertical="center" wrapText="1"/>
    </xf>
    <xf numFmtId="164" fontId="2" fillId="26" borderId="25" xfId="37" applyNumberFormat="1" applyFont="1" applyFill="1" applyBorder="1" applyAlignment="1">
      <alignment horizontal="center" wrapText="1"/>
    </xf>
    <xf numFmtId="164" fontId="2" fillId="26" borderId="26" xfId="37" applyNumberFormat="1" applyFont="1" applyFill="1" applyBorder="1" applyAlignment="1">
      <alignment horizontal="center" wrapText="1"/>
    </xf>
    <xf numFmtId="164" fontId="2" fillId="26" borderId="22" xfId="37" applyNumberFormat="1" applyFont="1" applyFill="1" applyBorder="1" applyAlignment="1">
      <alignment horizontal="center" wrapText="1"/>
    </xf>
    <xf numFmtId="164" fontId="2" fillId="26" borderId="24" xfId="37" applyNumberFormat="1" applyFont="1" applyFill="1" applyBorder="1" applyAlignment="1">
      <alignment horizontal="center" wrapText="1"/>
    </xf>
    <xf numFmtId="0" fontId="3" fillId="26" borderId="66" xfId="0" applyFont="1" applyFill="1" applyBorder="1" applyAlignment="1">
      <alignment horizontal="center" vertical="center" wrapText="1"/>
    </xf>
    <xf numFmtId="0" fontId="3" fillId="26" borderId="56" xfId="0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174" fontId="2" fillId="0" borderId="24" xfId="31" applyNumberFormat="1" applyFont="1" applyFill="1" applyBorder="1" applyAlignment="1">
      <alignment horizontal="right"/>
    </xf>
    <xf numFmtId="164" fontId="3" fillId="0" borderId="23" xfId="37" applyNumberFormat="1" applyFont="1" applyFill="1" applyBorder="1"/>
    <xf numFmtId="175" fontId="0" fillId="0" borderId="0" xfId="0" applyNumberFormat="1"/>
    <xf numFmtId="49" fontId="2" fillId="0" borderId="0" xfId="0" applyNumberFormat="1" applyFont="1" applyFill="1" applyBorder="1"/>
    <xf numFmtId="164" fontId="3" fillId="0" borderId="33" xfId="37" applyNumberFormat="1" applyFont="1" applyFill="1" applyBorder="1" applyAlignment="1">
      <alignment horizontal="right"/>
    </xf>
    <xf numFmtId="164" fontId="4" fillId="0" borderId="34" xfId="37" applyNumberFormat="1" applyFont="1" applyFill="1" applyBorder="1" applyAlignment="1">
      <alignment horizontal="right"/>
    </xf>
    <xf numFmtId="164" fontId="3" fillId="0" borderId="34" xfId="37" applyNumberFormat="1" applyFont="1" applyFill="1" applyBorder="1" applyAlignment="1">
      <alignment horizontal="right"/>
    </xf>
    <xf numFmtId="164" fontId="4" fillId="0" borderId="35" xfId="37" applyNumberFormat="1" applyFont="1" applyFill="1" applyBorder="1" applyAlignment="1">
      <alignment horizontal="right"/>
    </xf>
    <xf numFmtId="164" fontId="3" fillId="0" borderId="35" xfId="37" applyNumberFormat="1" applyFont="1" applyFill="1" applyBorder="1" applyAlignment="1">
      <alignment horizontal="right"/>
    </xf>
    <xf numFmtId="164" fontId="4" fillId="0" borderId="34" xfId="37" applyNumberFormat="1" applyFont="1" applyFill="1" applyBorder="1"/>
    <xf numFmtId="164" fontId="4" fillId="0" borderId="35" xfId="37" applyNumberFormat="1" applyFont="1" applyFill="1" applyBorder="1"/>
    <xf numFmtId="164" fontId="3" fillId="0" borderId="30" xfId="37" applyNumberFormat="1" applyFont="1" applyFill="1" applyBorder="1" applyAlignment="1">
      <alignment horizontal="right"/>
    </xf>
    <xf numFmtId="164" fontId="3" fillId="0" borderId="34" xfId="37" applyNumberFormat="1" applyFont="1" applyFill="1" applyBorder="1"/>
    <xf numFmtId="49" fontId="2" fillId="0" borderId="20" xfId="0" applyNumberFormat="1" applyFont="1" applyFill="1" applyBorder="1" applyAlignment="1">
      <alignment horizontal="center"/>
    </xf>
    <xf numFmtId="164" fontId="2" fillId="0" borderId="34" xfId="37" applyFont="1" applyFill="1" applyBorder="1" applyAlignment="1">
      <alignment horizontal="right"/>
    </xf>
    <xf numFmtId="164" fontId="2" fillId="0" borderId="35" xfId="37" applyFont="1" applyFill="1" applyBorder="1" applyAlignment="1">
      <alignment horizontal="right"/>
    </xf>
    <xf numFmtId="164" fontId="52" fillId="0" borderId="0" xfId="37" applyFont="1" applyBorder="1"/>
    <xf numFmtId="49" fontId="6" fillId="0" borderId="20" xfId="31" applyNumberFormat="1" applyFont="1" applyFill="1" applyBorder="1" applyAlignment="1">
      <alignment horizontal="left"/>
    </xf>
    <xf numFmtId="4" fontId="6" fillId="0" borderId="34" xfId="31" applyNumberFormat="1" applyFont="1" applyFill="1" applyBorder="1" applyAlignment="1"/>
    <xf numFmtId="176" fontId="6" fillId="0" borderId="0" xfId="31" applyNumberFormat="1" applyFont="1"/>
    <xf numFmtId="173" fontId="2" fillId="0" borderId="148" xfId="0" applyNumberFormat="1" applyFont="1" applyFill="1" applyBorder="1"/>
    <xf numFmtId="0" fontId="53" fillId="0" borderId="0" xfId="0" applyFont="1" applyFill="1"/>
    <xf numFmtId="0" fontId="3" fillId="26" borderId="0" xfId="0" applyFont="1" applyFill="1" applyBorder="1" applyAlignment="1">
      <alignment horizontal="center" wrapText="1"/>
    </xf>
    <xf numFmtId="0" fontId="3" fillId="26" borderId="14" xfId="0" applyFont="1" applyFill="1" applyBorder="1" applyAlignment="1">
      <alignment horizontal="center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3" fillId="26" borderId="73" xfId="0" applyFont="1" applyFill="1" applyBorder="1"/>
    <xf numFmtId="0" fontId="3" fillId="26" borderId="38" xfId="0" applyFont="1" applyFill="1" applyBorder="1"/>
    <xf numFmtId="0" fontId="4" fillId="26" borderId="38" xfId="0" applyFont="1" applyFill="1" applyBorder="1"/>
    <xf numFmtId="0" fontId="52" fillId="26" borderId="38" xfId="0" applyFont="1" applyFill="1" applyBorder="1"/>
    <xf numFmtId="0" fontId="2" fillId="26" borderId="38" xfId="0" applyFont="1" applyFill="1" applyBorder="1"/>
    <xf numFmtId="0" fontId="4" fillId="26" borderId="76" xfId="0" applyFont="1" applyFill="1" applyBorder="1" applyAlignment="1">
      <alignment vertical="justify" wrapText="1"/>
    </xf>
    <xf numFmtId="173" fontId="3" fillId="26" borderId="30" xfId="0" applyNumberFormat="1" applyFont="1" applyFill="1" applyBorder="1"/>
    <xf numFmtId="173" fontId="3" fillId="26" borderId="66" xfId="0" applyNumberFormat="1" applyFont="1" applyFill="1" applyBorder="1"/>
    <xf numFmtId="49" fontId="0" fillId="25" borderId="10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Fill="1" applyAlignment="1">
      <alignment vertical="center" wrapText="1"/>
    </xf>
    <xf numFmtId="164" fontId="2" fillId="0" borderId="0" xfId="37" applyFont="1" applyFill="1"/>
    <xf numFmtId="4" fontId="2" fillId="0" borderId="0" xfId="0" applyNumberFormat="1" applyFont="1"/>
    <xf numFmtId="49" fontId="0" fillId="0" borderId="95" xfId="0" applyNumberFormat="1" applyFill="1" applyBorder="1" applyAlignment="1">
      <alignment horizontal="center"/>
    </xf>
    <xf numFmtId="49" fontId="0" fillId="0" borderId="48" xfId="0" applyNumberFormat="1" applyFill="1" applyBorder="1" applyAlignment="1">
      <alignment horizontal="center"/>
    </xf>
    <xf numFmtId="49" fontId="2" fillId="0" borderId="48" xfId="0" applyNumberFormat="1" applyFont="1" applyFill="1" applyBorder="1" applyAlignment="1">
      <alignment horizontal="center"/>
    </xf>
    <xf numFmtId="49" fontId="0" fillId="0" borderId="74" xfId="0" applyNumberFormat="1" applyFill="1" applyBorder="1" applyAlignment="1">
      <alignment horizontal="center"/>
    </xf>
    <xf numFmtId="0" fontId="8" fillId="27" borderId="50" xfId="0" applyFont="1" applyFill="1" applyBorder="1" applyAlignment="1">
      <alignment vertical="center"/>
    </xf>
    <xf numFmtId="0" fontId="8" fillId="27" borderId="81" xfId="0" applyFont="1" applyFill="1" applyBorder="1" applyAlignment="1">
      <alignment vertical="center"/>
    </xf>
    <xf numFmtId="0" fontId="6" fillId="27" borderId="49" xfId="0" applyFont="1" applyFill="1" applyBorder="1" applyAlignment="1">
      <alignment vertical="center"/>
    </xf>
    <xf numFmtId="49" fontId="3" fillId="27" borderId="14" xfId="0" applyNumberFormat="1" applyFont="1" applyFill="1" applyBorder="1" applyAlignment="1">
      <alignment horizontal="center" vertical="center" wrapText="1"/>
    </xf>
    <xf numFmtId="167" fontId="5" fillId="27" borderId="87" xfId="35" applyNumberFormat="1" applyFont="1" applyFill="1" applyBorder="1" applyAlignment="1">
      <alignment horizontal="center"/>
    </xf>
    <xf numFmtId="167" fontId="5" fillId="27" borderId="34" xfId="35" applyNumberFormat="1" applyFont="1" applyFill="1" applyBorder="1" applyAlignment="1">
      <alignment horizontal="center"/>
    </xf>
    <xf numFmtId="167" fontId="5" fillId="27" borderId="30" xfId="35" applyNumberFormat="1" applyFont="1" applyFill="1" applyBorder="1" applyAlignment="1">
      <alignment horizontal="center"/>
    </xf>
    <xf numFmtId="167" fontId="5" fillId="27" borderId="86" xfId="35" applyNumberFormat="1" applyFont="1" applyFill="1" applyBorder="1" applyAlignment="1">
      <alignment horizontal="center"/>
    </xf>
    <xf numFmtId="167" fontId="5" fillId="27" borderId="86" xfId="35" applyNumberFormat="1" applyFont="1" applyFill="1" applyBorder="1"/>
    <xf numFmtId="49" fontId="0" fillId="27" borderId="48" xfId="0" applyNumberFormat="1" applyFill="1" applyBorder="1" applyAlignment="1">
      <alignment horizontal="center"/>
    </xf>
    <xf numFmtId="167" fontId="13" fillId="27" borderId="34" xfId="35" applyNumberFormat="1" applyFont="1" applyFill="1" applyBorder="1"/>
    <xf numFmtId="167" fontId="13" fillId="27" borderId="86" xfId="35" applyNumberFormat="1" applyFont="1" applyFill="1" applyBorder="1" applyAlignment="1">
      <alignment horizontal="center"/>
    </xf>
    <xf numFmtId="167" fontId="13" fillId="27" borderId="37" xfId="35" applyNumberFormat="1" applyFont="1" applyFill="1" applyBorder="1"/>
    <xf numFmtId="0" fontId="3" fillId="27" borderId="77" xfId="0" applyFont="1" applyFill="1" applyBorder="1" applyAlignment="1">
      <alignment horizontal="center" vertical="center"/>
    </xf>
    <xf numFmtId="0" fontId="3" fillId="27" borderId="15" xfId="0" applyFont="1" applyFill="1" applyBorder="1" applyAlignment="1">
      <alignment horizontal="center" vertical="center"/>
    </xf>
    <xf numFmtId="167" fontId="2" fillId="0" borderId="0" xfId="0" applyNumberFormat="1" applyFont="1" applyFill="1"/>
    <xf numFmtId="49" fontId="2" fillId="0" borderId="95" xfId="0" applyNumberFormat="1" applyFont="1" applyFill="1" applyBorder="1" applyAlignment="1">
      <alignment horizontal="center"/>
    </xf>
    <xf numFmtId="0" fontId="3" fillId="27" borderId="77" xfId="0" applyFont="1" applyFill="1" applyBorder="1" applyAlignment="1">
      <alignment horizontal="center" vertical="center" wrapText="1"/>
    </xf>
    <xf numFmtId="174" fontId="52" fillId="0" borderId="12" xfId="37" applyNumberFormat="1" applyFont="1" applyFill="1" applyBorder="1" applyAlignment="1">
      <alignment vertical="center"/>
    </xf>
    <xf numFmtId="167" fontId="52" fillId="0" borderId="10" xfId="34" quotePrefix="1" applyNumberFormat="1" applyFont="1" applyFill="1" applyBorder="1" applyAlignment="1">
      <alignment wrapText="1"/>
    </xf>
    <xf numFmtId="167" fontId="52" fillId="0" borderId="38" xfId="34" quotePrefix="1" applyNumberFormat="1" applyFont="1" applyFill="1" applyBorder="1" applyAlignment="1">
      <alignment wrapText="1"/>
    </xf>
    <xf numFmtId="167" fontId="52" fillId="0" borderId="148" xfId="34" quotePrefix="1" applyNumberFormat="1" applyFont="1" applyFill="1" applyBorder="1" applyAlignment="1">
      <alignment wrapText="1"/>
    </xf>
    <xf numFmtId="167" fontId="61" fillId="0" borderId="10" xfId="34" quotePrefix="1" applyNumberFormat="1" applyFont="1" applyFill="1" applyBorder="1" applyAlignment="1">
      <alignment wrapText="1"/>
    </xf>
    <xf numFmtId="167" fontId="61" fillId="0" borderId="38" xfId="34" quotePrefix="1" applyNumberFormat="1" applyFont="1" applyFill="1" applyBorder="1" applyAlignment="1">
      <alignment wrapText="1"/>
    </xf>
    <xf numFmtId="174" fontId="61" fillId="0" borderId="12" xfId="37" applyNumberFormat="1" applyFont="1" applyFill="1" applyBorder="1" applyAlignment="1">
      <alignment vertical="center"/>
    </xf>
    <xf numFmtId="167" fontId="52" fillId="0" borderId="10" xfId="34" applyNumberFormat="1" applyFont="1" applyFill="1" applyBorder="1" applyAlignment="1"/>
    <xf numFmtId="167" fontId="52" fillId="0" borderId="38" xfId="34" applyNumberFormat="1" applyFont="1" applyFill="1" applyBorder="1" applyAlignment="1"/>
    <xf numFmtId="167" fontId="61" fillId="0" borderId="148" xfId="34" quotePrefix="1" applyNumberFormat="1" applyFont="1" applyFill="1" applyBorder="1" applyAlignment="1">
      <alignment wrapText="1"/>
    </xf>
    <xf numFmtId="167" fontId="61" fillId="0" borderId="10" xfId="34" applyNumberFormat="1" applyFont="1" applyFill="1" applyBorder="1" applyAlignment="1"/>
    <xf numFmtId="167" fontId="61" fillId="0" borderId="38" xfId="34" applyNumberFormat="1" applyFont="1" applyFill="1" applyBorder="1" applyAlignment="1"/>
    <xf numFmtId="167" fontId="61" fillId="0" borderId="148" xfId="33" applyNumberFormat="1" applyFont="1" applyFill="1" applyBorder="1" applyAlignment="1">
      <alignment vertical="center"/>
    </xf>
    <xf numFmtId="174" fontId="52" fillId="0" borderId="0" xfId="0" applyNumberFormat="1" applyFont="1" applyFill="1"/>
    <xf numFmtId="165" fontId="52" fillId="0" borderId="0" xfId="0" applyNumberFormat="1" applyFont="1" applyFill="1"/>
    <xf numFmtId="174" fontId="3" fillId="0" borderId="48" xfId="0" applyNumberFormat="1" applyFont="1" applyFill="1" applyBorder="1"/>
    <xf numFmtId="174" fontId="3" fillId="0" borderId="36" xfId="0" applyNumberFormat="1" applyFont="1" applyFill="1" applyBorder="1"/>
    <xf numFmtId="0" fontId="6" fillId="0" borderId="90" xfId="0" applyFont="1" applyFill="1" applyBorder="1"/>
    <xf numFmtId="174" fontId="3" fillId="0" borderId="145" xfId="31" applyNumberFormat="1" applyFont="1" applyBorder="1"/>
    <xf numFmtId="49" fontId="3" fillId="0" borderId="24" xfId="0" applyNumberFormat="1" applyFont="1" applyFill="1" applyBorder="1" applyAlignment="1">
      <alignment horizontal="left" vertical="center"/>
    </xf>
    <xf numFmtId="4" fontId="3" fillId="0" borderId="0" xfId="31" applyNumberFormat="1" applyFont="1" applyFill="1" applyBorder="1" applyAlignment="1">
      <alignment vertical="center" wrapText="1"/>
    </xf>
    <xf numFmtId="174" fontId="3" fillId="0" borderId="145" xfId="31" applyNumberFormat="1" applyFont="1" applyBorder="1" applyAlignment="1">
      <alignment vertical="center"/>
    </xf>
    <xf numFmtId="167" fontId="61" fillId="0" borderId="148" xfId="34" quotePrefix="1" applyNumberFormat="1" applyFont="1" applyFill="1" applyBorder="1" applyAlignment="1">
      <alignment vertical="center" wrapText="1"/>
    </xf>
    <xf numFmtId="174" fontId="2" fillId="0" borderId="12" xfId="37" applyNumberFormat="1" applyFill="1" applyBorder="1" applyAlignment="1">
      <alignment vertical="center"/>
    </xf>
    <xf numFmtId="167" fontId="2" fillId="0" borderId="10" xfId="34" applyNumberFormat="1" applyFill="1" applyBorder="1" applyAlignment="1">
      <alignment vertical="center"/>
    </xf>
    <xf numFmtId="167" fontId="2" fillId="0" borderId="38" xfId="34" applyNumberFormat="1" applyFill="1" applyBorder="1" applyAlignment="1">
      <alignment vertical="center"/>
    </xf>
    <xf numFmtId="167" fontId="2" fillId="0" borderId="148" xfId="34" quotePrefix="1" applyNumberFormat="1" applyFill="1" applyBorder="1" applyAlignment="1">
      <alignment vertical="center" wrapText="1"/>
    </xf>
    <xf numFmtId="0" fontId="7" fillId="0" borderId="148" xfId="0" applyFont="1" applyFill="1" applyBorder="1" applyAlignment="1">
      <alignment horizontal="left" vertical="center"/>
    </xf>
    <xf numFmtId="0" fontId="8" fillId="0" borderId="148" xfId="0" applyFont="1" applyFill="1" applyBorder="1" applyAlignment="1">
      <alignment horizontal="left" vertical="center"/>
    </xf>
    <xf numFmtId="167" fontId="0" fillId="0" borderId="10" xfId="0" applyNumberFormat="1" applyFill="1" applyBorder="1" applyAlignment="1">
      <alignment vertical="center"/>
    </xf>
    <xf numFmtId="167" fontId="0" fillId="0" borderId="38" xfId="0" applyNumberFormat="1" applyFill="1" applyBorder="1" applyAlignment="1">
      <alignment vertical="center"/>
    </xf>
    <xf numFmtId="167" fontId="3" fillId="0" borderId="148" xfId="34" quotePrefix="1" applyNumberFormat="1" applyFont="1" applyFill="1" applyBorder="1" applyAlignment="1">
      <alignment vertical="center" wrapText="1"/>
    </xf>
    <xf numFmtId="0" fontId="53" fillId="0" borderId="0" xfId="0" applyFont="1"/>
    <xf numFmtId="0" fontId="51" fillId="0" borderId="0" xfId="0" applyFont="1"/>
    <xf numFmtId="167" fontId="53" fillId="0" borderId="0" xfId="0" applyNumberFormat="1" applyFont="1"/>
    <xf numFmtId="174" fontId="53" fillId="0" borderId="0" xfId="0" applyNumberFormat="1" applyFont="1"/>
    <xf numFmtId="49" fontId="3" fillId="0" borderId="24" xfId="0" applyNumberFormat="1" applyFont="1" applyFill="1" applyBorder="1" applyAlignment="1">
      <alignment horizontal="left"/>
    </xf>
    <xf numFmtId="4" fontId="3" fillId="0" borderId="0" xfId="31" applyNumberFormat="1" applyFont="1" applyFill="1" applyBorder="1" applyAlignment="1">
      <alignment wrapText="1"/>
    </xf>
    <xf numFmtId="4" fontId="3" fillId="0" borderId="43" xfId="31" applyNumberFormat="1" applyFont="1" applyFill="1" applyBorder="1" applyAlignment="1">
      <alignment vertical="center" wrapText="1"/>
    </xf>
    <xf numFmtId="0" fontId="3" fillId="26" borderId="20" xfId="0" applyFont="1" applyFill="1" applyBorder="1" applyAlignment="1">
      <alignment horizontal="left" vertical="center" wrapText="1"/>
    </xf>
    <xf numFmtId="0" fontId="3" fillId="26" borderId="0" xfId="0" applyFont="1" applyFill="1" applyBorder="1" applyAlignment="1">
      <alignment horizontal="left" vertical="center" wrapText="1"/>
    </xf>
    <xf numFmtId="164" fontId="3" fillId="26" borderId="24" xfId="37" applyNumberFormat="1" applyFont="1" applyFill="1" applyBorder="1" applyAlignment="1">
      <alignment horizontal="center" wrapText="1"/>
    </xf>
    <xf numFmtId="49" fontId="3" fillId="25" borderId="60" xfId="0" applyNumberFormat="1" applyFont="1" applyFill="1" applyBorder="1" applyAlignment="1">
      <alignment horizontal="center"/>
    </xf>
    <xf numFmtId="49" fontId="3" fillId="25" borderId="62" xfId="0" applyNumberFormat="1" applyFont="1" applyFill="1" applyBorder="1" applyAlignment="1">
      <alignment horizontal="center"/>
    </xf>
    <xf numFmtId="49" fontId="0" fillId="25" borderId="84" xfId="0" applyNumberFormat="1" applyFill="1" applyBorder="1" applyAlignment="1">
      <alignment horizontal="center" vertical="center"/>
    </xf>
    <xf numFmtId="174" fontId="53" fillId="0" borderId="0" xfId="0" applyNumberFormat="1" applyFont="1" applyFill="1"/>
    <xf numFmtId="49" fontId="0" fillId="25" borderId="60" xfId="0" applyNumberFormat="1" applyFill="1" applyBorder="1"/>
    <xf numFmtId="49" fontId="0" fillId="25" borderId="46" xfId="0" applyNumberFormat="1" applyFill="1" applyBorder="1" applyAlignment="1">
      <alignment horizontal="center" vertical="center"/>
    </xf>
    <xf numFmtId="0" fontId="4" fillId="25" borderId="46" xfId="0" applyFont="1" applyFill="1" applyBorder="1" applyAlignment="1">
      <alignment vertical="center" wrapText="1"/>
    </xf>
    <xf numFmtId="49" fontId="0" fillId="25" borderId="79" xfId="0" applyNumberFormat="1" applyFill="1" applyBorder="1"/>
    <xf numFmtId="49" fontId="0" fillId="25" borderId="52" xfId="0" applyNumberFormat="1" applyFill="1" applyBorder="1" applyAlignment="1">
      <alignment horizontal="center" vertical="center"/>
    </xf>
    <xf numFmtId="0" fontId="0" fillId="25" borderId="52" xfId="0" applyFill="1" applyBorder="1" applyAlignment="1">
      <alignment vertical="center" wrapText="1"/>
    </xf>
    <xf numFmtId="49" fontId="2" fillId="25" borderId="52" xfId="0" applyNumberFormat="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vertical="center" wrapText="1"/>
    </xf>
    <xf numFmtId="0" fontId="3" fillId="27" borderId="16" xfId="0" applyFont="1" applyFill="1" applyBorder="1" applyAlignment="1">
      <alignment horizontal="center" vertical="center"/>
    </xf>
    <xf numFmtId="167" fontId="2" fillId="0" borderId="163" xfId="0" applyNumberFormat="1" applyFont="1" applyBorder="1"/>
    <xf numFmtId="164" fontId="2" fillId="0" borderId="163" xfId="37" applyFont="1" applyBorder="1"/>
    <xf numFmtId="164" fontId="2" fillId="26" borderId="34" xfId="37" applyFont="1" applyFill="1" applyBorder="1"/>
    <xf numFmtId="10" fontId="5" fillId="0" borderId="17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0" borderId="12" xfId="0" applyNumberFormat="1" applyFont="1" applyFill="1" applyBorder="1" applyAlignment="1">
      <alignment horizontal="center" vertical="center"/>
    </xf>
    <xf numFmtId="9" fontId="5" fillId="0" borderId="10" xfId="0" applyNumberFormat="1" applyFont="1" applyFill="1" applyBorder="1" applyAlignment="1">
      <alignment horizontal="center" vertical="center"/>
    </xf>
    <xf numFmtId="10" fontId="5" fillId="0" borderId="14" xfId="0" applyNumberFormat="1" applyFont="1" applyFill="1" applyBorder="1" applyAlignment="1">
      <alignment horizontal="center" vertical="center"/>
    </xf>
    <xf numFmtId="10" fontId="5" fillId="0" borderId="77" xfId="0" applyNumberFormat="1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151" xfId="0" applyFont="1" applyFill="1" applyBorder="1" applyAlignment="1">
      <alignment vertical="center" wrapText="1"/>
    </xf>
    <xf numFmtId="0" fontId="13" fillId="0" borderId="8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8" xfId="0" applyFont="1" applyFill="1" applyBorder="1" applyAlignment="1">
      <alignment vertical="center" wrapText="1"/>
    </xf>
    <xf numFmtId="0" fontId="13" fillId="0" borderId="90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87" xfId="0" applyFont="1" applyFill="1" applyBorder="1" applyAlignment="1">
      <alignment vertical="center" wrapText="1"/>
    </xf>
    <xf numFmtId="0" fontId="13" fillId="0" borderId="94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179" fontId="13" fillId="0" borderId="33" xfId="35" applyNumberFormat="1" applyFont="1" applyFill="1" applyBorder="1"/>
    <xf numFmtId="179" fontId="13" fillId="0" borderId="34" xfId="35" applyNumberFormat="1" applyFont="1" applyFill="1" applyBorder="1"/>
    <xf numFmtId="179" fontId="5" fillId="0" borderId="86" xfId="35" applyNumberFormat="1" applyFont="1" applyFill="1" applyBorder="1" applyAlignment="1">
      <alignment horizontal="center"/>
    </xf>
    <xf numFmtId="179" fontId="13" fillId="0" borderId="34" xfId="35" applyNumberFormat="1" applyFont="1" applyFill="1" applyBorder="1" applyAlignment="1">
      <alignment vertical="center"/>
    </xf>
    <xf numFmtId="179" fontId="5" fillId="0" borderId="86" xfId="35" applyNumberFormat="1" applyFont="1" applyFill="1" applyBorder="1"/>
    <xf numFmtId="179" fontId="13" fillId="0" borderId="86" xfId="35" applyNumberFormat="1" applyFont="1" applyFill="1" applyBorder="1" applyAlignment="1">
      <alignment horizontal="center"/>
    </xf>
    <xf numFmtId="179" fontId="13" fillId="0" borderId="37" xfId="35" applyNumberFormat="1" applyFont="1" applyFill="1" applyBorder="1"/>
    <xf numFmtId="179" fontId="5" fillId="0" borderId="87" xfId="35" applyNumberFormat="1" applyFont="1" applyFill="1" applyBorder="1" applyAlignment="1">
      <alignment horizontal="center"/>
    </xf>
    <xf numFmtId="179" fontId="5" fillId="0" borderId="34" xfId="35" applyNumberFormat="1" applyFont="1" applyFill="1" applyBorder="1" applyAlignment="1">
      <alignment horizontal="center"/>
    </xf>
    <xf numFmtId="179" fontId="5" fillId="0" borderId="30" xfId="35" applyNumberFormat="1" applyFont="1" applyFill="1" applyBorder="1" applyAlignment="1">
      <alignment horizontal="center"/>
    </xf>
    <xf numFmtId="180" fontId="58" fillId="0" borderId="0" xfId="0" applyNumberFormat="1" applyFont="1"/>
    <xf numFmtId="179" fontId="5" fillId="0" borderId="34" xfId="35" applyNumberFormat="1" applyFont="1" applyFill="1" applyBorder="1"/>
    <xf numFmtId="173" fontId="3" fillId="0" borderId="149" xfId="0" applyNumberFormat="1" applyFont="1" applyFill="1" applyBorder="1"/>
    <xf numFmtId="173" fontId="3" fillId="0" borderId="69" xfId="0" applyNumberFormat="1" applyFont="1" applyFill="1" applyBorder="1"/>
    <xf numFmtId="173" fontId="2" fillId="0" borderId="149" xfId="0" applyNumberFormat="1" applyFont="1" applyFill="1" applyBorder="1"/>
    <xf numFmtId="177" fontId="4" fillId="0" borderId="0" xfId="0" applyNumberFormat="1" applyFont="1" applyFill="1"/>
    <xf numFmtId="164" fontId="3" fillId="0" borderId="17" xfId="33" applyNumberFormat="1" applyFont="1" applyFill="1" applyBorder="1" applyAlignment="1">
      <alignment vertical="center"/>
    </xf>
    <xf numFmtId="164" fontId="3" fillId="0" borderId="12" xfId="37" applyNumberFormat="1" applyFont="1" applyFill="1" applyBorder="1" applyAlignment="1">
      <alignment vertical="center"/>
    </xf>
    <xf numFmtId="164" fontId="52" fillId="0" borderId="148" xfId="37" applyNumberFormat="1" applyFont="1" applyFill="1" applyBorder="1" applyAlignment="1">
      <alignment vertical="center"/>
    </xf>
    <xf numFmtId="164" fontId="61" fillId="0" borderId="148" xfId="37" applyNumberFormat="1" applyFont="1" applyFill="1" applyBorder="1" applyAlignment="1">
      <alignment vertical="center"/>
    </xf>
    <xf numFmtId="164" fontId="52" fillId="0" borderId="12" xfId="37" applyNumberFormat="1" applyFont="1" applyFill="1" applyBorder="1" applyAlignment="1">
      <alignment vertical="center"/>
    </xf>
    <xf numFmtId="164" fontId="3" fillId="0" borderId="148" xfId="37" applyNumberFormat="1" applyFont="1" applyFill="1" applyBorder="1" applyAlignment="1"/>
    <xf numFmtId="164" fontId="2" fillId="0" borderId="148" xfId="37" applyNumberFormat="1" applyFill="1" applyBorder="1" applyAlignment="1"/>
    <xf numFmtId="164" fontId="3" fillId="0" borderId="37" xfId="37" applyNumberFormat="1" applyFont="1" applyFill="1" applyBorder="1" applyAlignment="1"/>
    <xf numFmtId="164" fontId="2" fillId="0" borderId="148" xfId="37" applyNumberFormat="1" applyFill="1" applyBorder="1" applyAlignment="1">
      <alignment vertical="center"/>
    </xf>
    <xf numFmtId="164" fontId="4" fillId="0" borderId="148" xfId="37" applyNumberFormat="1" applyFont="1" applyFill="1" applyBorder="1" applyAlignment="1"/>
    <xf numFmtId="164" fontId="3" fillId="0" borderId="148" xfId="37" applyNumberFormat="1" applyFont="1" applyFill="1" applyBorder="1" applyAlignment="1">
      <alignment vertical="center"/>
    </xf>
    <xf numFmtId="164" fontId="3" fillId="0" borderId="0" xfId="37" applyFont="1" applyAlignment="1">
      <alignment horizontal="center"/>
    </xf>
    <xf numFmtId="164" fontId="52" fillId="0" borderId="37" xfId="37" applyNumberFormat="1" applyFont="1" applyFill="1" applyBorder="1"/>
    <xf numFmtId="174" fontId="2" fillId="0" borderId="12" xfId="37" applyNumberFormat="1" applyFont="1" applyFill="1" applyBorder="1" applyAlignment="1">
      <alignment vertical="center"/>
    </xf>
    <xf numFmtId="164" fontId="2" fillId="0" borderId="148" xfId="37" applyNumberFormat="1" applyFont="1" applyFill="1" applyBorder="1" applyAlignment="1">
      <alignment vertical="center"/>
    </xf>
    <xf numFmtId="0" fontId="2" fillId="26" borderId="20" xfId="0" applyFont="1" applyFill="1" applyBorder="1" applyAlignment="1">
      <alignment horizontal="left" vertical="center" wrapText="1"/>
    </xf>
    <xf numFmtId="4" fontId="2" fillId="0" borderId="0" xfId="31" applyNumberFormat="1" applyFont="1" applyFill="1" applyBorder="1" applyAlignment="1">
      <alignment wrapText="1"/>
    </xf>
    <xf numFmtId="4" fontId="3" fillId="0" borderId="43" xfId="31" applyNumberFormat="1" applyFont="1" applyFill="1" applyBorder="1" applyAlignment="1">
      <alignment wrapText="1"/>
    </xf>
    <xf numFmtId="49" fontId="53" fillId="26" borderId="25" xfId="0" applyNumberFormat="1" applyFont="1" applyFill="1" applyBorder="1" applyAlignment="1">
      <alignment horizontal="center" vertical="center" wrapText="1"/>
    </xf>
    <xf numFmtId="49" fontId="53" fillId="26" borderId="24" xfId="0" applyNumberFormat="1" applyFont="1" applyFill="1" applyBorder="1" applyAlignment="1">
      <alignment horizontal="center" vertical="center" wrapText="1"/>
    </xf>
    <xf numFmtId="49" fontId="53" fillId="0" borderId="24" xfId="0" applyNumberFormat="1" applyFont="1" applyFill="1" applyBorder="1" applyAlignment="1">
      <alignment horizontal="left" vertical="center" wrapText="1"/>
    </xf>
    <xf numFmtId="49" fontId="53" fillId="0" borderId="24" xfId="0" applyNumberFormat="1" applyFont="1" applyFill="1" applyBorder="1" applyAlignment="1">
      <alignment horizontal="center" vertical="center" wrapText="1"/>
    </xf>
    <xf numFmtId="49" fontId="53" fillId="0" borderId="24" xfId="0" applyNumberFormat="1" applyFont="1" applyFill="1" applyBorder="1" applyAlignment="1">
      <alignment horizontal="left"/>
    </xf>
    <xf numFmtId="49" fontId="53" fillId="26" borderId="53" xfId="0" applyNumberFormat="1" applyFont="1" applyFill="1" applyBorder="1" applyAlignment="1">
      <alignment horizontal="center" vertical="center" wrapText="1"/>
    </xf>
    <xf numFmtId="164" fontId="3" fillId="26" borderId="32" xfId="37" applyNumberFormat="1" applyFont="1" applyFill="1" applyBorder="1" applyAlignment="1">
      <alignment horizontal="center" wrapText="1"/>
    </xf>
    <xf numFmtId="164" fontId="3" fillId="0" borderId="30" xfId="37" applyNumberFormat="1" applyFont="1" applyFill="1" applyBorder="1" applyAlignment="1">
      <alignment horizontal="center" wrapText="1"/>
    </xf>
    <xf numFmtId="4" fontId="2" fillId="0" borderId="0" xfId="31" applyNumberFormat="1" applyFont="1" applyFill="1" applyBorder="1" applyAlignment="1">
      <alignment vertical="center" wrapText="1"/>
    </xf>
    <xf numFmtId="174" fontId="2" fillId="0" borderId="24" xfId="31" applyNumberFormat="1" applyFont="1" applyFill="1" applyBorder="1"/>
    <xf numFmtId="174" fontId="2" fillId="0" borderId="24" xfId="31" applyNumberFormat="1" applyFont="1" applyFill="1" applyBorder="1" applyAlignment="1">
      <alignment vertical="center"/>
    </xf>
    <xf numFmtId="174" fontId="2" fillId="0" borderId="24" xfId="37" applyNumberFormat="1" applyFont="1" applyFill="1" applyBorder="1" applyAlignment="1">
      <alignment horizontal="center" wrapText="1"/>
    </xf>
    <xf numFmtId="49" fontId="51" fillId="0" borderId="24" xfId="0" applyNumberFormat="1" applyFont="1" applyFill="1" applyBorder="1" applyAlignment="1">
      <alignment horizontal="left" vertical="center" wrapText="1"/>
    </xf>
    <xf numFmtId="174" fontId="4" fillId="0" borderId="21" xfId="31" applyNumberFormat="1" applyFont="1" applyBorder="1"/>
    <xf numFmtId="174" fontId="2" fillId="0" borderId="21" xfId="31" applyNumberFormat="1" applyFont="1" applyBorder="1" applyAlignment="1">
      <alignment horizontal="right"/>
    </xf>
    <xf numFmtId="164" fontId="3" fillId="0" borderId="43" xfId="37" applyNumberFormat="1" applyFont="1" applyFill="1" applyBorder="1" applyAlignment="1">
      <alignment horizontal="center" wrapText="1"/>
    </xf>
    <xf numFmtId="164" fontId="2" fillId="26" borderId="43" xfId="37" applyNumberFormat="1" applyFont="1" applyFill="1" applyBorder="1" applyAlignment="1">
      <alignment horizontal="center" wrapText="1"/>
    </xf>
    <xf numFmtId="174" fontId="4" fillId="0" borderId="43" xfId="31" applyNumberFormat="1" applyFont="1" applyBorder="1"/>
    <xf numFmtId="173" fontId="3" fillId="0" borderId="67" xfId="0" applyNumberFormat="1" applyFont="1" applyFill="1" applyBorder="1"/>
    <xf numFmtId="173" fontId="4" fillId="0" borderId="39" xfId="0" applyNumberFormat="1" applyFont="1" applyFill="1" applyBorder="1"/>
    <xf numFmtId="173" fontId="3" fillId="0" borderId="68" xfId="0" applyNumberFormat="1" applyFont="1" applyFill="1" applyBorder="1"/>
    <xf numFmtId="173" fontId="3" fillId="0" borderId="73" xfId="0" applyNumberFormat="1" applyFont="1" applyFill="1" applyBorder="1"/>
    <xf numFmtId="173" fontId="3" fillId="0" borderId="12" xfId="0" applyNumberFormat="1" applyFont="1" applyFill="1" applyBorder="1"/>
    <xf numFmtId="173" fontId="4" fillId="0" borderId="13" xfId="0" applyNumberFormat="1" applyFont="1" applyFill="1" applyBorder="1"/>
    <xf numFmtId="173" fontId="3" fillId="0" borderId="38" xfId="0" applyNumberFormat="1" applyFont="1" applyFill="1" applyBorder="1"/>
    <xf numFmtId="173" fontId="4" fillId="0" borderId="12" xfId="0" applyNumberFormat="1" applyFont="1" applyFill="1" applyBorder="1"/>
    <xf numFmtId="173" fontId="2" fillId="0" borderId="36" xfId="0" applyNumberFormat="1" applyFont="1" applyFill="1" applyBorder="1"/>
    <xf numFmtId="173" fontId="4" fillId="0" borderId="38" xfId="0" applyNumberFormat="1" applyFont="1" applyFill="1" applyBorder="1"/>
    <xf numFmtId="173" fontId="3" fillId="0" borderId="13" xfId="0" applyNumberFormat="1" applyFont="1" applyFill="1" applyBorder="1"/>
    <xf numFmtId="173" fontId="2" fillId="0" borderId="36" xfId="37" applyNumberFormat="1" applyFont="1" applyFill="1" applyBorder="1"/>
    <xf numFmtId="173" fontId="2" fillId="0" borderId="12" xfId="0" applyNumberFormat="1" applyFont="1" applyFill="1" applyBorder="1"/>
    <xf numFmtId="173" fontId="2" fillId="0" borderId="13" xfId="0" applyNumberFormat="1" applyFont="1" applyFill="1" applyBorder="1"/>
    <xf numFmtId="173" fontId="2" fillId="0" borderId="38" xfId="0" applyNumberFormat="1" applyFont="1" applyFill="1" applyBorder="1"/>
    <xf numFmtId="173" fontId="4" fillId="0" borderId="48" xfId="0" applyNumberFormat="1" applyFont="1" applyFill="1" applyBorder="1"/>
    <xf numFmtId="173" fontId="4" fillId="0" borderId="51" xfId="0" applyNumberFormat="1" applyFont="1" applyFill="1" applyBorder="1"/>
    <xf numFmtId="173" fontId="4" fillId="0" borderId="0" xfId="0" applyNumberFormat="1" applyFont="1" applyFill="1" applyBorder="1"/>
    <xf numFmtId="173" fontId="4" fillId="0" borderId="52" xfId="0" applyNumberFormat="1" applyFont="1" applyFill="1" applyBorder="1"/>
    <xf numFmtId="173" fontId="4" fillId="0" borderId="69" xfId="0" applyNumberFormat="1" applyFont="1" applyFill="1" applyBorder="1"/>
    <xf numFmtId="173" fontId="4" fillId="0" borderId="76" xfId="0" applyNumberFormat="1" applyFont="1" applyFill="1" applyBorder="1"/>
    <xf numFmtId="173" fontId="4" fillId="0" borderId="149" xfId="0" applyNumberFormat="1" applyFont="1" applyFill="1" applyBorder="1"/>
    <xf numFmtId="174" fontId="3" fillId="0" borderId="95" xfId="0" applyNumberFormat="1" applyFont="1" applyFill="1" applyBorder="1"/>
    <xf numFmtId="174" fontId="4" fillId="0" borderId="48" xfId="0" applyNumberFormat="1" applyFont="1" applyFill="1" applyBorder="1"/>
    <xf numFmtId="174" fontId="2" fillId="0" borderId="48" xfId="0" applyNumberFormat="1" applyFont="1" applyFill="1" applyBorder="1"/>
    <xf numFmtId="174" fontId="4" fillId="0" borderId="74" xfId="0" applyNumberFormat="1" applyFont="1" applyFill="1" applyBorder="1"/>
    <xf numFmtId="174" fontId="4" fillId="0" borderId="165" xfId="0" applyNumberFormat="1" applyFont="1" applyFill="1" applyBorder="1"/>
    <xf numFmtId="174" fontId="4" fillId="0" borderId="166" xfId="0" applyNumberFormat="1" applyFont="1" applyFill="1" applyBorder="1"/>
    <xf numFmtId="174" fontId="3" fillId="0" borderId="50" xfId="0" applyNumberFormat="1" applyFont="1" applyFill="1" applyBorder="1"/>
    <xf numFmtId="174" fontId="52" fillId="0" borderId="48" xfId="0" applyNumberFormat="1" applyFont="1" applyFill="1" applyBorder="1"/>
    <xf numFmtId="174" fontId="3" fillId="0" borderId="92" xfId="0" applyNumberFormat="1" applyFont="1" applyFill="1" applyBorder="1"/>
    <xf numFmtId="174" fontId="3" fillId="0" borderId="90" xfId="0" applyNumberFormat="1" applyFont="1" applyFill="1" applyBorder="1"/>
    <xf numFmtId="174" fontId="4" fillId="0" borderId="154" xfId="0" applyNumberFormat="1" applyFont="1" applyFill="1" applyBorder="1"/>
    <xf numFmtId="174" fontId="4" fillId="0" borderId="155" xfId="0" applyNumberFormat="1" applyFont="1" applyFill="1" applyBorder="1"/>
    <xf numFmtId="174" fontId="4" fillId="0" borderId="156" xfId="0" applyNumberFormat="1" applyFont="1" applyFill="1" applyBorder="1"/>
    <xf numFmtId="174" fontId="3" fillId="0" borderId="81" xfId="0" applyNumberFormat="1" applyFont="1" applyFill="1" applyBorder="1"/>
    <xf numFmtId="174" fontId="3" fillId="0" borderId="147" xfId="0" applyNumberFormat="1" applyFont="1" applyFill="1" applyBorder="1"/>
    <xf numFmtId="174" fontId="4" fillId="0" borderId="147" xfId="0" applyNumberFormat="1" applyFont="1" applyFill="1" applyBorder="1"/>
    <xf numFmtId="174" fontId="3" fillId="0" borderId="151" xfId="0" applyNumberFormat="1" applyFont="1" applyFill="1" applyBorder="1"/>
    <xf numFmtId="174" fontId="4" fillId="0" borderId="148" xfId="0" applyNumberFormat="1" applyFont="1" applyFill="1" applyBorder="1"/>
    <xf numFmtId="174" fontId="2" fillId="0" borderId="148" xfId="0" applyNumberFormat="1" applyFont="1" applyFill="1" applyBorder="1"/>
    <xf numFmtId="174" fontId="4" fillId="0" borderId="87" xfId="0" applyNumberFormat="1" applyFont="1" applyFill="1" applyBorder="1"/>
    <xf numFmtId="174" fontId="4" fillId="0" borderId="152" xfId="0" applyNumberFormat="1" applyFont="1" applyFill="1" applyBorder="1"/>
    <xf numFmtId="174" fontId="4" fillId="0" borderId="153" xfId="0" applyNumberFormat="1" applyFont="1" applyFill="1" applyBorder="1"/>
    <xf numFmtId="174" fontId="3" fillId="0" borderId="37" xfId="0" applyNumberFormat="1" applyFont="1" applyFill="1" applyBorder="1"/>
    <xf numFmtId="174" fontId="52" fillId="0" borderId="148" xfId="0" applyNumberFormat="1" applyFont="1" applyFill="1" applyBorder="1"/>
    <xf numFmtId="164" fontId="2" fillId="26" borderId="42" xfId="37" applyNumberFormat="1" applyFont="1" applyFill="1" applyBorder="1" applyAlignment="1">
      <alignment horizontal="center" wrapText="1"/>
    </xf>
    <xf numFmtId="164" fontId="2" fillId="0" borderId="43" xfId="37" applyNumberFormat="1" applyFont="1" applyFill="1" applyBorder="1" applyAlignment="1">
      <alignment horizontal="center" wrapText="1"/>
    </xf>
    <xf numFmtId="167" fontId="3" fillId="0" borderId="43" xfId="31" applyNumberFormat="1" applyFont="1" applyFill="1" applyBorder="1" applyAlignment="1">
      <alignment horizontal="right"/>
    </xf>
    <xf numFmtId="167" fontId="2" fillId="0" borderId="43" xfId="31" applyNumberFormat="1" applyFont="1" applyFill="1" applyBorder="1" applyAlignment="1">
      <alignment horizontal="right"/>
    </xf>
    <xf numFmtId="164" fontId="3" fillId="26" borderId="56" xfId="37" applyNumberFormat="1" applyFont="1" applyFill="1" applyBorder="1" applyAlignment="1">
      <alignment horizontal="center" wrapText="1"/>
    </xf>
    <xf numFmtId="174" fontId="3" fillId="0" borderId="23" xfId="31" applyNumberFormat="1" applyFont="1" applyFill="1" applyBorder="1" applyAlignment="1">
      <alignment horizontal="right"/>
    </xf>
    <xf numFmtId="174" fontId="2" fillId="0" borderId="23" xfId="31" applyNumberFormat="1" applyFont="1" applyFill="1" applyBorder="1" applyAlignment="1">
      <alignment horizontal="right"/>
    </xf>
    <xf numFmtId="0" fontId="3" fillId="26" borderId="30" xfId="0" applyFont="1" applyFill="1" applyBorder="1" applyAlignment="1">
      <alignment horizontal="center" vertical="center" wrapText="1"/>
    </xf>
    <xf numFmtId="164" fontId="2" fillId="26" borderId="33" xfId="37" applyNumberFormat="1" applyFont="1" applyFill="1" applyBorder="1" applyAlignment="1">
      <alignment horizontal="center" wrapText="1"/>
    </xf>
    <xf numFmtId="164" fontId="2" fillId="26" borderId="34" xfId="37" applyNumberFormat="1" applyFont="1" applyFill="1" applyBorder="1" applyAlignment="1">
      <alignment horizontal="center" wrapText="1"/>
    </xf>
    <xf numFmtId="164" fontId="3" fillId="0" borderId="34" xfId="37" applyNumberFormat="1" applyFont="1" applyFill="1" applyBorder="1" applyAlignment="1">
      <alignment horizontal="center" wrapText="1"/>
    </xf>
    <xf numFmtId="164" fontId="2" fillId="0" borderId="34" xfId="37" applyNumberFormat="1" applyFont="1" applyFill="1" applyBorder="1" applyAlignment="1">
      <alignment horizontal="center" wrapText="1"/>
    </xf>
    <xf numFmtId="167" fontId="3" fillId="0" borderId="34" xfId="31" applyNumberFormat="1" applyFont="1" applyFill="1" applyBorder="1" applyAlignment="1">
      <alignment horizontal="right"/>
    </xf>
    <xf numFmtId="167" fontId="2" fillId="0" borderId="34" xfId="31" applyNumberFormat="1" applyFont="1" applyFill="1" applyBorder="1" applyAlignment="1">
      <alignment horizontal="right"/>
    </xf>
    <xf numFmtId="164" fontId="3" fillId="26" borderId="30" xfId="37" applyNumberFormat="1" applyFont="1" applyFill="1" applyBorder="1" applyAlignment="1">
      <alignment horizontal="center" wrapText="1"/>
    </xf>
    <xf numFmtId="174" fontId="4" fillId="0" borderId="43" xfId="31" applyNumberFormat="1" applyFont="1" applyFill="1" applyBorder="1" applyAlignment="1">
      <alignment horizontal="right"/>
    </xf>
    <xf numFmtId="174" fontId="3" fillId="0" borderId="56" xfId="31" applyNumberFormat="1" applyFont="1" applyBorder="1" applyAlignment="1">
      <alignment horizontal="right"/>
    </xf>
    <xf numFmtId="174" fontId="3" fillId="0" borderId="23" xfId="31" applyNumberFormat="1" applyFont="1" applyFill="1" applyBorder="1"/>
    <xf numFmtId="174" fontId="3" fillId="0" borderId="47" xfId="31" applyNumberFormat="1" applyFont="1" applyBorder="1" applyAlignment="1">
      <alignment horizontal="right"/>
    </xf>
    <xf numFmtId="0" fontId="55" fillId="0" borderId="30" xfId="0" applyFont="1" applyBorder="1" applyAlignment="1">
      <alignment horizontal="center" wrapText="1"/>
    </xf>
    <xf numFmtId="174" fontId="3" fillId="0" borderId="34" xfId="31" applyNumberFormat="1" applyFont="1" applyFill="1" applyBorder="1"/>
    <xf numFmtId="174" fontId="4" fillId="0" borderId="34" xfId="31" applyNumberFormat="1" applyFont="1" applyFill="1" applyBorder="1" applyAlignment="1">
      <alignment horizontal="right"/>
    </xf>
    <xf numFmtId="174" fontId="3" fillId="0" borderId="34" xfId="31" applyNumberFormat="1" applyFont="1" applyFill="1" applyBorder="1" applyAlignment="1">
      <alignment horizontal="right"/>
    </xf>
    <xf numFmtId="174" fontId="3" fillId="0" borderId="30" xfId="31" applyNumberFormat="1" applyFont="1" applyFill="1" applyBorder="1" applyAlignment="1">
      <alignment horizontal="right"/>
    </xf>
    <xf numFmtId="174" fontId="4" fillId="0" borderId="23" xfId="31" applyNumberFormat="1" applyFont="1" applyFill="1" applyBorder="1" applyAlignment="1">
      <alignment horizontal="right"/>
    </xf>
    <xf numFmtId="174" fontId="3" fillId="0" borderId="43" xfId="31" applyNumberFormat="1" applyFont="1" applyBorder="1"/>
    <xf numFmtId="174" fontId="3" fillId="0" borderId="43" xfId="31" applyNumberFormat="1" applyFont="1" applyFill="1" applyBorder="1" applyAlignment="1">
      <alignment vertical="center"/>
    </xf>
    <xf numFmtId="174" fontId="3" fillId="0" borderId="43" xfId="31" applyNumberFormat="1" applyFont="1" applyFill="1" applyBorder="1" applyAlignment="1">
      <alignment horizontal="right"/>
    </xf>
    <xf numFmtId="174" fontId="4" fillId="0" borderId="43" xfId="31" applyNumberFormat="1" applyFont="1" applyFill="1" applyBorder="1"/>
    <xf numFmtId="174" fontId="4" fillId="0" borderId="23" xfId="31" applyNumberFormat="1" applyFont="1" applyBorder="1"/>
    <xf numFmtId="174" fontId="3" fillId="0" borderId="23" xfId="31" applyNumberFormat="1" applyFont="1" applyBorder="1"/>
    <xf numFmtId="174" fontId="3" fillId="0" borderId="23" xfId="31" applyNumberFormat="1" applyFont="1" applyFill="1" applyBorder="1" applyAlignment="1">
      <alignment vertical="center"/>
    </xf>
    <xf numFmtId="174" fontId="4" fillId="0" borderId="23" xfId="31" applyNumberFormat="1" applyFont="1" applyFill="1" applyBorder="1"/>
    <xf numFmtId="174" fontId="4" fillId="0" borderId="34" xfId="31" applyNumberFormat="1" applyFont="1" applyBorder="1"/>
    <xf numFmtId="174" fontId="3" fillId="0" borderId="34" xfId="31" applyNumberFormat="1" applyFont="1" applyBorder="1"/>
    <xf numFmtId="174" fontId="3" fillId="0" borderId="34" xfId="37" applyNumberFormat="1" applyFont="1" applyFill="1" applyBorder="1" applyAlignment="1">
      <alignment horizontal="center" vertical="center" wrapText="1"/>
    </xf>
    <xf numFmtId="174" fontId="4" fillId="0" borderId="35" xfId="31" applyNumberFormat="1" applyFont="1" applyFill="1" applyBorder="1" applyAlignment="1">
      <alignment horizontal="right"/>
    </xf>
    <xf numFmtId="167" fontId="58" fillId="0" borderId="0" xfId="0" applyNumberFormat="1" applyFont="1" applyFill="1"/>
    <xf numFmtId="164" fontId="13" fillId="0" borderId="50" xfId="37" applyFont="1" applyFill="1" applyBorder="1" applyAlignment="1">
      <alignment horizontal="center" vertical="center"/>
    </xf>
    <xf numFmtId="164" fontId="13" fillId="0" borderId="39" xfId="37" applyFont="1" applyFill="1" applyBorder="1" applyAlignment="1">
      <alignment horizontal="center" vertical="center"/>
    </xf>
    <xf numFmtId="164" fontId="13" fillId="0" borderId="49" xfId="37" applyFont="1" applyFill="1" applyBorder="1" applyAlignment="1">
      <alignment horizontal="center" vertical="center"/>
    </xf>
    <xf numFmtId="164" fontId="13" fillId="26" borderId="17" xfId="37" applyFont="1" applyFill="1" applyBorder="1" applyAlignment="1">
      <alignment horizontal="center" vertical="center"/>
    </xf>
    <xf numFmtId="164" fontId="13" fillId="26" borderId="18" xfId="37" applyFont="1" applyFill="1" applyBorder="1" applyAlignment="1">
      <alignment horizontal="center" vertical="center"/>
    </xf>
    <xf numFmtId="164" fontId="13" fillId="0" borderId="150" xfId="37" applyFont="1" applyFill="1" applyBorder="1" applyAlignment="1">
      <alignment horizontal="center" vertical="center"/>
    </xf>
    <xf numFmtId="164" fontId="13" fillId="0" borderId="19" xfId="37" applyFont="1" applyFill="1" applyBorder="1" applyAlignment="1">
      <alignment horizontal="center" vertical="center"/>
    </xf>
    <xf numFmtId="164" fontId="13" fillId="0" borderId="48" xfId="37" applyFont="1" applyFill="1" applyBorder="1" applyAlignment="1">
      <alignment horizontal="center" vertical="center"/>
    </xf>
    <xf numFmtId="164" fontId="13" fillId="0" borderId="13" xfId="37" applyFont="1" applyFill="1" applyBorder="1" applyAlignment="1">
      <alignment horizontal="center" vertical="center"/>
    </xf>
    <xf numFmtId="164" fontId="13" fillId="0" borderId="147" xfId="37" applyFont="1" applyFill="1" applyBorder="1" applyAlignment="1">
      <alignment horizontal="center" vertical="center"/>
    </xf>
    <xf numFmtId="164" fontId="13" fillId="26" borderId="10" xfId="37" applyFont="1" applyFill="1" applyBorder="1" applyAlignment="1">
      <alignment horizontal="center" vertical="center"/>
    </xf>
    <xf numFmtId="164" fontId="13" fillId="0" borderId="38" xfId="37" applyFont="1" applyFill="1" applyBorder="1" applyAlignment="1">
      <alignment horizontal="center" vertical="center"/>
    </xf>
    <xf numFmtId="164" fontId="13" fillId="0" borderId="12" xfId="37" applyFont="1" applyFill="1" applyBorder="1" applyAlignment="1">
      <alignment horizontal="center" vertical="center"/>
    </xf>
    <xf numFmtId="164" fontId="13" fillId="0" borderId="10" xfId="37" applyFont="1" applyFill="1" applyBorder="1" applyAlignment="1">
      <alignment horizontal="center" vertical="center"/>
    </xf>
    <xf numFmtId="164" fontId="13" fillId="0" borderId="93" xfId="37" applyFont="1" applyFill="1" applyBorder="1" applyAlignment="1">
      <alignment horizontal="center" vertical="center"/>
    </xf>
    <xf numFmtId="164" fontId="13" fillId="0" borderId="15" xfId="37" applyFont="1" applyFill="1" applyBorder="1" applyAlignment="1">
      <alignment horizontal="center" vertical="center"/>
    </xf>
    <xf numFmtId="164" fontId="13" fillId="0" borderId="158" xfId="37" applyFont="1" applyFill="1" applyBorder="1" applyAlignment="1">
      <alignment horizontal="center" vertical="center"/>
    </xf>
    <xf numFmtId="164" fontId="13" fillId="0" borderId="76" xfId="37" applyFont="1" applyFill="1" applyBorder="1" applyAlignment="1">
      <alignment horizontal="center" vertical="center"/>
    </xf>
    <xf numFmtId="164" fontId="13" fillId="0" borderId="40" xfId="37" applyFont="1" applyFill="1" applyBorder="1" applyAlignment="1">
      <alignment horizontal="center" vertical="center"/>
    </xf>
    <xf numFmtId="164" fontId="5" fillId="0" borderId="53" xfId="37" applyFont="1" applyFill="1" applyBorder="1" applyAlignment="1">
      <alignment horizontal="center" vertical="center"/>
    </xf>
    <xf numFmtId="164" fontId="5" fillId="0" borderId="55" xfId="37" applyFont="1" applyFill="1" applyBorder="1" applyAlignment="1">
      <alignment horizontal="center" vertical="center"/>
    </xf>
    <xf numFmtId="164" fontId="5" fillId="0" borderId="47" xfId="37" applyFont="1" applyFill="1" applyBorder="1" applyAlignment="1">
      <alignment horizontal="center" vertical="center"/>
    </xf>
    <xf numFmtId="164" fontId="5" fillId="0" borderId="54" xfId="37" applyFont="1" applyFill="1" applyBorder="1" applyAlignment="1">
      <alignment horizontal="center" vertical="center"/>
    </xf>
    <xf numFmtId="164" fontId="5" fillId="0" borderId="56" xfId="37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164" fontId="2" fillId="26" borderId="78" xfId="37" applyNumberFormat="1" applyFont="1" applyFill="1" applyBorder="1" applyAlignment="1">
      <alignment horizontal="center" wrapText="1"/>
    </xf>
    <xf numFmtId="164" fontId="2" fillId="26" borderId="0" xfId="37" applyNumberFormat="1" applyFont="1" applyFill="1" applyBorder="1" applyAlignment="1">
      <alignment horizontal="center" wrapText="1"/>
    </xf>
    <xf numFmtId="164" fontId="3" fillId="26" borderId="0" xfId="37" applyNumberFormat="1" applyFont="1" applyFill="1" applyBorder="1" applyAlignment="1">
      <alignment horizontal="center" wrapText="1"/>
    </xf>
    <xf numFmtId="164" fontId="3" fillId="0" borderId="0" xfId="37" applyNumberFormat="1" applyFont="1" applyFill="1" applyBorder="1" applyAlignment="1">
      <alignment horizontal="center" wrapText="1"/>
    </xf>
    <xf numFmtId="164" fontId="2" fillId="0" borderId="0" xfId="37" applyNumberFormat="1" applyFont="1" applyFill="1" applyBorder="1" applyAlignment="1">
      <alignment horizontal="center" wrapText="1"/>
    </xf>
    <xf numFmtId="167" fontId="2" fillId="0" borderId="0" xfId="31" applyNumberFormat="1" applyFont="1" applyFill="1" applyBorder="1" applyAlignment="1">
      <alignment horizontal="right"/>
    </xf>
    <xf numFmtId="174" fontId="3" fillId="0" borderId="0" xfId="31" applyNumberFormat="1" applyFont="1" applyFill="1" applyBorder="1" applyAlignment="1">
      <alignment horizontal="right"/>
    </xf>
    <xf numFmtId="174" fontId="2" fillId="0" borderId="0" xfId="31" applyNumberFormat="1" applyFont="1" applyFill="1" applyBorder="1" applyAlignment="1">
      <alignment horizontal="right"/>
    </xf>
    <xf numFmtId="167" fontId="2" fillId="0" borderId="34" xfId="31" applyNumberFormat="1" applyFont="1" applyBorder="1" applyAlignment="1">
      <alignment horizontal="right"/>
    </xf>
    <xf numFmtId="164" fontId="3" fillId="26" borderId="34" xfId="37" applyNumberFormat="1" applyFont="1" applyFill="1" applyBorder="1" applyAlignment="1">
      <alignment horizontal="center" wrapText="1"/>
    </xf>
    <xf numFmtId="167" fontId="3" fillId="0" borderId="34" xfId="31" applyNumberFormat="1" applyFont="1" applyBorder="1" applyAlignment="1">
      <alignment horizontal="right"/>
    </xf>
    <xf numFmtId="0" fontId="2" fillId="0" borderId="50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/>
    </xf>
    <xf numFmtId="4" fontId="2" fillId="0" borderId="81" xfId="31" applyNumberFormat="1" applyFont="1" applyFill="1" applyBorder="1" applyAlignment="1">
      <alignment wrapText="1"/>
    </xf>
    <xf numFmtId="49" fontId="2" fillId="0" borderId="67" xfId="0" applyNumberFormat="1" applyFont="1" applyFill="1" applyBorder="1" applyAlignment="1">
      <alignment horizontal="center" vertical="center" wrapText="1"/>
    </xf>
    <xf numFmtId="174" fontId="2" fillId="0" borderId="67" xfId="31" applyNumberFormat="1" applyFont="1" applyFill="1" applyBorder="1"/>
    <xf numFmtId="174" fontId="4" fillId="0" borderId="73" xfId="31" applyNumberFormat="1" applyFont="1" applyFill="1" applyBorder="1"/>
    <xf numFmtId="174" fontId="3" fillId="0" borderId="37" xfId="31" applyNumberFormat="1" applyFont="1" applyFill="1" applyBorder="1"/>
    <xf numFmtId="174" fontId="3" fillId="0" borderId="49" xfId="31" applyNumberFormat="1" applyFont="1" applyFill="1" applyBorder="1"/>
    <xf numFmtId="174" fontId="4" fillId="0" borderId="68" xfId="31" applyNumberFormat="1" applyFont="1" applyBorder="1"/>
    <xf numFmtId="174" fontId="2" fillId="0" borderId="39" xfId="31" applyNumberFormat="1" applyFont="1" applyBorder="1" applyAlignment="1">
      <alignment horizontal="right"/>
    </xf>
    <xf numFmtId="49" fontId="4" fillId="0" borderId="67" xfId="0" applyNumberFormat="1" applyFont="1" applyFill="1" applyBorder="1" applyAlignment="1">
      <alignment horizontal="left"/>
    </xf>
    <xf numFmtId="4" fontId="2" fillId="0" borderId="73" xfId="31" applyNumberFormat="1" applyFont="1" applyFill="1" applyBorder="1" applyAlignment="1">
      <alignment vertical="center" wrapText="1"/>
    </xf>
    <xf numFmtId="174" fontId="2" fillId="0" borderId="67" xfId="31" applyNumberFormat="1" applyFont="1" applyFill="1" applyBorder="1" applyAlignment="1">
      <alignment horizontal="right"/>
    </xf>
    <xf numFmtId="174" fontId="4" fillId="0" borderId="73" xfId="31" applyNumberFormat="1" applyFont="1" applyFill="1" applyBorder="1" applyAlignment="1">
      <alignment horizontal="right"/>
    </xf>
    <xf numFmtId="174" fontId="4" fillId="0" borderId="37" xfId="31" applyNumberFormat="1" applyFont="1" applyFill="1" applyBorder="1" applyAlignment="1">
      <alignment horizontal="right"/>
    </xf>
    <xf numFmtId="174" fontId="4" fillId="0" borderId="68" xfId="31" applyNumberFormat="1" applyFont="1" applyBorder="1" applyAlignment="1">
      <alignment horizontal="right"/>
    </xf>
    <xf numFmtId="49" fontId="8" fillId="0" borderId="50" xfId="31" applyNumberFormat="1" applyFont="1" applyBorder="1" applyAlignment="1">
      <alignment horizontal="left"/>
    </xf>
    <xf numFmtId="4" fontId="8" fillId="0" borderId="37" xfId="31" applyNumberFormat="1" applyFont="1" applyBorder="1"/>
    <xf numFmtId="164" fontId="3" fillId="0" borderId="37" xfId="37" applyFont="1" applyBorder="1"/>
    <xf numFmtId="177" fontId="4" fillId="26" borderId="0" xfId="0" applyNumberFormat="1" applyFont="1" applyFill="1"/>
    <xf numFmtId="173" fontId="3" fillId="0" borderId="48" xfId="0" applyNumberFormat="1" applyFont="1" applyFill="1" applyBorder="1"/>
    <xf numFmtId="0" fontId="2" fillId="0" borderId="12" xfId="0" applyFont="1" applyFill="1" applyBorder="1" applyAlignment="1">
      <alignment horizontal="left"/>
    </xf>
    <xf numFmtId="173" fontId="2" fillId="0" borderId="48" xfId="0" applyNumberFormat="1" applyFont="1" applyFill="1" applyBorder="1"/>
    <xf numFmtId="0" fontId="6" fillId="0" borderId="0" xfId="0" applyFont="1" applyFill="1" applyAlignment="1">
      <alignment horizontal="right"/>
    </xf>
    <xf numFmtId="174" fontId="64" fillId="0" borderId="0" xfId="0" applyNumberFormat="1" applyFont="1" applyFill="1"/>
    <xf numFmtId="165" fontId="64" fillId="0" borderId="0" xfId="0" applyNumberFormat="1" applyFont="1" applyFill="1"/>
    <xf numFmtId="174" fontId="4" fillId="0" borderId="49" xfId="31" applyNumberFormat="1" applyFont="1" applyFill="1" applyBorder="1" applyAlignment="1">
      <alignment horizontal="right"/>
    </xf>
    <xf numFmtId="168" fontId="58" fillId="0" borderId="0" xfId="0" applyNumberFormat="1" applyFont="1"/>
    <xf numFmtId="168" fontId="0" fillId="0" borderId="0" xfId="0" applyNumberFormat="1"/>
    <xf numFmtId="0" fontId="13" fillId="25" borderId="64" xfId="0" applyFont="1" applyFill="1" applyBorder="1" applyAlignment="1">
      <alignment horizontal="justify" vertical="top" wrapText="1"/>
    </xf>
    <xf numFmtId="0" fontId="13" fillId="25" borderId="137" xfId="0" applyFont="1" applyFill="1" applyBorder="1" applyAlignment="1">
      <alignment horizontal="justify" vertical="top" wrapText="1"/>
    </xf>
    <xf numFmtId="0" fontId="13" fillId="25" borderId="88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49" fontId="3" fillId="25" borderId="89" xfId="0" applyNumberFormat="1" applyFont="1" applyFill="1" applyBorder="1" applyAlignment="1">
      <alignment horizontal="center"/>
    </xf>
    <xf numFmtId="49" fontId="3" fillId="25" borderId="90" xfId="0" applyNumberFormat="1" applyFont="1" applyFill="1" applyBorder="1" applyAlignment="1">
      <alignment horizontal="center"/>
    </xf>
    <xf numFmtId="49" fontId="3" fillId="25" borderId="91" xfId="0" applyNumberFormat="1" applyFont="1" applyFill="1" applyBorder="1" applyAlignment="1">
      <alignment horizontal="center"/>
    </xf>
    <xf numFmtId="0" fontId="13" fillId="25" borderId="61" xfId="0" applyFont="1" applyFill="1" applyBorder="1" applyAlignment="1">
      <alignment horizontal="justify" vertical="top" wrapText="1"/>
    </xf>
    <xf numFmtId="0" fontId="3" fillId="0" borderId="30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26" borderId="42" xfId="0" applyFont="1" applyFill="1" applyBorder="1" applyAlignment="1">
      <alignment horizontal="center" vertical="center" wrapText="1"/>
    </xf>
    <xf numFmtId="0" fontId="3" fillId="26" borderId="43" xfId="0" applyFont="1" applyFill="1" applyBorder="1" applyAlignment="1">
      <alignment horizontal="center" vertical="center" wrapText="1"/>
    </xf>
    <xf numFmtId="0" fontId="3" fillId="26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6" borderId="82" xfId="0" applyFont="1" applyFill="1" applyBorder="1" applyAlignment="1">
      <alignment horizontal="center" vertical="center" wrapText="1"/>
    </xf>
    <xf numFmtId="0" fontId="3" fillId="26" borderId="23" xfId="0" applyFont="1" applyFill="1" applyBorder="1" applyAlignment="1">
      <alignment horizontal="center" vertical="center" wrapText="1"/>
    </xf>
    <xf numFmtId="0" fontId="3" fillId="26" borderId="83" xfId="0" applyFont="1" applyFill="1" applyBorder="1" applyAlignment="1">
      <alignment horizontal="center" vertical="center" wrapText="1"/>
    </xf>
    <xf numFmtId="0" fontId="3" fillId="26" borderId="144" xfId="0" applyFont="1" applyFill="1" applyBorder="1" applyAlignment="1">
      <alignment horizontal="center" vertical="center" wrapText="1"/>
    </xf>
    <xf numFmtId="0" fontId="3" fillId="26" borderId="145" xfId="0" applyFont="1" applyFill="1" applyBorder="1" applyAlignment="1">
      <alignment horizontal="center" vertical="center" wrapText="1"/>
    </xf>
    <xf numFmtId="0" fontId="3" fillId="26" borderId="146" xfId="0" applyFont="1" applyFill="1" applyBorder="1" applyAlignment="1">
      <alignment horizontal="center" vertical="center" wrapText="1"/>
    </xf>
    <xf numFmtId="0" fontId="3" fillId="26" borderId="41" xfId="0" applyFont="1" applyFill="1" applyBorder="1" applyAlignment="1">
      <alignment horizontal="center"/>
    </xf>
    <xf numFmtId="0" fontId="3" fillId="26" borderId="78" xfId="0" applyFont="1" applyFill="1" applyBorder="1" applyAlignment="1">
      <alignment horizontal="center"/>
    </xf>
    <xf numFmtId="0" fontId="3" fillId="26" borderId="82" xfId="0" applyFont="1" applyFill="1" applyBorder="1" applyAlignment="1">
      <alignment horizontal="center"/>
    </xf>
    <xf numFmtId="0" fontId="3" fillId="26" borderId="40" xfId="0" applyFont="1" applyFill="1" applyBorder="1" applyAlignment="1">
      <alignment horizontal="center" vertical="center" wrapText="1"/>
    </xf>
    <xf numFmtId="0" fontId="3" fillId="26" borderId="85" xfId="0" applyFont="1" applyFill="1" applyBorder="1" applyAlignment="1">
      <alignment horizontal="center" vertical="center" wrapText="1"/>
    </xf>
    <xf numFmtId="0" fontId="3" fillId="26" borderId="48" xfId="0" applyFont="1" applyFill="1" applyBorder="1" applyAlignment="1">
      <alignment horizontal="center"/>
    </xf>
    <xf numFmtId="0" fontId="3" fillId="26" borderId="36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 vertical="center" wrapText="1"/>
    </xf>
    <xf numFmtId="0" fontId="3" fillId="26" borderId="77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39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/>
    </xf>
    <xf numFmtId="0" fontId="39" fillId="26" borderId="35" xfId="0" applyFont="1" applyFill="1" applyBorder="1" applyAlignment="1">
      <alignment horizontal="center" vertical="center"/>
    </xf>
    <xf numFmtId="9" fontId="8" fillId="0" borderId="66" xfId="0" applyNumberFormat="1" applyFont="1" applyFill="1" applyBorder="1" applyAlignment="1">
      <alignment horizontal="center" vertical="center"/>
    </xf>
    <xf numFmtId="9" fontId="8" fillId="0" borderId="47" xfId="0" applyNumberFormat="1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39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9" fillId="0" borderId="41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/>
    </xf>
    <xf numFmtId="0" fontId="39" fillId="0" borderId="41" xfId="0" applyFont="1" applyFill="1" applyBorder="1" applyAlignment="1">
      <alignment horizontal="center" vertical="center" wrapText="1"/>
    </xf>
    <xf numFmtId="0" fontId="39" fillId="0" borderId="78" xfId="0" applyFont="1" applyFill="1" applyBorder="1" applyAlignment="1">
      <alignment horizontal="center" vertical="center" wrapText="1"/>
    </xf>
    <xf numFmtId="0" fontId="39" fillId="0" borderId="82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/>
    </xf>
    <xf numFmtId="0" fontId="8" fillId="27" borderId="0" xfId="0" applyFont="1" applyFill="1" applyBorder="1" applyAlignment="1">
      <alignment horizontal="center" vertical="center"/>
    </xf>
    <xf numFmtId="0" fontId="8" fillId="27" borderId="23" xfId="0" applyFont="1" applyFill="1" applyBorder="1" applyAlignment="1">
      <alignment horizontal="center" vertical="center"/>
    </xf>
    <xf numFmtId="0" fontId="8" fillId="27" borderId="41" xfId="0" applyFont="1" applyFill="1" applyBorder="1" applyAlignment="1">
      <alignment horizontal="center" vertical="center"/>
    </xf>
    <xf numFmtId="0" fontId="8" fillId="27" borderId="78" xfId="0" applyFont="1" applyFill="1" applyBorder="1" applyAlignment="1">
      <alignment horizontal="center" vertical="center"/>
    </xf>
    <xf numFmtId="0" fontId="8" fillId="27" borderId="82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9" fontId="5" fillId="0" borderId="19" xfId="0" applyNumberFormat="1" applyFont="1" applyFill="1" applyBorder="1" applyAlignment="1">
      <alignment horizontal="center" vertical="center" wrapText="1"/>
    </xf>
    <xf numFmtId="9" fontId="5" fillId="0" borderId="13" xfId="0" applyNumberFormat="1" applyFont="1" applyFill="1" applyBorder="1" applyAlignment="1">
      <alignment horizontal="center" vertical="center" wrapText="1"/>
    </xf>
    <xf numFmtId="9" fontId="5" fillId="0" borderId="15" xfId="0" applyNumberFormat="1" applyFont="1" applyFill="1" applyBorder="1" applyAlignment="1">
      <alignment horizontal="center" vertical="center" wrapText="1"/>
    </xf>
    <xf numFmtId="9" fontId="5" fillId="0" borderId="26" xfId="0" applyNumberFormat="1" applyFont="1" applyFill="1" applyBorder="1" applyAlignment="1">
      <alignment horizontal="center" vertical="center"/>
    </xf>
    <xf numFmtId="9" fontId="5" fillId="0" borderId="4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4" fontId="3" fillId="0" borderId="33" xfId="31" applyNumberFormat="1" applyFont="1" applyFill="1" applyBorder="1" applyAlignment="1">
      <alignment horizontal="center" vertical="center" wrapText="1"/>
    </xf>
    <xf numFmtId="174" fontId="3" fillId="0" borderId="35" xfId="0" applyNumberFormat="1" applyFont="1" applyFill="1" applyBorder="1" applyAlignment="1">
      <alignment horizontal="center" vertical="center" wrapText="1"/>
    </xf>
    <xf numFmtId="4" fontId="3" fillId="0" borderId="33" xfId="31" applyNumberFormat="1" applyFont="1" applyFill="1" applyBorder="1" applyAlignment="1">
      <alignment horizontal="center" vertical="center" wrapText="1"/>
    </xf>
    <xf numFmtId="4" fontId="3" fillId="0" borderId="34" xfId="31" applyNumberFormat="1" applyFont="1" applyFill="1" applyBorder="1" applyAlignment="1">
      <alignment horizontal="center" vertical="center" wrapText="1"/>
    </xf>
    <xf numFmtId="4" fontId="3" fillId="0" borderId="35" xfId="31" applyNumberFormat="1" applyFont="1" applyFill="1" applyBorder="1" applyAlignment="1">
      <alignment horizontal="center" vertical="center" wrapText="1"/>
    </xf>
    <xf numFmtId="174" fontId="3" fillId="0" borderId="41" xfId="31" applyNumberFormat="1" applyFont="1" applyFill="1" applyBorder="1" applyAlignment="1">
      <alignment horizontal="center"/>
    </xf>
    <xf numFmtId="174" fontId="3" fillId="0" borderId="78" xfId="31" applyNumberFormat="1" applyFont="1" applyFill="1" applyBorder="1" applyAlignment="1">
      <alignment horizontal="center"/>
    </xf>
    <xf numFmtId="174" fontId="3" fillId="0" borderId="82" xfId="31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0" fillId="0" borderId="35" xfId="0" applyFill="1" applyBorder="1" applyAlignment="1"/>
    <xf numFmtId="0" fontId="3" fillId="0" borderId="3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3" fillId="26" borderId="33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49" fontId="3" fillId="26" borderId="33" xfId="0" applyNumberFormat="1" applyFont="1" applyFill="1" applyBorder="1" applyAlignment="1">
      <alignment horizontal="center" vertical="center" wrapText="1"/>
    </xf>
    <xf numFmtId="49" fontId="3" fillId="26" borderId="35" xfId="0" applyNumberFormat="1" applyFont="1" applyFill="1" applyBorder="1" applyAlignment="1">
      <alignment horizontal="center" vertical="center" wrapText="1"/>
    </xf>
    <xf numFmtId="4" fontId="3" fillId="26" borderId="33" xfId="31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6" borderId="41" xfId="0" applyFont="1" applyFill="1" applyBorder="1" applyAlignment="1">
      <alignment horizontal="center" vertical="center" wrapText="1"/>
    </xf>
    <xf numFmtId="0" fontId="3" fillId="26" borderId="7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55" fillId="0" borderId="33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4" fontId="55" fillId="0" borderId="33" xfId="31" applyNumberFormat="1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5" fillId="0" borderId="41" xfId="0" applyFont="1" applyBorder="1" applyAlignment="1">
      <alignment horizontal="center" vertical="center" wrapText="1"/>
    </xf>
    <xf numFmtId="0" fontId="55" fillId="0" borderId="78" xfId="0" applyFont="1" applyBorder="1" applyAlignment="1">
      <alignment horizontal="center" vertical="center" wrapText="1"/>
    </xf>
    <xf numFmtId="0" fontId="55" fillId="0" borderId="82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 wrapText="1"/>
    </xf>
    <xf numFmtId="0" fontId="46" fillId="0" borderId="8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 wrapText="1"/>
    </xf>
    <xf numFmtId="4" fontId="46" fillId="0" borderId="33" xfId="31" applyNumberFormat="1" applyFont="1" applyBorder="1" applyAlignment="1">
      <alignment horizontal="center" vertical="center" wrapText="1"/>
    </xf>
    <xf numFmtId="4" fontId="46" fillId="0" borderId="35" xfId="31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40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1" fillId="0" borderId="41" xfId="0" applyFont="1" applyFill="1" applyBorder="1" applyAlignment="1">
      <alignment horizontal="center"/>
    </xf>
    <xf numFmtId="0" fontId="41" fillId="0" borderId="78" xfId="0" applyFont="1" applyFill="1" applyBorder="1" applyAlignment="1">
      <alignment horizontal="center"/>
    </xf>
    <xf numFmtId="0" fontId="41" fillId="0" borderId="82" xfId="0" applyFont="1" applyFill="1" applyBorder="1" applyAlignment="1">
      <alignment horizontal="center"/>
    </xf>
    <xf numFmtId="49" fontId="41" fillId="0" borderId="20" xfId="0" applyNumberFormat="1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/>
    </xf>
    <xf numFmtId="49" fontId="41" fillId="0" borderId="23" xfId="0" applyNumberFormat="1" applyFont="1" applyFill="1" applyBorder="1" applyAlignment="1">
      <alignment horizontal="center"/>
    </xf>
    <xf numFmtId="0" fontId="41" fillId="0" borderId="2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23" xfId="0" applyFont="1" applyFill="1" applyBorder="1" applyAlignment="1">
      <alignment horizontal="center"/>
    </xf>
    <xf numFmtId="0" fontId="43" fillId="0" borderId="44" xfId="0" applyFont="1" applyFill="1" applyBorder="1" applyAlignment="1">
      <alignment horizontal="center"/>
    </xf>
    <xf numFmtId="0" fontId="43" fillId="0" borderId="31" xfId="0" applyFont="1" applyFill="1" applyBorder="1" applyAlignment="1">
      <alignment horizontal="center"/>
    </xf>
    <xf numFmtId="0" fontId="43" fillId="0" borderId="83" xfId="0" applyFont="1" applyFill="1" applyBorder="1" applyAlignment="1">
      <alignment horizontal="center"/>
    </xf>
    <xf numFmtId="49" fontId="40" fillId="0" borderId="0" xfId="0" applyNumberFormat="1" applyFont="1" applyFill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40" fillId="0" borderId="0" xfId="0" applyFont="1" applyFill="1" applyAlignment="1">
      <alignment horizontal="center" vertical="center" wrapText="1"/>
    </xf>
    <xf numFmtId="49" fontId="40" fillId="0" borderId="31" xfId="0" applyNumberFormat="1" applyFont="1" applyFill="1" applyBorder="1" applyAlignment="1">
      <alignment horizontal="center"/>
    </xf>
    <xf numFmtId="0" fontId="44" fillId="0" borderId="33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5" fillId="0" borderId="85" xfId="0" applyFont="1" applyFill="1" applyBorder="1" applyAlignment="1">
      <alignment vertical="center" wrapText="1"/>
    </xf>
    <xf numFmtId="164" fontId="40" fillId="0" borderId="0" xfId="37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49" fontId="47" fillId="0" borderId="0" xfId="0" applyNumberFormat="1" applyFont="1" applyFill="1" applyAlignment="1">
      <alignment horizontal="center"/>
    </xf>
    <xf numFmtId="49" fontId="56" fillId="0" borderId="33" xfId="0" applyNumberFormat="1" applyFont="1" applyFill="1" applyBorder="1" applyAlignment="1">
      <alignment horizontal="center" vertical="center" wrapText="1"/>
    </xf>
    <xf numFmtId="49" fontId="56" fillId="0" borderId="35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center"/>
    </xf>
    <xf numFmtId="0" fontId="56" fillId="0" borderId="33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vertical="center" wrapText="1"/>
    </xf>
    <xf numFmtId="0" fontId="56" fillId="0" borderId="27" xfId="0" applyFont="1" applyFill="1" applyBorder="1" applyAlignment="1">
      <alignment horizontal="center" vertical="center" wrapText="1"/>
    </xf>
    <xf numFmtId="0" fontId="57" fillId="0" borderId="85" xfId="0" applyFont="1" applyFill="1" applyBorder="1" applyAlignment="1">
      <alignment vertical="center" wrapText="1"/>
    </xf>
    <xf numFmtId="4" fontId="65" fillId="0" borderId="0" xfId="31" applyNumberFormat="1" applyFont="1" applyBorder="1" applyAlignment="1">
      <alignment horizontal="left"/>
    </xf>
    <xf numFmtId="4" fontId="66" fillId="0" borderId="0" xfId="31" applyNumberFormat="1" applyFont="1" applyBorder="1" applyAlignment="1">
      <alignment horizontal="left"/>
    </xf>
    <xf numFmtId="174" fontId="66" fillId="0" borderId="0" xfId="37" applyNumberFormat="1" applyFont="1" applyBorder="1" applyAlignment="1">
      <alignment horizontal="left"/>
    </xf>
    <xf numFmtId="174" fontId="66" fillId="0" borderId="0" xfId="31" applyNumberFormat="1" applyFont="1" applyBorder="1" applyAlignment="1">
      <alignment horizontal="left"/>
    </xf>
    <xf numFmtId="171" fontId="67" fillId="0" borderId="0" xfId="31" applyNumberFormat="1" applyFont="1" applyFill="1"/>
    <xf numFmtId="4" fontId="67" fillId="0" borderId="0" xfId="31" applyNumberFormat="1" applyFont="1"/>
    <xf numFmtId="49" fontId="68" fillId="0" borderId="116" xfId="31" applyNumberFormat="1" applyFont="1" applyFill="1" applyBorder="1" applyAlignment="1">
      <alignment horizontal="center" vertical="center" textRotation="90" wrapText="1"/>
    </xf>
    <xf numFmtId="4" fontId="68" fillId="0" borderId="123" xfId="31" applyNumberFormat="1" applyFont="1" applyFill="1" applyBorder="1" applyAlignment="1">
      <alignment horizontal="center" vertical="center" wrapText="1"/>
    </xf>
    <xf numFmtId="174" fontId="68" fillId="0" borderId="116" xfId="37" applyNumberFormat="1" applyFont="1" applyFill="1" applyBorder="1" applyAlignment="1">
      <alignment horizontal="center" vertical="center"/>
    </xf>
    <xf numFmtId="174" fontId="68" fillId="0" borderId="102" xfId="37" applyNumberFormat="1" applyFont="1" applyFill="1" applyBorder="1" applyAlignment="1">
      <alignment horizontal="center" vertical="center"/>
    </xf>
    <xf numFmtId="174" fontId="68" fillId="0" borderId="136" xfId="37" applyNumberFormat="1" applyFont="1" applyFill="1" applyBorder="1" applyAlignment="1">
      <alignment horizontal="center" vertical="center"/>
    </xf>
    <xf numFmtId="174" fontId="68" fillId="0" borderId="119" xfId="37" applyNumberFormat="1" applyFont="1" applyFill="1" applyBorder="1" applyAlignment="1"/>
    <xf numFmtId="174" fontId="68" fillId="0" borderId="134" xfId="37" applyNumberFormat="1" applyFont="1" applyFill="1" applyBorder="1" applyAlignment="1"/>
    <xf numFmtId="164" fontId="68" fillId="0" borderId="134" xfId="37" applyFont="1" applyFill="1" applyBorder="1" applyAlignment="1"/>
    <xf numFmtId="164" fontId="68" fillId="0" borderId="110" xfId="37" applyFont="1" applyFill="1" applyBorder="1" applyAlignment="1"/>
    <xf numFmtId="4" fontId="68" fillId="0" borderId="136" xfId="31" applyNumberFormat="1" applyFont="1" applyFill="1" applyBorder="1" applyAlignment="1">
      <alignment horizontal="center" vertical="center" wrapText="1"/>
    </xf>
    <xf numFmtId="4" fontId="68" fillId="0" borderId="102" xfId="31" applyNumberFormat="1" applyFont="1" applyFill="1" applyBorder="1" applyAlignment="1">
      <alignment horizontal="center" vertical="center" wrapText="1"/>
    </xf>
    <xf numFmtId="4" fontId="68" fillId="0" borderId="103" xfId="31" applyNumberFormat="1" applyFont="1" applyFill="1" applyBorder="1" applyAlignment="1">
      <alignment horizontal="center" vertical="center" wrapText="1"/>
    </xf>
    <xf numFmtId="4" fontId="68" fillId="0" borderId="99" xfId="31" applyNumberFormat="1" applyFont="1" applyFill="1" applyBorder="1" applyAlignment="1">
      <alignment horizontal="center"/>
    </xf>
    <xf numFmtId="4" fontId="68" fillId="0" borderId="100" xfId="31" applyNumberFormat="1" applyFont="1" applyFill="1" applyBorder="1" applyAlignment="1">
      <alignment horizontal="center"/>
    </xf>
    <xf numFmtId="4" fontId="68" fillId="0" borderId="101" xfId="31" applyNumberFormat="1" applyFont="1" applyFill="1" applyBorder="1" applyAlignment="1">
      <alignment horizontal="center"/>
    </xf>
    <xf numFmtId="4" fontId="68" fillId="0" borderId="164" xfId="31" applyNumberFormat="1" applyFont="1" applyFill="1" applyBorder="1" applyAlignment="1">
      <alignment horizontal="center"/>
    </xf>
    <xf numFmtId="4" fontId="68" fillId="0" borderId="123" xfId="31" applyNumberFormat="1" applyFont="1" applyFill="1" applyBorder="1" applyAlignment="1">
      <alignment horizontal="center" vertical="center"/>
    </xf>
    <xf numFmtId="171" fontId="69" fillId="0" borderId="0" xfId="31" applyNumberFormat="1" applyFont="1" applyFill="1"/>
    <xf numFmtId="4" fontId="69" fillId="0" borderId="0" xfId="31" applyNumberFormat="1" applyFont="1"/>
    <xf numFmtId="0" fontId="68" fillId="0" borderId="117" xfId="0" applyFont="1" applyFill="1" applyBorder="1" applyAlignment="1">
      <alignment horizontal="center" vertical="center" textRotation="90" wrapText="1"/>
    </xf>
    <xf numFmtId="0" fontId="68" fillId="0" borderId="124" xfId="0" applyFont="1" applyFill="1" applyBorder="1" applyAlignment="1">
      <alignment horizontal="center" vertical="center" wrapText="1"/>
    </xf>
    <xf numFmtId="174" fontId="68" fillId="0" borderId="131" xfId="37" applyNumberFormat="1" applyFont="1" applyFill="1" applyBorder="1" applyAlignment="1">
      <alignment horizontal="center" vertical="center"/>
    </xf>
    <xf numFmtId="174" fontId="68" fillId="0" borderId="81" xfId="37" applyNumberFormat="1" applyFont="1" applyFill="1" applyBorder="1" applyAlignment="1">
      <alignment horizontal="center" vertical="center"/>
    </xf>
    <xf numFmtId="174" fontId="68" fillId="0" borderId="133" xfId="37" applyNumberFormat="1" applyFont="1" applyFill="1" applyBorder="1" applyAlignment="1">
      <alignment horizontal="center" vertical="center"/>
    </xf>
    <xf numFmtId="174" fontId="68" fillId="0" borderId="89" xfId="31" applyNumberFormat="1" applyFont="1" applyFill="1" applyBorder="1" applyAlignment="1">
      <alignment horizontal="center"/>
    </xf>
    <xf numFmtId="174" fontId="68" fillId="0" borderId="90" xfId="31" applyNumberFormat="1" applyFont="1" applyFill="1" applyBorder="1" applyAlignment="1">
      <alignment horizontal="center"/>
    </xf>
    <xf numFmtId="174" fontId="68" fillId="0" borderId="91" xfId="31" applyNumberFormat="1" applyFont="1" applyFill="1" applyBorder="1" applyAlignment="1">
      <alignment horizontal="center"/>
    </xf>
    <xf numFmtId="4" fontId="68" fillId="0" borderId="89" xfId="31" applyNumberFormat="1" applyFont="1" applyFill="1" applyBorder="1" applyAlignment="1">
      <alignment horizontal="center"/>
    </xf>
    <xf numFmtId="4" fontId="68" fillId="0" borderId="90" xfId="31" applyNumberFormat="1" applyFont="1" applyFill="1" applyBorder="1" applyAlignment="1">
      <alignment horizontal="center"/>
    </xf>
    <xf numFmtId="4" fontId="68" fillId="0" borderId="36" xfId="31" applyNumberFormat="1" applyFont="1" applyFill="1" applyBorder="1" applyAlignment="1">
      <alignment horizontal="center"/>
    </xf>
    <xf numFmtId="4" fontId="68" fillId="0" borderId="129" xfId="31" applyNumberFormat="1" applyFont="1" applyFill="1" applyBorder="1" applyAlignment="1">
      <alignment horizontal="center" vertical="center" wrapText="1"/>
    </xf>
    <xf numFmtId="4" fontId="68" fillId="0" borderId="124" xfId="31" applyNumberFormat="1" applyFont="1" applyFill="1" applyBorder="1" applyAlignment="1">
      <alignment horizontal="center" vertical="center" wrapText="1"/>
    </xf>
    <xf numFmtId="4" fontId="68" fillId="0" borderId="69" xfId="31" applyNumberFormat="1" applyFont="1" applyFill="1" applyBorder="1" applyAlignment="1">
      <alignment horizontal="center"/>
    </xf>
    <xf numFmtId="4" fontId="68" fillId="0" borderId="52" xfId="31" applyNumberFormat="1" applyFont="1" applyFill="1" applyBorder="1" applyAlignment="1">
      <alignment horizontal="center"/>
    </xf>
    <xf numFmtId="4" fontId="68" fillId="0" borderId="64" xfId="31" applyNumberFormat="1" applyFont="1" applyFill="1" applyBorder="1" applyAlignment="1">
      <alignment horizontal="center" vertical="center" wrapText="1"/>
    </xf>
    <xf numFmtId="4" fontId="68" fillId="0" borderId="83" xfId="31" applyNumberFormat="1" applyFont="1" applyFill="1" applyBorder="1" applyAlignment="1">
      <alignment horizontal="center" vertical="center" wrapText="1"/>
    </xf>
    <xf numFmtId="4" fontId="68" fillId="0" borderId="66" xfId="31" applyNumberFormat="1" applyFont="1" applyFill="1" applyBorder="1" applyAlignment="1">
      <alignment horizontal="center"/>
    </xf>
    <xf numFmtId="4" fontId="68" fillId="0" borderId="32" xfId="31" applyNumberFormat="1" applyFont="1" applyFill="1" applyBorder="1" applyAlignment="1">
      <alignment horizontal="center"/>
    </xf>
    <xf numFmtId="4" fontId="68" fillId="0" borderId="32" xfId="31" applyNumberFormat="1" applyFont="1" applyFill="1" applyBorder="1" applyAlignment="1">
      <alignment horizontal="center"/>
    </xf>
    <xf numFmtId="4" fontId="68" fillId="0" borderId="0" xfId="31" applyNumberFormat="1" applyFont="1" applyFill="1" applyBorder="1" applyAlignment="1">
      <alignment horizontal="center"/>
    </xf>
    <xf numFmtId="4" fontId="68" fillId="0" borderId="124" xfId="31" applyNumberFormat="1" applyFont="1" applyFill="1" applyBorder="1" applyAlignment="1">
      <alignment horizontal="center" vertical="center"/>
    </xf>
    <xf numFmtId="174" fontId="68" fillId="0" borderId="117" xfId="37" applyNumberFormat="1" applyFont="1" applyFill="1" applyBorder="1" applyAlignment="1">
      <alignment horizontal="center"/>
    </xf>
    <xf numFmtId="174" fontId="68" fillId="0" borderId="0" xfId="37" applyNumberFormat="1" applyFont="1" applyFill="1" applyBorder="1" applyAlignment="1">
      <alignment horizontal="center"/>
    </xf>
    <xf numFmtId="174" fontId="68" fillId="0" borderId="129" xfId="37" applyNumberFormat="1" applyFont="1" applyFill="1" applyBorder="1" applyAlignment="1">
      <alignment horizontal="center"/>
    </xf>
    <xf numFmtId="174" fontId="68" fillId="0" borderId="117" xfId="31" applyNumberFormat="1" applyFont="1" applyFill="1" applyBorder="1" applyAlignment="1">
      <alignment horizontal="center"/>
    </xf>
    <xf numFmtId="174" fontId="68" fillId="0" borderId="0" xfId="31" applyNumberFormat="1" applyFont="1" applyFill="1" applyBorder="1" applyAlignment="1">
      <alignment horizontal="center"/>
    </xf>
    <xf numFmtId="174" fontId="68" fillId="0" borderId="129" xfId="31" applyNumberFormat="1" applyFont="1" applyFill="1" applyBorder="1" applyAlignment="1">
      <alignment horizontal="center"/>
    </xf>
    <xf numFmtId="4" fontId="68" fillId="0" borderId="62" xfId="31" applyNumberFormat="1" applyFont="1" applyFill="1" applyBorder="1" applyAlignment="1">
      <alignment horizontal="center"/>
    </xf>
    <xf numFmtId="4" fontId="68" fillId="0" borderId="10" xfId="31" applyNumberFormat="1" applyFont="1" applyFill="1" applyBorder="1" applyAlignment="1">
      <alignment horizontal="center"/>
    </xf>
    <xf numFmtId="4" fontId="68" fillId="0" borderId="10" xfId="31" applyNumberFormat="1" applyFont="1" applyFill="1" applyBorder="1" applyAlignment="1">
      <alignment horizontal="center"/>
    </xf>
    <xf numFmtId="4" fontId="68" fillId="0" borderId="68" xfId="31" applyNumberFormat="1" applyFont="1" applyFill="1" applyBorder="1" applyAlignment="1">
      <alignment horizontal="center"/>
    </xf>
    <xf numFmtId="4" fontId="68" fillId="0" borderId="46" xfId="31" applyNumberFormat="1" applyFont="1" applyFill="1" applyBorder="1" applyAlignment="1">
      <alignment horizontal="center"/>
    </xf>
    <xf numFmtId="4" fontId="68" fillId="0" borderId="137" xfId="31" applyNumberFormat="1" applyFont="1" applyFill="1" applyBorder="1" applyAlignment="1">
      <alignment horizontal="center" vertical="center" wrapText="1"/>
    </xf>
    <xf numFmtId="4" fontId="68" fillId="0" borderId="82" xfId="31" applyNumberFormat="1" applyFont="1" applyFill="1" applyBorder="1" applyAlignment="1">
      <alignment horizontal="center"/>
    </xf>
    <xf numFmtId="4" fontId="68" fillId="0" borderId="33" xfId="31" applyNumberFormat="1" applyFont="1" applyFill="1" applyBorder="1" applyAlignment="1">
      <alignment horizontal="center"/>
    </xf>
    <xf numFmtId="4" fontId="68" fillId="0" borderId="33" xfId="31" applyNumberFormat="1" applyFont="1" applyFill="1" applyBorder="1" applyAlignment="1">
      <alignment horizontal="center"/>
    </xf>
    <xf numFmtId="4" fontId="68" fillId="0" borderId="41" xfId="31" applyNumberFormat="1" applyFont="1" applyFill="1" applyBorder="1" applyAlignment="1">
      <alignment horizontal="center"/>
    </xf>
    <xf numFmtId="4" fontId="68" fillId="0" borderId="142" xfId="31" applyNumberFormat="1" applyFont="1" applyFill="1" applyBorder="1" applyAlignment="1">
      <alignment horizontal="center" vertical="center" wrapText="1"/>
    </xf>
    <xf numFmtId="4" fontId="68" fillId="0" borderId="23" xfId="31" applyNumberFormat="1" applyFont="1" applyFill="1" applyBorder="1" applyAlignment="1">
      <alignment horizontal="center"/>
    </xf>
    <xf numFmtId="4" fontId="68" fillId="0" borderId="34" xfId="31" applyNumberFormat="1" applyFont="1" applyFill="1" applyBorder="1" applyAlignment="1">
      <alignment horizontal="center"/>
    </xf>
    <xf numFmtId="4" fontId="68" fillId="0" borderId="34" xfId="31" applyNumberFormat="1" applyFont="1" applyFill="1" applyBorder="1" applyAlignment="1">
      <alignment horizontal="center"/>
    </xf>
    <xf numFmtId="4" fontId="68" fillId="0" borderId="20" xfId="31" applyNumberFormat="1" applyFont="1" applyFill="1" applyBorder="1" applyAlignment="1">
      <alignment horizontal="center"/>
    </xf>
    <xf numFmtId="174" fontId="68" fillId="0" borderId="79" xfId="37" applyNumberFormat="1" applyFont="1" applyFill="1" applyBorder="1" applyAlignment="1">
      <alignment horizontal="center" vertical="center" wrapText="1"/>
    </xf>
    <xf numFmtId="174" fontId="68" fillId="0" borderId="52" xfId="37" applyNumberFormat="1" applyFont="1" applyFill="1" applyBorder="1" applyAlignment="1">
      <alignment horizontal="center" vertical="center" wrapText="1"/>
    </xf>
    <xf numFmtId="174" fontId="68" fillId="0" borderId="64" xfId="37" applyNumberFormat="1" applyFont="1" applyFill="1" applyBorder="1" applyAlignment="1">
      <alignment horizontal="center" vertical="center" wrapText="1"/>
    </xf>
    <xf numFmtId="174" fontId="68" fillId="0" borderId="79" xfId="31" applyNumberFormat="1" applyFont="1" applyFill="1" applyBorder="1" applyAlignment="1">
      <alignment horizontal="center" vertical="center" wrapText="1"/>
    </xf>
    <xf numFmtId="174" fontId="68" fillId="0" borderId="52" xfId="31" applyNumberFormat="1" applyFont="1" applyFill="1" applyBorder="1" applyAlignment="1">
      <alignment horizontal="center" vertical="center" wrapText="1"/>
    </xf>
    <xf numFmtId="49" fontId="68" fillId="0" borderId="79" xfId="31" applyNumberFormat="1" applyFont="1" applyFill="1" applyBorder="1" applyAlignment="1">
      <alignment horizontal="center"/>
    </xf>
    <xf numFmtId="49" fontId="68" fillId="0" borderId="52" xfId="31" applyNumberFormat="1" applyFont="1" applyFill="1" applyBorder="1" applyAlignment="1">
      <alignment horizontal="center"/>
    </xf>
    <xf numFmtId="49" fontId="68" fillId="0" borderId="124" xfId="31" applyNumberFormat="1" applyFont="1" applyFill="1" applyBorder="1" applyAlignment="1">
      <alignment horizontal="center"/>
    </xf>
    <xf numFmtId="49" fontId="68" fillId="0" borderId="62" xfId="31" applyNumberFormat="1" applyFont="1" applyFill="1" applyBorder="1" applyAlignment="1">
      <alignment horizontal="center"/>
    </xf>
    <xf numFmtId="49" fontId="68" fillId="0" borderId="10" xfId="31" applyNumberFormat="1" applyFont="1" applyFill="1" applyBorder="1" applyAlignment="1">
      <alignment horizontal="center"/>
    </xf>
    <xf numFmtId="49" fontId="68" fillId="0" borderId="82" xfId="31" applyNumberFormat="1" applyFont="1" applyFill="1" applyBorder="1" applyAlignment="1">
      <alignment horizontal="center"/>
    </xf>
    <xf numFmtId="49" fontId="68" fillId="0" borderId="33" xfId="31" applyNumberFormat="1" applyFont="1" applyFill="1" applyBorder="1" applyAlignment="1">
      <alignment horizontal="center"/>
    </xf>
    <xf numFmtId="0" fontId="68" fillId="0" borderId="118" xfId="0" applyFont="1" applyFill="1" applyBorder="1" applyAlignment="1">
      <alignment horizontal="center" vertical="center" textRotation="90" wrapText="1"/>
    </xf>
    <xf numFmtId="0" fontId="68" fillId="0" borderId="125" xfId="0" applyFont="1" applyFill="1" applyBorder="1" applyAlignment="1">
      <alignment horizontal="center" vertical="center" wrapText="1"/>
    </xf>
    <xf numFmtId="174" fontId="68" fillId="0" borderId="135" xfId="37" applyNumberFormat="1" applyFont="1" applyFill="1" applyBorder="1" applyAlignment="1">
      <alignment horizontal="center" vertical="center" wrapText="1"/>
    </xf>
    <xf numFmtId="174" fontId="68" fillId="0" borderId="80" xfId="37" applyNumberFormat="1" applyFont="1" applyFill="1" applyBorder="1" applyAlignment="1">
      <alignment horizontal="center" vertical="center" wrapText="1"/>
    </xf>
    <xf numFmtId="174" fontId="68" fillId="0" borderId="88" xfId="37" applyNumberFormat="1" applyFont="1" applyFill="1" applyBorder="1" applyAlignment="1">
      <alignment horizontal="center" vertical="center" wrapText="1"/>
    </xf>
    <xf numFmtId="174" fontId="68" fillId="0" borderId="135" xfId="31" applyNumberFormat="1" applyFont="1" applyFill="1" applyBorder="1" applyAlignment="1">
      <alignment horizontal="center" vertical="center" wrapText="1"/>
    </xf>
    <xf numFmtId="174" fontId="68" fillId="0" borderId="80" xfId="31" applyNumberFormat="1" applyFont="1" applyFill="1" applyBorder="1" applyAlignment="1">
      <alignment horizontal="center" vertical="center" wrapText="1"/>
    </xf>
    <xf numFmtId="4" fontId="68" fillId="0" borderId="135" xfId="31" applyNumberFormat="1" applyFont="1" applyFill="1" applyBorder="1" applyAlignment="1">
      <alignment horizontal="center" vertical="center" wrapText="1"/>
    </xf>
    <xf numFmtId="4" fontId="68" fillId="0" borderId="80" xfId="31" applyNumberFormat="1" applyFont="1" applyFill="1" applyBorder="1" applyAlignment="1">
      <alignment horizontal="center" vertical="center" wrapText="1"/>
    </xf>
    <xf numFmtId="4" fontId="68" fillId="0" borderId="140" xfId="31" applyNumberFormat="1" applyFont="1" applyFill="1" applyBorder="1" applyAlignment="1">
      <alignment horizontal="center" vertical="center" wrapText="1"/>
    </xf>
    <xf numFmtId="4" fontId="68" fillId="0" borderId="139" xfId="31" applyNumberFormat="1" applyFont="1" applyFill="1" applyBorder="1" applyAlignment="1">
      <alignment horizontal="center" vertical="center" wrapText="1"/>
    </xf>
    <xf numFmtId="4" fontId="68" fillId="0" borderId="167" xfId="31" applyNumberFormat="1" applyFont="1" applyFill="1" applyBorder="1" applyAlignment="1">
      <alignment horizontal="center" vertical="center" wrapText="1"/>
    </xf>
    <xf numFmtId="4" fontId="68" fillId="0" borderId="65" xfId="31" applyNumberFormat="1" applyFont="1" applyFill="1" applyBorder="1" applyAlignment="1">
      <alignment horizontal="center" vertical="center" wrapText="1"/>
    </xf>
    <xf numFmtId="4" fontId="68" fillId="0" borderId="84" xfId="31" applyNumberFormat="1" applyFont="1" applyFill="1" applyBorder="1" applyAlignment="1">
      <alignment horizontal="center" vertical="center" wrapText="1"/>
    </xf>
    <xf numFmtId="4" fontId="68" fillId="0" borderId="88" xfId="31" applyNumberFormat="1" applyFont="1" applyFill="1" applyBorder="1" applyAlignment="1">
      <alignment horizontal="center" vertical="center" wrapText="1"/>
    </xf>
    <xf numFmtId="4" fontId="68" fillId="0" borderId="122" xfId="31" applyNumberFormat="1" applyFont="1" applyFill="1" applyBorder="1" applyAlignment="1">
      <alignment horizontal="center" vertical="center" wrapText="1"/>
    </xf>
    <xf numFmtId="4" fontId="68" fillId="0" borderId="104" xfId="31" applyNumberFormat="1" applyFont="1" applyFill="1" applyBorder="1" applyAlignment="1">
      <alignment horizontal="center"/>
    </xf>
    <xf numFmtId="4" fontId="68" fillId="0" borderId="104" xfId="31" applyNumberFormat="1" applyFont="1" applyFill="1" applyBorder="1" applyAlignment="1">
      <alignment horizontal="center"/>
    </xf>
    <xf numFmtId="4" fontId="68" fillId="0" borderId="143" xfId="31" applyNumberFormat="1" applyFont="1" applyFill="1" applyBorder="1" applyAlignment="1">
      <alignment horizontal="center"/>
    </xf>
    <xf numFmtId="4" fontId="68" fillId="0" borderId="125" xfId="31" applyNumberFormat="1" applyFont="1" applyFill="1" applyBorder="1" applyAlignment="1">
      <alignment horizontal="center" vertical="center"/>
    </xf>
    <xf numFmtId="0" fontId="68" fillId="0" borderId="119" xfId="0" applyFont="1" applyFill="1" applyBorder="1" applyAlignment="1">
      <alignment horizontal="left"/>
    </xf>
    <xf numFmtId="0" fontId="68" fillId="0" borderId="126" xfId="0" applyFont="1" applyFill="1" applyBorder="1" applyAlignment="1">
      <alignment horizontal="left"/>
    </xf>
    <xf numFmtId="174" fontId="68" fillId="0" borderId="105" xfId="37" applyNumberFormat="1" applyFont="1" applyFill="1" applyBorder="1"/>
    <xf numFmtId="174" fontId="68" fillId="0" borderId="108" xfId="37" applyNumberFormat="1" applyFont="1" applyFill="1" applyBorder="1"/>
    <xf numFmtId="174" fontId="68" fillId="0" borderId="130" xfId="37" applyNumberFormat="1" applyFont="1" applyFill="1" applyBorder="1"/>
    <xf numFmtId="174" fontId="68" fillId="0" borderId="105" xfId="31" applyNumberFormat="1" applyFont="1" applyFill="1" applyBorder="1"/>
    <xf numFmtId="174" fontId="68" fillId="0" borderId="108" xfId="31" applyNumberFormat="1" applyFont="1" applyFill="1" applyBorder="1"/>
    <xf numFmtId="174" fontId="68" fillId="0" borderId="130" xfId="31" applyNumberFormat="1" applyFont="1" applyFill="1" applyBorder="1"/>
    <xf numFmtId="167" fontId="68" fillId="0" borderId="110" xfId="31" applyNumberFormat="1" applyFont="1" applyFill="1" applyBorder="1"/>
    <xf numFmtId="167" fontId="68" fillId="0" borderId="108" xfId="31" applyNumberFormat="1" applyFont="1" applyFill="1" applyBorder="1"/>
    <xf numFmtId="167" fontId="68" fillId="0" borderId="130" xfId="31" applyNumberFormat="1" applyFont="1" applyFill="1" applyBorder="1"/>
    <xf numFmtId="167" fontId="68" fillId="0" borderId="134" xfId="31" applyNumberFormat="1" applyFont="1" applyFill="1" applyBorder="1"/>
    <xf numFmtId="167" fontId="68" fillId="0" borderId="105" xfId="31" applyNumberFormat="1" applyFont="1" applyFill="1" applyBorder="1"/>
    <xf numFmtId="167" fontId="68" fillId="0" borderId="159" xfId="31" applyNumberFormat="1" applyFont="1" applyFill="1" applyBorder="1"/>
    <xf numFmtId="167" fontId="68" fillId="0" borderId="107" xfId="31" applyNumberFormat="1" applyFont="1" applyFill="1" applyBorder="1"/>
    <xf numFmtId="167" fontId="68" fillId="0" borderId="109" xfId="31" applyNumberFormat="1" applyFont="1" applyFill="1" applyBorder="1"/>
    <xf numFmtId="167" fontId="68" fillId="0" borderId="106" xfId="31" applyNumberFormat="1" applyFont="1" applyFill="1" applyBorder="1"/>
    <xf numFmtId="167" fontId="68" fillId="0" borderId="126" xfId="31" applyNumberFormat="1" applyFont="1" applyFill="1" applyBorder="1"/>
    <xf numFmtId="171" fontId="68" fillId="0" borderId="0" xfId="31" applyNumberFormat="1" applyFont="1" applyFill="1"/>
    <xf numFmtId="4" fontId="68" fillId="0" borderId="0" xfId="31" applyNumberFormat="1" applyFont="1" applyFill="1"/>
    <xf numFmtId="0" fontId="68" fillId="0" borderId="89" xfId="0" applyFont="1" applyFill="1" applyBorder="1" applyAlignment="1">
      <alignment horizontal="left"/>
    </xf>
    <xf numFmtId="0" fontId="68" fillId="0" borderId="127" xfId="0" applyFont="1" applyFill="1" applyBorder="1" applyAlignment="1">
      <alignment horizontal="left"/>
    </xf>
    <xf numFmtId="174" fontId="68" fillId="0" borderId="131" xfId="37" applyNumberFormat="1" applyFont="1" applyFill="1" applyBorder="1"/>
    <xf numFmtId="174" fontId="68" fillId="0" borderId="10" xfId="37" applyNumberFormat="1" applyFont="1" applyFill="1" applyBorder="1"/>
    <xf numFmtId="174" fontId="68" fillId="0" borderId="61" xfId="37" applyNumberFormat="1" applyFont="1" applyFill="1" applyBorder="1"/>
    <xf numFmtId="174" fontId="68" fillId="0" borderId="89" xfId="31" applyNumberFormat="1" applyFont="1" applyFill="1" applyBorder="1"/>
    <xf numFmtId="174" fontId="68" fillId="0" borderId="10" xfId="31" applyNumberFormat="1" applyFont="1" applyFill="1" applyBorder="1"/>
    <xf numFmtId="174" fontId="68" fillId="0" borderId="36" xfId="31" applyNumberFormat="1" applyFont="1" applyFill="1" applyBorder="1"/>
    <xf numFmtId="174" fontId="68" fillId="0" borderId="63" xfId="31" applyNumberFormat="1" applyFont="1" applyFill="1" applyBorder="1"/>
    <xf numFmtId="167" fontId="68" fillId="0" borderId="10" xfId="31" applyNumberFormat="1" applyFont="1" applyFill="1" applyBorder="1"/>
    <xf numFmtId="167" fontId="68" fillId="0" borderId="63" xfId="31" applyNumberFormat="1" applyFont="1" applyFill="1" applyBorder="1"/>
    <xf numFmtId="167" fontId="68" fillId="0" borderId="90" xfId="31" applyNumberFormat="1" applyFont="1" applyFill="1" applyBorder="1"/>
    <xf numFmtId="167" fontId="68" fillId="0" borderId="62" xfId="31" applyNumberFormat="1" applyFont="1" applyFill="1" applyBorder="1"/>
    <xf numFmtId="167" fontId="68" fillId="0" borderId="36" xfId="31" applyNumberFormat="1" applyFont="1" applyFill="1" applyBorder="1"/>
    <xf numFmtId="167" fontId="68" fillId="0" borderId="133" xfId="31" applyNumberFormat="1" applyFont="1" applyFill="1" applyBorder="1"/>
    <xf numFmtId="167" fontId="68" fillId="0" borderId="12" xfId="31" applyNumberFormat="1" applyFont="1" applyFill="1" applyBorder="1"/>
    <xf numFmtId="167" fontId="69" fillId="0" borderId="13" xfId="31" applyNumberFormat="1" applyFont="1" applyFill="1" applyBorder="1"/>
    <xf numFmtId="167" fontId="69" fillId="0" borderId="38" xfId="31" applyNumberFormat="1" applyFont="1" applyFill="1" applyBorder="1"/>
    <xf numFmtId="167" fontId="68" fillId="0" borderId="142" xfId="31" applyNumberFormat="1" applyFont="1" applyFill="1" applyBorder="1"/>
    <xf numFmtId="49" fontId="69" fillId="0" borderId="89" xfId="31" applyNumberFormat="1" applyFont="1" applyFill="1" applyBorder="1" applyAlignment="1">
      <alignment horizontal="left"/>
    </xf>
    <xf numFmtId="4" fontId="69" fillId="0" borderId="127" xfId="31" applyNumberFormat="1" applyFont="1" applyFill="1" applyBorder="1" applyAlignment="1"/>
    <xf numFmtId="174" fontId="69" fillId="0" borderId="62" xfId="37" applyNumberFormat="1" applyFont="1" applyFill="1" applyBorder="1"/>
    <xf numFmtId="174" fontId="69" fillId="0" borderId="46" xfId="37" applyNumberFormat="1" applyFont="1" applyFill="1" applyBorder="1"/>
    <xf numFmtId="174" fontId="69" fillId="0" borderId="10" xfId="37" applyNumberFormat="1" applyFont="1" applyFill="1" applyBorder="1"/>
    <xf numFmtId="174" fontId="69" fillId="0" borderId="61" xfId="37" applyNumberFormat="1" applyFont="1" applyFill="1" applyBorder="1"/>
    <xf numFmtId="174" fontId="69" fillId="0" borderId="89" xfId="31" applyNumberFormat="1" applyFont="1" applyFill="1" applyBorder="1"/>
    <xf numFmtId="174" fontId="69" fillId="0" borderId="10" xfId="31" applyNumberFormat="1" applyFont="1" applyFill="1" applyBorder="1"/>
    <xf numFmtId="174" fontId="69" fillId="0" borderId="36" xfId="31" applyNumberFormat="1" applyFont="1" applyFill="1" applyBorder="1"/>
    <xf numFmtId="174" fontId="69" fillId="0" borderId="63" xfId="31" applyNumberFormat="1" applyFont="1" applyFill="1" applyBorder="1"/>
    <xf numFmtId="167" fontId="69" fillId="0" borderId="36" xfId="31" applyNumberFormat="1" applyFont="1" applyFill="1" applyBorder="1"/>
    <xf numFmtId="167" fontId="69" fillId="0" borderId="10" xfId="31" applyNumberFormat="1" applyFont="1" applyFill="1" applyBorder="1"/>
    <xf numFmtId="167" fontId="69" fillId="0" borderId="63" xfId="31" applyNumberFormat="1" applyFont="1" applyFill="1" applyBorder="1"/>
    <xf numFmtId="167" fontId="69" fillId="0" borderId="90" xfId="31" applyNumberFormat="1" applyFont="1" applyFill="1" applyBorder="1"/>
    <xf numFmtId="167" fontId="69" fillId="0" borderId="62" xfId="31" applyNumberFormat="1" applyFont="1" applyFill="1" applyBorder="1"/>
    <xf numFmtId="167" fontId="69" fillId="0" borderId="133" xfId="31" applyNumberFormat="1" applyFont="1" applyFill="1" applyBorder="1"/>
    <xf numFmtId="167" fontId="69" fillId="0" borderId="12" xfId="31" applyNumberFormat="1" applyFont="1" applyFill="1" applyBorder="1"/>
    <xf numFmtId="167" fontId="69" fillId="0" borderId="142" xfId="31" applyNumberFormat="1" applyFont="1" applyFill="1" applyBorder="1"/>
    <xf numFmtId="4" fontId="69" fillId="0" borderId="0" xfId="31" applyNumberFormat="1" applyFont="1" applyFill="1"/>
    <xf numFmtId="0" fontId="69" fillId="0" borderId="89" xfId="0" applyFont="1" applyFill="1" applyBorder="1" applyAlignment="1">
      <alignment horizontal="left"/>
    </xf>
    <xf numFmtId="0" fontId="69" fillId="0" borderId="127" xfId="0" applyFont="1" applyFill="1" applyBorder="1" applyAlignment="1"/>
    <xf numFmtId="174" fontId="68" fillId="0" borderId="132" xfId="37" applyNumberFormat="1" applyFont="1" applyFill="1" applyBorder="1"/>
    <xf numFmtId="174" fontId="68" fillId="0" borderId="62" xfId="31" applyNumberFormat="1" applyFont="1" applyFill="1" applyBorder="1"/>
    <xf numFmtId="174" fontId="69" fillId="0" borderId="62" xfId="31" applyNumberFormat="1" applyFont="1" applyFill="1" applyBorder="1"/>
    <xf numFmtId="174" fontId="69" fillId="0" borderId="131" xfId="37" applyNumberFormat="1" applyFont="1" applyFill="1" applyBorder="1"/>
    <xf numFmtId="174" fontId="69" fillId="0" borderId="133" xfId="37" applyNumberFormat="1" applyFont="1" applyFill="1" applyBorder="1"/>
    <xf numFmtId="49" fontId="68" fillId="0" borderId="89" xfId="31" applyNumberFormat="1" applyFont="1" applyFill="1" applyBorder="1" applyAlignment="1">
      <alignment horizontal="left"/>
    </xf>
    <xf numFmtId="4" fontId="68" fillId="0" borderId="127" xfId="31" applyNumberFormat="1" applyFont="1" applyFill="1" applyBorder="1" applyAlignment="1"/>
    <xf numFmtId="174" fontId="68" fillId="0" borderId="46" xfId="37" applyNumberFormat="1" applyFont="1" applyFill="1" applyBorder="1"/>
    <xf numFmtId="174" fontId="68" fillId="0" borderId="133" xfId="37" applyNumberFormat="1" applyFont="1" applyFill="1" applyBorder="1"/>
    <xf numFmtId="0" fontId="68" fillId="0" borderId="127" xfId="0" applyFont="1" applyFill="1" applyBorder="1" applyAlignment="1"/>
    <xf numFmtId="0" fontId="69" fillId="0" borderId="127" xfId="0" applyFont="1" applyFill="1" applyBorder="1"/>
    <xf numFmtId="0" fontId="68" fillId="0" borderId="127" xfId="0" applyFont="1" applyFill="1" applyBorder="1"/>
    <xf numFmtId="167" fontId="69" fillId="0" borderId="36" xfId="0" applyNumberFormat="1" applyFont="1" applyFill="1" applyBorder="1"/>
    <xf numFmtId="167" fontId="69" fillId="0" borderId="10" xfId="0" applyNumberFormat="1" applyFont="1" applyFill="1" applyBorder="1"/>
    <xf numFmtId="167" fontId="69" fillId="0" borderId="90" xfId="0" applyNumberFormat="1" applyFont="1" applyFill="1" applyBorder="1"/>
    <xf numFmtId="167" fontId="69" fillId="0" borderId="62" xfId="0" applyNumberFormat="1" applyFont="1" applyFill="1" applyBorder="1"/>
    <xf numFmtId="167" fontId="68" fillId="0" borderId="36" xfId="0" applyNumberFormat="1" applyFont="1" applyFill="1" applyBorder="1"/>
    <xf numFmtId="167" fontId="69" fillId="0" borderId="81" xfId="31" applyNumberFormat="1" applyFont="1" applyFill="1" applyBorder="1"/>
    <xf numFmtId="167" fontId="69" fillId="0" borderId="68" xfId="31" applyNumberFormat="1" applyFont="1" applyFill="1" applyBorder="1"/>
    <xf numFmtId="174" fontId="69" fillId="0" borderId="73" xfId="37" applyNumberFormat="1" applyFont="1" applyFill="1" applyBorder="1"/>
    <xf numFmtId="174" fontId="69" fillId="0" borderId="63" xfId="37" applyNumberFormat="1" applyFont="1" applyFill="1" applyBorder="1"/>
    <xf numFmtId="174" fontId="68" fillId="0" borderId="38" xfId="37" applyNumberFormat="1" applyFont="1" applyFill="1" applyBorder="1"/>
    <xf numFmtId="0" fontId="68" fillId="0" borderId="89" xfId="0" applyFont="1" applyBorder="1" applyAlignment="1">
      <alignment horizontal="left"/>
    </xf>
    <xf numFmtId="0" fontId="68" fillId="0" borderId="127" xfId="0" applyFont="1" applyBorder="1"/>
    <xf numFmtId="174" fontId="68" fillId="0" borderId="73" xfId="37" applyNumberFormat="1" applyFont="1" applyFill="1" applyBorder="1"/>
    <xf numFmtId="167" fontId="68" fillId="0" borderId="13" xfId="31" applyNumberFormat="1" applyFont="1" applyFill="1" applyBorder="1"/>
    <xf numFmtId="167" fontId="68" fillId="0" borderId="38" xfId="31" applyNumberFormat="1" applyFont="1" applyFill="1" applyBorder="1"/>
    <xf numFmtId="0" fontId="69" fillId="0" borderId="89" xfId="0" applyFont="1" applyBorder="1" applyAlignment="1">
      <alignment horizontal="left"/>
    </xf>
    <xf numFmtId="0" fontId="69" fillId="0" borderId="127" xfId="0" applyFont="1" applyBorder="1"/>
    <xf numFmtId="174" fontId="68" fillId="0" borderId="89" xfId="37" applyNumberFormat="1" applyFont="1" applyFill="1" applyBorder="1"/>
    <xf numFmtId="174" fontId="69" fillId="0" borderId="89" xfId="37" applyNumberFormat="1" applyFont="1" applyFill="1" applyBorder="1"/>
    <xf numFmtId="174" fontId="69" fillId="0" borderId="91" xfId="37" applyNumberFormat="1" applyFont="1" applyFill="1" applyBorder="1"/>
    <xf numFmtId="174" fontId="68" fillId="0" borderId="91" xfId="37" applyNumberFormat="1" applyFont="1" applyFill="1" applyBorder="1"/>
    <xf numFmtId="4" fontId="68" fillId="0" borderId="127" xfId="31" applyNumberFormat="1" applyFont="1" applyFill="1" applyBorder="1"/>
    <xf numFmtId="4" fontId="69" fillId="0" borderId="127" xfId="31" applyNumberFormat="1" applyFont="1" applyFill="1" applyBorder="1"/>
    <xf numFmtId="174" fontId="69" fillId="0" borderId="38" xfId="31" applyNumberFormat="1" applyFont="1" applyFill="1" applyBorder="1"/>
    <xf numFmtId="174" fontId="68" fillId="0" borderId="133" xfId="31" applyNumberFormat="1" applyFont="1" applyFill="1" applyBorder="1"/>
    <xf numFmtId="167" fontId="69" fillId="0" borderId="91" xfId="31" applyNumberFormat="1" applyFont="1" applyFill="1" applyBorder="1"/>
    <xf numFmtId="0" fontId="68" fillId="0" borderId="127" xfId="0" applyFont="1" applyFill="1" applyBorder="1" applyAlignment="1">
      <alignment vertical="justify" wrapText="1"/>
    </xf>
    <xf numFmtId="174" fontId="69" fillId="0" borderId="38" xfId="37" applyNumberFormat="1" applyFont="1" applyFill="1" applyBorder="1"/>
    <xf numFmtId="0" fontId="69" fillId="0" borderId="120" xfId="0" applyFont="1" applyFill="1" applyBorder="1" applyAlignment="1">
      <alignment horizontal="left"/>
    </xf>
    <xf numFmtId="0" fontId="69" fillId="0" borderId="128" xfId="0" applyFont="1" applyFill="1" applyBorder="1"/>
    <xf numFmtId="174" fontId="69" fillId="0" borderId="79" xfId="37" applyNumberFormat="1" applyFont="1" applyFill="1" applyBorder="1"/>
    <xf numFmtId="174" fontId="69" fillId="0" borderId="52" xfId="37" applyNumberFormat="1" applyFont="1" applyFill="1" applyBorder="1"/>
    <xf numFmtId="174" fontId="69" fillId="0" borderId="76" xfId="37" applyNumberFormat="1" applyFont="1" applyFill="1" applyBorder="1"/>
    <xf numFmtId="174" fontId="69" fillId="0" borderId="64" xfId="37" applyNumberFormat="1" applyFont="1" applyFill="1" applyBorder="1"/>
    <xf numFmtId="174" fontId="69" fillId="0" borderId="79" xfId="31" applyNumberFormat="1" applyFont="1" applyFill="1" applyBorder="1"/>
    <xf numFmtId="174" fontId="69" fillId="0" borderId="69" xfId="31" applyNumberFormat="1" applyFont="1" applyFill="1" applyBorder="1"/>
    <xf numFmtId="174" fontId="69" fillId="0" borderId="52" xfId="31" applyNumberFormat="1" applyFont="1" applyFill="1" applyBorder="1"/>
    <xf numFmtId="174" fontId="68" fillId="0" borderId="137" xfId="31" applyNumberFormat="1" applyFont="1" applyFill="1" applyBorder="1"/>
    <xf numFmtId="167" fontId="69" fillId="0" borderId="69" xfId="31" applyNumberFormat="1" applyFont="1" applyFill="1" applyBorder="1"/>
    <xf numFmtId="167" fontId="69" fillId="0" borderId="52" xfId="31" applyNumberFormat="1" applyFont="1" applyFill="1" applyBorder="1"/>
    <xf numFmtId="167" fontId="69" fillId="0" borderId="76" xfId="31" applyNumberFormat="1" applyFont="1" applyFill="1" applyBorder="1"/>
    <xf numFmtId="167" fontId="69" fillId="0" borderId="64" xfId="31" applyNumberFormat="1" applyFont="1" applyFill="1" applyBorder="1"/>
    <xf numFmtId="167" fontId="69" fillId="0" borderId="94" xfId="31" applyNumberFormat="1" applyFont="1" applyFill="1" applyBorder="1"/>
    <xf numFmtId="167" fontId="69" fillId="0" borderId="79" xfId="31" applyNumberFormat="1" applyFont="1" applyFill="1" applyBorder="1"/>
    <xf numFmtId="167" fontId="69" fillId="0" borderId="160" xfId="31" applyNumberFormat="1" applyFont="1" applyFill="1" applyBorder="1"/>
    <xf numFmtId="167" fontId="69" fillId="0" borderId="51" xfId="31" applyNumberFormat="1" applyFont="1" applyFill="1" applyBorder="1"/>
    <xf numFmtId="167" fontId="69" fillId="0" borderId="40" xfId="31" applyNumberFormat="1" applyFont="1" applyFill="1" applyBorder="1"/>
    <xf numFmtId="167" fontId="68" fillId="0" borderId="124" xfId="31" applyNumberFormat="1" applyFont="1" applyFill="1" applyBorder="1"/>
    <xf numFmtId="49" fontId="69" fillId="0" borderId="121" xfId="31" applyNumberFormat="1" applyFont="1" applyFill="1" applyBorder="1" applyAlignment="1">
      <alignment horizontal="left"/>
    </xf>
    <xf numFmtId="4" fontId="68" fillId="0" borderId="98" xfId="31" applyNumberFormat="1" applyFont="1" applyFill="1" applyBorder="1" applyAlignment="1">
      <alignment horizontal="center"/>
    </xf>
    <xf numFmtId="174" fontId="68" fillId="0" borderId="111" xfId="37" applyNumberFormat="1" applyFont="1" applyFill="1" applyBorder="1"/>
    <xf numFmtId="174" fontId="68" fillId="0" borderId="157" xfId="37" applyNumberFormat="1" applyFont="1" applyFill="1" applyBorder="1"/>
    <xf numFmtId="174" fontId="68" fillId="0" borderId="138" xfId="37" applyNumberFormat="1" applyFont="1" applyFill="1" applyBorder="1"/>
    <xf numFmtId="174" fontId="68" fillId="0" borderId="111" xfId="31" applyNumberFormat="1" applyFont="1" applyFill="1" applyBorder="1"/>
    <xf numFmtId="174" fontId="68" fillId="0" borderId="157" xfId="31" applyNumberFormat="1" applyFont="1" applyFill="1" applyBorder="1"/>
    <xf numFmtId="174" fontId="68" fillId="0" borderId="138" xfId="31" applyNumberFormat="1" applyFont="1" applyFill="1" applyBorder="1"/>
    <xf numFmtId="167" fontId="68" fillId="0" borderId="141" xfId="31" applyNumberFormat="1" applyFont="1" applyFill="1" applyBorder="1"/>
    <xf numFmtId="167" fontId="68" fillId="0" borderId="98" xfId="31" applyNumberFormat="1" applyFont="1" applyFill="1" applyBorder="1"/>
    <xf numFmtId="167" fontId="68" fillId="0" borderId="111" xfId="31" applyNumberFormat="1" applyFont="1" applyFill="1" applyBorder="1"/>
    <xf numFmtId="167" fontId="68" fillId="0" borderId="161" xfId="31" applyNumberFormat="1" applyFont="1" applyFill="1" applyBorder="1"/>
    <xf numFmtId="167" fontId="68" fillId="0" borderId="115" xfId="31" applyNumberFormat="1" applyFont="1" applyFill="1" applyBorder="1"/>
    <xf numFmtId="167" fontId="69" fillId="0" borderId="115" xfId="31" applyNumberFormat="1" applyFont="1" applyFill="1" applyBorder="1"/>
    <xf numFmtId="167" fontId="69" fillId="0" borderId="114" xfId="31" applyNumberFormat="1" applyFont="1" applyFill="1" applyBorder="1"/>
    <xf numFmtId="167" fontId="68" fillId="0" borderId="113" xfId="31" applyNumberFormat="1" applyFont="1" applyFill="1" applyBorder="1"/>
    <xf numFmtId="167" fontId="69" fillId="0" borderId="112" xfId="31" applyNumberFormat="1" applyFont="1" applyFill="1" applyBorder="1"/>
    <xf numFmtId="49" fontId="70" fillId="0" borderId="0" xfId="31" applyNumberFormat="1" applyFont="1" applyFill="1" applyAlignment="1">
      <alignment horizontal="left"/>
    </xf>
    <xf numFmtId="4" fontId="70" fillId="0" borderId="0" xfId="31" applyNumberFormat="1" applyFont="1" applyFill="1"/>
    <xf numFmtId="174" fontId="70" fillId="0" borderId="0" xfId="37" applyNumberFormat="1" applyFont="1" applyFill="1"/>
    <xf numFmtId="174" fontId="71" fillId="0" borderId="0" xfId="37" applyNumberFormat="1" applyFont="1" applyFill="1"/>
    <xf numFmtId="174" fontId="70" fillId="0" borderId="0" xfId="31" applyNumberFormat="1" applyFont="1" applyFill="1"/>
    <xf numFmtId="174" fontId="72" fillId="0" borderId="0" xfId="31" applyNumberFormat="1" applyFont="1" applyFill="1"/>
    <xf numFmtId="174" fontId="71" fillId="0" borderId="0" xfId="31" applyNumberFormat="1" applyFont="1" applyFill="1"/>
    <xf numFmtId="4" fontId="72" fillId="0" borderId="0" xfId="31" applyNumberFormat="1" applyFont="1" applyFill="1"/>
    <xf numFmtId="4" fontId="71" fillId="0" borderId="0" xfId="31" applyNumberFormat="1" applyFont="1" applyFill="1"/>
    <xf numFmtId="164" fontId="71" fillId="0" borderId="0" xfId="37" applyFont="1" applyFill="1"/>
    <xf numFmtId="171" fontId="72" fillId="0" borderId="0" xfId="31" applyNumberFormat="1" applyFont="1" applyFill="1"/>
    <xf numFmtId="4" fontId="70" fillId="0" borderId="0" xfId="31" applyNumberFormat="1" applyFont="1" applyFill="1" applyAlignment="1">
      <alignment horizontal="center"/>
    </xf>
    <xf numFmtId="164" fontId="70" fillId="0" borderId="0" xfId="37" applyFont="1" applyFill="1"/>
    <xf numFmtId="181" fontId="71" fillId="0" borderId="0" xfId="31" applyNumberFormat="1" applyFont="1" applyFill="1"/>
    <xf numFmtId="171" fontId="70" fillId="0" borderId="0" xfId="31" applyNumberFormat="1" applyFont="1" applyFill="1"/>
    <xf numFmtId="4" fontId="73" fillId="0" borderId="0" xfId="31" applyNumberFormat="1" applyFont="1" applyFill="1"/>
    <xf numFmtId="49" fontId="74" fillId="0" borderId="0" xfId="31" applyNumberFormat="1" applyFont="1" applyAlignment="1">
      <alignment horizontal="left"/>
    </xf>
    <xf numFmtId="4" fontId="74" fillId="0" borderId="0" xfId="31" applyNumberFormat="1" applyFont="1"/>
    <xf numFmtId="174" fontId="74" fillId="0" borderId="0" xfId="37" applyNumberFormat="1" applyFont="1"/>
    <xf numFmtId="174" fontId="74" fillId="0" borderId="0" xfId="31" applyNumberFormat="1" applyFont="1"/>
    <xf numFmtId="4" fontId="74" fillId="0" borderId="0" xfId="31" applyNumberFormat="1" applyFont="1" applyFill="1"/>
    <xf numFmtId="171" fontId="74" fillId="0" borderId="0" xfId="31" applyNumberFormat="1" applyFont="1" applyFill="1"/>
    <xf numFmtId="174" fontId="71" fillId="0" borderId="0" xfId="31" applyNumberFormat="1" applyFont="1" applyFill="1" applyAlignment="1">
      <alignment horizontal="right"/>
    </xf>
    <xf numFmtId="178" fontId="71" fillId="0" borderId="0" xfId="37" applyNumberFormat="1" applyFont="1" applyFill="1"/>
    <xf numFmtId="49" fontId="67" fillId="0" borderId="0" xfId="31" applyNumberFormat="1" applyFont="1" applyAlignment="1">
      <alignment horizontal="left"/>
    </xf>
    <xf numFmtId="174" fontId="67" fillId="0" borderId="0" xfId="37" applyNumberFormat="1" applyFont="1"/>
    <xf numFmtId="174" fontId="67" fillId="0" borderId="0" xfId="31" applyNumberFormat="1" applyFont="1"/>
    <xf numFmtId="4" fontId="67" fillId="0" borderId="0" xfId="31" applyNumberFormat="1" applyFont="1" applyFill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oneda" xfId="37" builtinId="4"/>
    <cellStyle name="Moneda 2" xfId="49"/>
    <cellStyle name="Neutral" xfId="38" builtinId="28" customBuiltin="1"/>
    <cellStyle name="Normal" xfId="0" builtinId="0"/>
    <cellStyle name="Normal 2" xfId="48"/>
    <cellStyle name="Normal 3" xfId="50"/>
    <cellStyle name="Notas" xfId="39" builtinId="10" customBuiltin="1"/>
    <cellStyle name="Notas 2" xfId="5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"/>
  <sheetViews>
    <sheetView workbookViewId="0">
      <selection activeCell="D12" sqref="D12"/>
    </sheetView>
  </sheetViews>
  <sheetFormatPr baseColWidth="10" defaultRowHeight="12.75" x14ac:dyDescent="0.2"/>
  <cols>
    <col min="1" max="1" width="11.42578125" customWidth="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2:J122"/>
  <sheetViews>
    <sheetView showGridLines="0" zoomScale="115" zoomScaleNormal="115" workbookViewId="0">
      <selection activeCell="H16" sqref="H16"/>
    </sheetView>
  </sheetViews>
  <sheetFormatPr baseColWidth="10" defaultRowHeight="12.75" x14ac:dyDescent="0.2"/>
  <cols>
    <col min="1" max="1" width="8.28515625" style="667" customWidth="1"/>
    <col min="2" max="2" width="10.7109375" style="316" customWidth="1"/>
    <col min="3" max="3" width="53.140625" style="216" customWidth="1"/>
    <col min="4" max="4" width="15.28515625" style="191" customWidth="1"/>
    <col min="5" max="6" width="18.42578125" style="191" hidden="1" customWidth="1"/>
    <col min="7" max="9" width="15.28515625" style="191" customWidth="1"/>
    <col min="10" max="10" width="15.28515625" customWidth="1"/>
  </cols>
  <sheetData>
    <row r="2" spans="1:10" ht="15.75" x14ac:dyDescent="0.25">
      <c r="A2" s="1165" t="s">
        <v>187</v>
      </c>
      <c r="B2" s="1166"/>
      <c r="C2" s="1166"/>
      <c r="D2" s="1166"/>
      <c r="E2" s="1166"/>
      <c r="F2" s="1166"/>
      <c r="G2" s="1166"/>
      <c r="H2" s="1166"/>
      <c r="I2" s="1166"/>
      <c r="J2" s="1166"/>
    </row>
    <row r="3" spans="1:10" x14ac:dyDescent="0.2">
      <c r="A3" s="1167" t="s">
        <v>600</v>
      </c>
      <c r="B3" s="1168"/>
      <c r="C3" s="1168"/>
      <c r="D3" s="1168"/>
      <c r="E3" s="1168"/>
      <c r="F3" s="1168"/>
      <c r="G3" s="1168"/>
      <c r="H3" s="1168"/>
      <c r="I3" s="1168"/>
      <c r="J3" s="1168"/>
    </row>
    <row r="4" spans="1:10" ht="9.75" customHeight="1" x14ac:dyDescent="0.3">
      <c r="A4" s="326"/>
      <c r="B4" s="327"/>
      <c r="C4" s="327"/>
      <c r="D4" s="327"/>
      <c r="E4" s="327"/>
      <c r="F4" s="327"/>
      <c r="G4" s="327"/>
      <c r="H4" s="327"/>
      <c r="I4" s="327"/>
      <c r="J4" s="327"/>
    </row>
    <row r="5" spans="1:10" ht="18" customHeight="1" x14ac:dyDescent="0.3">
      <c r="A5" s="1154" t="s">
        <v>451</v>
      </c>
      <c r="B5" s="1155"/>
      <c r="C5" s="1155"/>
      <c r="D5" s="1155"/>
      <c r="E5" s="1155"/>
      <c r="F5" s="1155"/>
      <c r="G5" s="1155"/>
      <c r="H5" s="1155"/>
      <c r="I5" s="1155"/>
      <c r="J5" s="1155"/>
    </row>
    <row r="6" spans="1:10" ht="18" customHeight="1" x14ac:dyDescent="0.3">
      <c r="A6" s="1154" t="s">
        <v>732</v>
      </c>
      <c r="B6" s="1155"/>
      <c r="C6" s="1155"/>
      <c r="D6" s="1155"/>
      <c r="E6" s="1155"/>
      <c r="F6" s="1155"/>
      <c r="G6" s="1155"/>
      <c r="H6" s="1155"/>
      <c r="I6" s="1155"/>
      <c r="J6" s="1155"/>
    </row>
    <row r="7" spans="1:10" ht="18" customHeight="1" x14ac:dyDescent="0.3">
      <c r="A7" s="1154" t="s">
        <v>328</v>
      </c>
      <c r="B7" s="1155"/>
      <c r="C7" s="1155"/>
      <c r="D7" s="1155"/>
      <c r="E7" s="1155"/>
      <c r="F7" s="1155"/>
      <c r="G7" s="1155"/>
      <c r="H7" s="1155"/>
      <c r="I7" s="1155"/>
      <c r="J7" s="1155"/>
    </row>
    <row r="8" spans="1:10" ht="18" customHeight="1" x14ac:dyDescent="0.3">
      <c r="A8" s="1154" t="s">
        <v>329</v>
      </c>
      <c r="B8" s="1155"/>
      <c r="C8" s="1155"/>
      <c r="D8" s="1155"/>
      <c r="E8" s="1155"/>
      <c r="F8" s="1155"/>
      <c r="G8" s="1155"/>
      <c r="H8" s="1155"/>
      <c r="I8" s="1155"/>
      <c r="J8" s="1155"/>
    </row>
    <row r="9" spans="1:10" ht="18" customHeight="1" x14ac:dyDescent="0.3">
      <c r="A9" s="1154" t="s">
        <v>330</v>
      </c>
      <c r="B9" s="1155"/>
      <c r="C9" s="1155"/>
      <c r="D9" s="1155"/>
      <c r="E9" s="1155"/>
      <c r="F9" s="1155"/>
      <c r="G9" s="1155"/>
      <c r="H9" s="1155"/>
      <c r="I9" s="1155"/>
      <c r="J9" s="1155"/>
    </row>
    <row r="10" spans="1:10" ht="10.5" customHeight="1" thickBot="1" x14ac:dyDescent="0.35">
      <c r="A10" s="658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 ht="15.75" customHeight="1" thickBot="1" x14ac:dyDescent="0.25">
      <c r="A11" s="1156" t="s">
        <v>564</v>
      </c>
      <c r="B11" s="1158" t="s">
        <v>565</v>
      </c>
      <c r="C11" s="1160" t="s">
        <v>587</v>
      </c>
      <c r="D11" s="1163" t="s">
        <v>588</v>
      </c>
      <c r="E11" s="1164"/>
      <c r="F11" s="1164"/>
      <c r="G11" s="1164"/>
      <c r="H11" s="1164"/>
      <c r="I11" s="1164"/>
      <c r="J11" s="1161" t="s">
        <v>589</v>
      </c>
    </row>
    <row r="12" spans="1:10" ht="25.5" customHeight="1" thickBot="1" x14ac:dyDescent="0.25">
      <c r="A12" s="1157"/>
      <c r="B12" s="1159"/>
      <c r="C12" s="1157"/>
      <c r="D12" s="681" t="s">
        <v>192</v>
      </c>
      <c r="E12" s="682" t="s">
        <v>1</v>
      </c>
      <c r="F12" s="682" t="s">
        <v>2</v>
      </c>
      <c r="G12" s="928" t="s">
        <v>441</v>
      </c>
      <c r="H12" s="928" t="s">
        <v>121</v>
      </c>
      <c r="I12" s="983" t="s">
        <v>3</v>
      </c>
      <c r="J12" s="1162"/>
    </row>
    <row r="13" spans="1:10" x14ac:dyDescent="0.2">
      <c r="A13" s="854"/>
      <c r="B13" s="857" t="s">
        <v>471</v>
      </c>
      <c r="C13" s="676"/>
      <c r="D13" s="677"/>
      <c r="E13" s="678"/>
      <c r="F13" s="921"/>
      <c r="G13" s="929"/>
      <c r="H13" s="929"/>
      <c r="I13" s="984"/>
      <c r="J13" s="992"/>
    </row>
    <row r="14" spans="1:10" x14ac:dyDescent="0.2">
      <c r="A14" s="787">
        <v>61</v>
      </c>
      <c r="B14" s="858" t="s">
        <v>471</v>
      </c>
      <c r="C14" s="788" t="s">
        <v>726</v>
      </c>
      <c r="D14" s="789">
        <f>D16+D22+D27+D35</f>
        <v>587741.61</v>
      </c>
      <c r="E14" s="679"/>
      <c r="F14" s="873"/>
      <c r="G14" s="930"/>
      <c r="H14" s="930"/>
      <c r="I14" s="986">
        <f>I16+I22+I27+I35</f>
        <v>360000</v>
      </c>
      <c r="J14" s="993">
        <f>J16+J22+J27+J35</f>
        <v>947741.6100000001</v>
      </c>
    </row>
    <row r="15" spans="1:10" x14ac:dyDescent="0.2">
      <c r="A15" s="787"/>
      <c r="B15" s="858"/>
      <c r="C15" s="788"/>
      <c r="D15" s="789"/>
      <c r="E15" s="679"/>
      <c r="F15" s="873"/>
      <c r="G15" s="930"/>
      <c r="H15" s="930"/>
      <c r="I15" s="986"/>
      <c r="J15" s="993"/>
    </row>
    <row r="16" spans="1:10" x14ac:dyDescent="0.2">
      <c r="A16" s="787">
        <v>611</v>
      </c>
      <c r="B16" s="858" t="s">
        <v>471</v>
      </c>
      <c r="C16" s="788" t="s">
        <v>501</v>
      </c>
      <c r="D16" s="789">
        <f>D18</f>
        <v>5750</v>
      </c>
      <c r="E16" s="679"/>
      <c r="F16" s="873"/>
      <c r="G16" s="930"/>
      <c r="H16" s="930"/>
      <c r="I16" s="986"/>
      <c r="J16" s="993">
        <f>J18</f>
        <v>5750</v>
      </c>
    </row>
    <row r="17" spans="1:10" x14ac:dyDescent="0.2">
      <c r="A17" s="854"/>
      <c r="B17" s="858" t="s">
        <v>471</v>
      </c>
      <c r="C17" s="676"/>
      <c r="D17" s="680"/>
      <c r="E17" s="679"/>
      <c r="F17" s="873"/>
      <c r="G17" s="930"/>
      <c r="H17" s="930"/>
      <c r="I17" s="985"/>
      <c r="J17" s="992"/>
    </row>
    <row r="18" spans="1:10" x14ac:dyDescent="0.2">
      <c r="A18" s="854"/>
      <c r="B18" s="858" t="s">
        <v>471</v>
      </c>
      <c r="C18" s="788" t="s">
        <v>703</v>
      </c>
      <c r="D18" s="789">
        <f>SUM(D19)</f>
        <v>5750</v>
      </c>
      <c r="E18" s="679"/>
      <c r="F18" s="873"/>
      <c r="G18" s="930"/>
      <c r="H18" s="930"/>
      <c r="I18" s="985"/>
      <c r="J18" s="994">
        <f>SUM(D18:I18)</f>
        <v>5750</v>
      </c>
    </row>
    <row r="19" spans="1:10" x14ac:dyDescent="0.2">
      <c r="A19" s="854" t="s">
        <v>694</v>
      </c>
      <c r="B19" s="858" t="s">
        <v>471</v>
      </c>
      <c r="C19" s="676" t="s">
        <v>727</v>
      </c>
      <c r="D19" s="680">
        <v>5750</v>
      </c>
      <c r="E19" s="679"/>
      <c r="F19" s="873"/>
      <c r="G19" s="930"/>
      <c r="H19" s="930"/>
      <c r="I19" s="985"/>
      <c r="J19" s="992">
        <f>SUM(D19:I19)</f>
        <v>5750</v>
      </c>
    </row>
    <row r="20" spans="1:10" x14ac:dyDescent="0.2">
      <c r="A20" s="854"/>
      <c r="B20" s="858" t="s">
        <v>471</v>
      </c>
      <c r="C20" s="676"/>
      <c r="D20" s="680"/>
      <c r="E20" s="679"/>
      <c r="F20" s="873"/>
      <c r="G20" s="930"/>
      <c r="H20" s="930"/>
      <c r="I20" s="985"/>
      <c r="J20" s="994"/>
    </row>
    <row r="21" spans="1:10" x14ac:dyDescent="0.2">
      <c r="A21" s="854"/>
      <c r="B21" s="858" t="s">
        <v>471</v>
      </c>
      <c r="C21" s="676"/>
      <c r="D21" s="680"/>
      <c r="E21" s="679"/>
      <c r="F21" s="873"/>
      <c r="G21" s="930"/>
      <c r="H21" s="930"/>
      <c r="I21" s="985"/>
      <c r="J21" s="994"/>
    </row>
    <row r="22" spans="1:10" x14ac:dyDescent="0.2">
      <c r="A22" s="787">
        <v>612</v>
      </c>
      <c r="B22" s="858" t="s">
        <v>471</v>
      </c>
      <c r="C22" s="788" t="s">
        <v>728</v>
      </c>
      <c r="D22" s="789">
        <f>D24</f>
        <v>15000</v>
      </c>
      <c r="E22" s="679"/>
      <c r="F22" s="873"/>
      <c r="G22" s="930"/>
      <c r="H22" s="930"/>
      <c r="I22" s="986"/>
      <c r="J22" s="994">
        <f>SUM(D22:I22)</f>
        <v>15000</v>
      </c>
    </row>
    <row r="23" spans="1:10" x14ac:dyDescent="0.2">
      <c r="A23" s="787"/>
      <c r="B23" s="858" t="s">
        <v>471</v>
      </c>
      <c r="C23" s="788"/>
      <c r="D23" s="680"/>
      <c r="E23" s="679"/>
      <c r="F23" s="873"/>
      <c r="G23" s="930"/>
      <c r="H23" s="930"/>
      <c r="I23" s="985"/>
      <c r="J23" s="994"/>
    </row>
    <row r="24" spans="1:10" ht="25.5" x14ac:dyDescent="0.2">
      <c r="A24" s="854"/>
      <c r="B24" s="858" t="s">
        <v>471</v>
      </c>
      <c r="C24" s="788" t="s">
        <v>704</v>
      </c>
      <c r="D24" s="789">
        <f>SUM(D25)</f>
        <v>15000</v>
      </c>
      <c r="E24" s="679"/>
      <c r="F24" s="873"/>
      <c r="G24" s="930"/>
      <c r="H24" s="930"/>
      <c r="I24" s="985"/>
      <c r="J24" s="994">
        <f>SUM(D24:I24)</f>
        <v>15000</v>
      </c>
    </row>
    <row r="25" spans="1:10" x14ac:dyDescent="0.2">
      <c r="A25" s="854" t="s">
        <v>695</v>
      </c>
      <c r="B25" s="858" t="s">
        <v>471</v>
      </c>
      <c r="C25" s="676" t="s">
        <v>194</v>
      </c>
      <c r="D25" s="680">
        <v>15000</v>
      </c>
      <c r="E25" s="679"/>
      <c r="F25" s="873"/>
      <c r="G25" s="930"/>
      <c r="H25" s="930"/>
      <c r="I25" s="985"/>
      <c r="J25" s="992">
        <f>SUM(D25:I25)</f>
        <v>15000</v>
      </c>
    </row>
    <row r="26" spans="1:10" x14ac:dyDescent="0.2">
      <c r="A26" s="854"/>
      <c r="B26" s="858" t="s">
        <v>471</v>
      </c>
      <c r="C26" s="788"/>
      <c r="D26" s="789"/>
      <c r="E26" s="679"/>
      <c r="F26" s="873"/>
      <c r="G26" s="930"/>
      <c r="H26" s="930"/>
      <c r="I26" s="985"/>
      <c r="J26" s="994"/>
    </row>
    <row r="27" spans="1:10" x14ac:dyDescent="0.2">
      <c r="A27" s="787">
        <v>615</v>
      </c>
      <c r="B27" s="858" t="s">
        <v>471</v>
      </c>
      <c r="C27" s="788" t="s">
        <v>729</v>
      </c>
      <c r="D27" s="789">
        <f>D29+D32</f>
        <v>63520.57</v>
      </c>
      <c r="E27" s="679"/>
      <c r="F27" s="873"/>
      <c r="G27" s="930"/>
      <c r="H27" s="930"/>
      <c r="I27" s="985"/>
      <c r="J27" s="994">
        <f>SUM(D27:I27)</f>
        <v>63520.57</v>
      </c>
    </row>
    <row r="28" spans="1:10" x14ac:dyDescent="0.2">
      <c r="A28" s="854"/>
      <c r="B28" s="858" t="s">
        <v>471</v>
      </c>
      <c r="C28" s="788"/>
      <c r="D28" s="789"/>
      <c r="E28" s="679"/>
      <c r="F28" s="873"/>
      <c r="G28" s="930"/>
      <c r="H28" s="930"/>
      <c r="I28" s="985"/>
      <c r="J28" s="994"/>
    </row>
    <row r="29" spans="1:10" x14ac:dyDescent="0.2">
      <c r="A29" s="854"/>
      <c r="B29" s="858" t="s">
        <v>471</v>
      </c>
      <c r="C29" s="358" t="s">
        <v>705</v>
      </c>
      <c r="D29" s="789">
        <f>SUM(D30)</f>
        <v>10146.959999999999</v>
      </c>
      <c r="E29" s="679"/>
      <c r="F29" s="873"/>
      <c r="G29" s="930"/>
      <c r="H29" s="930"/>
      <c r="I29" s="985"/>
      <c r="J29" s="994">
        <f>SUM(D29:I29)</f>
        <v>10146.959999999999</v>
      </c>
    </row>
    <row r="30" spans="1:10" x14ac:dyDescent="0.2">
      <c r="A30" s="854" t="s">
        <v>696</v>
      </c>
      <c r="B30" s="858" t="s">
        <v>471</v>
      </c>
      <c r="C30" s="359" t="s">
        <v>498</v>
      </c>
      <c r="D30" s="680">
        <v>10146.959999999999</v>
      </c>
      <c r="E30" s="679"/>
      <c r="F30" s="873"/>
      <c r="G30" s="930"/>
      <c r="H30" s="930"/>
      <c r="I30" s="985"/>
      <c r="J30" s="992">
        <f>SUM(D30:I30)</f>
        <v>10146.959999999999</v>
      </c>
    </row>
    <row r="31" spans="1:10" x14ac:dyDescent="0.2">
      <c r="A31" s="854"/>
      <c r="B31" s="858" t="s">
        <v>471</v>
      </c>
      <c r="C31" s="358"/>
      <c r="D31" s="789"/>
      <c r="E31" s="679"/>
      <c r="F31" s="873"/>
      <c r="G31" s="930"/>
      <c r="H31" s="930"/>
      <c r="I31" s="985"/>
      <c r="J31" s="994"/>
    </row>
    <row r="32" spans="1:10" s="298" customFormat="1" x14ac:dyDescent="0.2">
      <c r="A32" s="686"/>
      <c r="B32" s="859" t="s">
        <v>471</v>
      </c>
      <c r="C32" s="358" t="s">
        <v>706</v>
      </c>
      <c r="D32" s="468">
        <f>SUM(D33)</f>
        <v>53373.61</v>
      </c>
      <c r="E32" s="662"/>
      <c r="F32" s="872"/>
      <c r="G32" s="931"/>
      <c r="H32" s="931"/>
      <c r="I32" s="987"/>
      <c r="J32" s="994">
        <f>SUM(D32:I32)</f>
        <v>53373.61</v>
      </c>
    </row>
    <row r="33" spans="1:10" s="298" customFormat="1" x14ac:dyDescent="0.2">
      <c r="A33" s="854" t="s">
        <v>696</v>
      </c>
      <c r="B33" s="858" t="s">
        <v>471</v>
      </c>
      <c r="C33" s="359" t="s">
        <v>498</v>
      </c>
      <c r="D33" s="661">
        <v>53373.61</v>
      </c>
      <c r="E33" s="662"/>
      <c r="F33" s="872"/>
      <c r="G33" s="931"/>
      <c r="H33" s="931"/>
      <c r="I33" s="987"/>
      <c r="J33" s="992">
        <f>SUM(D33:I33)</f>
        <v>53373.61</v>
      </c>
    </row>
    <row r="34" spans="1:10" s="298" customFormat="1" x14ac:dyDescent="0.2">
      <c r="A34" s="854"/>
      <c r="B34" s="858" t="s">
        <v>471</v>
      </c>
      <c r="C34" s="359"/>
      <c r="D34" s="661"/>
      <c r="E34" s="662"/>
      <c r="F34" s="872"/>
      <c r="G34" s="931"/>
      <c r="H34" s="931"/>
      <c r="I34" s="987"/>
      <c r="J34" s="994"/>
    </row>
    <row r="35" spans="1:10" s="298" customFormat="1" x14ac:dyDescent="0.2">
      <c r="A35" s="787">
        <v>616</v>
      </c>
      <c r="B35" s="858" t="s">
        <v>471</v>
      </c>
      <c r="C35" s="358" t="s">
        <v>658</v>
      </c>
      <c r="D35" s="468">
        <f>D37+D40+D43+D46+D49+D52+D58+D61+D64+D67+D70+D73+D76+D79+D85+D88+D91+D94+D97+D100+D103+D106</f>
        <v>503471.04</v>
      </c>
      <c r="E35" s="662"/>
      <c r="F35" s="872"/>
      <c r="G35" s="931"/>
      <c r="H35" s="931"/>
      <c r="I35" s="987">
        <f>I37+I40+I43+I46+I49+I52+I55+I58+I61+I64+I67+I70+I73+I76+I79+I82+I85+I88+I91+I94+I97+I100+I103+I106+I109</f>
        <v>360000</v>
      </c>
      <c r="J35" s="994">
        <f>SUM(D35:I35)</f>
        <v>863471.04</v>
      </c>
    </row>
    <row r="36" spans="1:10" s="619" customFormat="1" x14ac:dyDescent="0.2">
      <c r="A36" s="686"/>
      <c r="B36" s="859" t="s">
        <v>471</v>
      </c>
      <c r="C36" s="358"/>
      <c r="D36" s="468"/>
      <c r="E36" s="670"/>
      <c r="F36" s="922"/>
      <c r="G36" s="932"/>
      <c r="H36" s="932"/>
      <c r="I36" s="988"/>
      <c r="J36" s="994"/>
    </row>
    <row r="37" spans="1:10" x14ac:dyDescent="0.2">
      <c r="A37" s="686"/>
      <c r="B37" s="860" t="s">
        <v>471</v>
      </c>
      <c r="C37" s="358" t="s">
        <v>708</v>
      </c>
      <c r="D37" s="468">
        <f>SUM(D38)</f>
        <v>52415.01</v>
      </c>
      <c r="E37" s="670"/>
      <c r="F37" s="922"/>
      <c r="G37" s="931"/>
      <c r="H37" s="931"/>
      <c r="I37" s="987"/>
      <c r="J37" s="994">
        <f>SUM(D37:I37)</f>
        <v>52415.01</v>
      </c>
    </row>
    <row r="38" spans="1:10" x14ac:dyDescent="0.2">
      <c r="A38" s="686" t="s">
        <v>698</v>
      </c>
      <c r="B38" s="860" t="s">
        <v>471</v>
      </c>
      <c r="C38" s="359" t="s">
        <v>470</v>
      </c>
      <c r="D38" s="661">
        <v>52415.01</v>
      </c>
      <c r="E38" s="670"/>
      <c r="F38" s="922"/>
      <c r="G38" s="931"/>
      <c r="H38" s="931"/>
      <c r="I38" s="987"/>
      <c r="J38" s="992">
        <f>SUM(D38:I38)</f>
        <v>52415.01</v>
      </c>
    </row>
    <row r="39" spans="1:10" x14ac:dyDescent="0.2">
      <c r="A39" s="686"/>
      <c r="B39" s="860" t="s">
        <v>471</v>
      </c>
      <c r="C39" s="358"/>
      <c r="D39" s="468"/>
      <c r="E39" s="670"/>
      <c r="F39" s="922"/>
      <c r="G39" s="931"/>
      <c r="H39" s="931"/>
      <c r="I39" s="987"/>
      <c r="J39" s="994"/>
    </row>
    <row r="40" spans="1:10" ht="25.5" x14ac:dyDescent="0.2">
      <c r="A40" s="686"/>
      <c r="B40" s="860" t="s">
        <v>471</v>
      </c>
      <c r="C40" s="785" t="s">
        <v>709</v>
      </c>
      <c r="D40" s="468">
        <f>SUM(D41)</f>
        <v>9000</v>
      </c>
      <c r="E40" s="662"/>
      <c r="F40" s="872"/>
      <c r="G40" s="931"/>
      <c r="H40" s="931"/>
      <c r="I40" s="987"/>
      <c r="J40" s="994">
        <f>SUM(D40:I40)</f>
        <v>9000</v>
      </c>
    </row>
    <row r="41" spans="1:10" x14ac:dyDescent="0.2">
      <c r="A41" s="686" t="s">
        <v>698</v>
      </c>
      <c r="B41" s="860" t="s">
        <v>471</v>
      </c>
      <c r="C41" s="359" t="s">
        <v>470</v>
      </c>
      <c r="D41" s="661">
        <v>9000</v>
      </c>
      <c r="E41" s="662"/>
      <c r="F41" s="872"/>
      <c r="G41" s="931"/>
      <c r="H41" s="931"/>
      <c r="I41" s="987"/>
      <c r="J41" s="992">
        <f>SUM(D41:I41)</f>
        <v>9000</v>
      </c>
    </row>
    <row r="42" spans="1:10" x14ac:dyDescent="0.2">
      <c r="A42" s="686"/>
      <c r="B42" s="860" t="s">
        <v>471</v>
      </c>
      <c r="C42" s="785"/>
      <c r="D42" s="468"/>
      <c r="E42" s="662"/>
      <c r="F42" s="872"/>
      <c r="G42" s="931"/>
      <c r="H42" s="931"/>
      <c r="I42" s="987"/>
      <c r="J42" s="994"/>
    </row>
    <row r="43" spans="1:10" ht="25.5" x14ac:dyDescent="0.2">
      <c r="A43" s="686"/>
      <c r="B43" s="859" t="s">
        <v>471</v>
      </c>
      <c r="C43" s="358" t="s">
        <v>710</v>
      </c>
      <c r="D43" s="468">
        <f>SUM(D44)</f>
        <v>12100</v>
      </c>
      <c r="E43" s="670"/>
      <c r="F43" s="922"/>
      <c r="G43" s="932"/>
      <c r="H43" s="932"/>
      <c r="I43" s="988"/>
      <c r="J43" s="994">
        <f>SUM(D43:I43)</f>
        <v>12100</v>
      </c>
    </row>
    <row r="44" spans="1:10" x14ac:dyDescent="0.2">
      <c r="A44" s="686" t="s">
        <v>698</v>
      </c>
      <c r="B44" s="860" t="s">
        <v>471</v>
      </c>
      <c r="C44" s="359" t="s">
        <v>470</v>
      </c>
      <c r="D44" s="661">
        <v>12100</v>
      </c>
      <c r="E44" s="670"/>
      <c r="F44" s="922"/>
      <c r="G44" s="932"/>
      <c r="H44" s="932"/>
      <c r="I44" s="988"/>
      <c r="J44" s="992">
        <f>SUM(D44:I44)</f>
        <v>12100</v>
      </c>
    </row>
    <row r="45" spans="1:10" x14ac:dyDescent="0.2">
      <c r="A45" s="686"/>
      <c r="B45" s="859" t="s">
        <v>471</v>
      </c>
      <c r="C45" s="358"/>
      <c r="D45" s="468"/>
      <c r="E45" s="670"/>
      <c r="F45" s="922"/>
      <c r="G45" s="932"/>
      <c r="H45" s="932"/>
      <c r="I45" s="988"/>
      <c r="J45" s="994"/>
    </row>
    <row r="46" spans="1:10" ht="25.5" x14ac:dyDescent="0.2">
      <c r="A46" s="686"/>
      <c r="B46" s="860" t="s">
        <v>471</v>
      </c>
      <c r="C46" s="358" t="s">
        <v>711</v>
      </c>
      <c r="D46" s="468">
        <f>SUM(D47)</f>
        <v>6000</v>
      </c>
      <c r="E46" s="670"/>
      <c r="F46" s="922"/>
      <c r="G46" s="932"/>
      <c r="H46" s="932"/>
      <c r="I46" s="988"/>
      <c r="J46" s="994">
        <f>SUM(D46:I46)</f>
        <v>6000</v>
      </c>
    </row>
    <row r="47" spans="1:10" x14ac:dyDescent="0.2">
      <c r="A47" s="686" t="s">
        <v>698</v>
      </c>
      <c r="B47" s="860" t="s">
        <v>471</v>
      </c>
      <c r="C47" s="359" t="s">
        <v>470</v>
      </c>
      <c r="D47" s="661">
        <v>6000</v>
      </c>
      <c r="E47" s="670"/>
      <c r="F47" s="922"/>
      <c r="G47" s="932"/>
      <c r="H47" s="932"/>
      <c r="I47" s="988"/>
      <c r="J47" s="992">
        <f>SUM(D47:I47)</f>
        <v>6000</v>
      </c>
    </row>
    <row r="48" spans="1:10" x14ac:dyDescent="0.2">
      <c r="A48" s="686"/>
      <c r="B48" s="860" t="s">
        <v>471</v>
      </c>
      <c r="C48" s="358"/>
      <c r="D48" s="468"/>
      <c r="E48" s="670"/>
      <c r="F48" s="922"/>
      <c r="G48" s="932"/>
      <c r="H48" s="932"/>
      <c r="I48" s="988"/>
      <c r="J48" s="994"/>
    </row>
    <row r="49" spans="1:10" ht="38.25" x14ac:dyDescent="0.2">
      <c r="A49" s="665"/>
      <c r="B49" s="860" t="s">
        <v>471</v>
      </c>
      <c r="C49" s="785" t="s">
        <v>760</v>
      </c>
      <c r="D49" s="469">
        <f>SUM(D50)</f>
        <v>2000</v>
      </c>
      <c r="E49" s="663"/>
      <c r="F49" s="923"/>
      <c r="G49" s="933"/>
      <c r="H49" s="933"/>
      <c r="I49" s="104"/>
      <c r="J49" s="994">
        <f>SUM(D49:I49)</f>
        <v>2000</v>
      </c>
    </row>
    <row r="50" spans="1:10" x14ac:dyDescent="0.2">
      <c r="A50" s="686" t="s">
        <v>698</v>
      </c>
      <c r="B50" s="860" t="s">
        <v>471</v>
      </c>
      <c r="C50" s="359" t="s">
        <v>470</v>
      </c>
      <c r="D50" s="672">
        <v>2000</v>
      </c>
      <c r="E50" s="663"/>
      <c r="F50" s="923"/>
      <c r="G50" s="933"/>
      <c r="H50" s="933"/>
      <c r="I50" s="104"/>
      <c r="J50" s="992">
        <f>SUM(D50:I50)</f>
        <v>2000</v>
      </c>
    </row>
    <row r="51" spans="1:10" x14ac:dyDescent="0.2">
      <c r="A51" s="665"/>
      <c r="B51" s="860" t="s">
        <v>471</v>
      </c>
      <c r="C51" s="785"/>
      <c r="D51" s="469"/>
      <c r="E51" s="663"/>
      <c r="F51" s="923"/>
      <c r="G51" s="933"/>
      <c r="H51" s="933"/>
      <c r="I51" s="104"/>
      <c r="J51" s="994"/>
    </row>
    <row r="52" spans="1:10" ht="38.25" x14ac:dyDescent="0.2">
      <c r="A52" s="665"/>
      <c r="B52" s="861" t="s">
        <v>471</v>
      </c>
      <c r="C52" s="856" t="s">
        <v>730</v>
      </c>
      <c r="D52" s="469">
        <f>SUM(D53)</f>
        <v>2000</v>
      </c>
      <c r="E52" s="673"/>
      <c r="F52" s="924"/>
      <c r="G52" s="934"/>
      <c r="H52" s="934"/>
      <c r="I52" s="989"/>
      <c r="J52" s="994">
        <f>SUM(D52:I52)</f>
        <v>2000</v>
      </c>
    </row>
    <row r="53" spans="1:10" x14ac:dyDescent="0.2">
      <c r="A53" s="686" t="s">
        <v>698</v>
      </c>
      <c r="B53" s="860" t="s">
        <v>471</v>
      </c>
      <c r="C53" s="359" t="s">
        <v>470</v>
      </c>
      <c r="D53" s="672">
        <v>2000</v>
      </c>
      <c r="E53" s="673"/>
      <c r="F53" s="924"/>
      <c r="G53" s="934"/>
      <c r="H53" s="934"/>
      <c r="I53" s="989"/>
      <c r="J53" s="992">
        <f>SUM(D53:I53)</f>
        <v>2000</v>
      </c>
    </row>
    <row r="54" spans="1:10" x14ac:dyDescent="0.2">
      <c r="A54" s="665"/>
      <c r="B54" s="861" t="s">
        <v>471</v>
      </c>
      <c r="C54" s="856"/>
      <c r="D54" s="469"/>
      <c r="E54" s="673"/>
      <c r="F54" s="924"/>
      <c r="G54" s="934"/>
      <c r="H54" s="934"/>
      <c r="I54" s="989"/>
      <c r="J54" s="994"/>
    </row>
    <row r="55" spans="1:10" s="298" customFormat="1" ht="38.25" x14ac:dyDescent="0.2">
      <c r="A55" s="686"/>
      <c r="B55" s="859"/>
      <c r="C55" s="786" t="s">
        <v>750</v>
      </c>
      <c r="D55" s="661"/>
      <c r="E55" s="662"/>
      <c r="F55" s="872"/>
      <c r="G55" s="931"/>
      <c r="H55" s="931"/>
      <c r="I55" s="990">
        <f>SUM(I56)</f>
        <v>155000</v>
      </c>
      <c r="J55" s="994">
        <f>SUM(D55:I55)</f>
        <v>155000</v>
      </c>
    </row>
    <row r="56" spans="1:10" s="298" customFormat="1" x14ac:dyDescent="0.2">
      <c r="A56" s="686" t="s">
        <v>698</v>
      </c>
      <c r="B56" s="859"/>
      <c r="C56" s="668" t="s">
        <v>470</v>
      </c>
      <c r="D56" s="661"/>
      <c r="E56" s="662"/>
      <c r="F56" s="872"/>
      <c r="G56" s="931"/>
      <c r="H56" s="931"/>
      <c r="I56" s="991">
        <v>155000</v>
      </c>
      <c r="J56" s="992">
        <f>SUM(D56:I56)</f>
        <v>155000</v>
      </c>
    </row>
    <row r="57" spans="1:10" s="298" customFormat="1" x14ac:dyDescent="0.2">
      <c r="A57" s="686"/>
      <c r="B57" s="859"/>
      <c r="C57" s="786"/>
      <c r="D57" s="661"/>
      <c r="E57" s="662"/>
      <c r="F57" s="872"/>
      <c r="G57" s="931"/>
      <c r="H57" s="931"/>
      <c r="I57" s="991"/>
      <c r="J57" s="992"/>
    </row>
    <row r="58" spans="1:10" ht="25.5" x14ac:dyDescent="0.2">
      <c r="A58" s="665"/>
      <c r="B58" s="861" t="s">
        <v>471</v>
      </c>
      <c r="C58" s="856" t="s">
        <v>712</v>
      </c>
      <c r="D58" s="469">
        <f>SUM(D59)</f>
        <v>50000</v>
      </c>
      <c r="E58" s="673"/>
      <c r="F58" s="924"/>
      <c r="G58" s="934"/>
      <c r="H58" s="934"/>
      <c r="I58" s="989"/>
      <c r="J58" s="994">
        <f>SUM(D58:I58)</f>
        <v>50000</v>
      </c>
    </row>
    <row r="59" spans="1:10" x14ac:dyDescent="0.2">
      <c r="A59" s="686" t="s">
        <v>698</v>
      </c>
      <c r="B59" s="860" t="s">
        <v>471</v>
      </c>
      <c r="C59" s="359" t="s">
        <v>470</v>
      </c>
      <c r="D59" s="672">
        <v>50000</v>
      </c>
      <c r="E59" s="673"/>
      <c r="F59" s="924"/>
      <c r="G59" s="934"/>
      <c r="H59" s="934"/>
      <c r="I59" s="989"/>
      <c r="J59" s="992">
        <f>SUM(D59:I59)</f>
        <v>50000</v>
      </c>
    </row>
    <row r="60" spans="1:10" x14ac:dyDescent="0.2">
      <c r="A60" s="665"/>
      <c r="B60" s="861" t="s">
        <v>471</v>
      </c>
      <c r="C60" s="856"/>
      <c r="D60" s="469"/>
      <c r="E60" s="673"/>
      <c r="F60" s="924"/>
      <c r="G60" s="934"/>
      <c r="H60" s="934"/>
      <c r="I60" s="989"/>
      <c r="J60" s="994"/>
    </row>
    <row r="61" spans="1:10" x14ac:dyDescent="0.2">
      <c r="A61" s="665"/>
      <c r="B61" s="861" t="s">
        <v>471</v>
      </c>
      <c r="C61" s="856" t="s">
        <v>713</v>
      </c>
      <c r="D61" s="469">
        <f>SUM(D62)</f>
        <v>133000</v>
      </c>
      <c r="E61" s="673"/>
      <c r="F61" s="924"/>
      <c r="G61" s="934"/>
      <c r="H61" s="934"/>
      <c r="I61" s="989"/>
      <c r="J61" s="994">
        <f>SUM(D61:I61)</f>
        <v>133000</v>
      </c>
    </row>
    <row r="62" spans="1:10" x14ac:dyDescent="0.2">
      <c r="A62" s="665" t="s">
        <v>699</v>
      </c>
      <c r="B62" s="861" t="s">
        <v>471</v>
      </c>
      <c r="C62" s="855" t="s">
        <v>469</v>
      </c>
      <c r="D62" s="672">
        <v>133000</v>
      </c>
      <c r="E62" s="673"/>
      <c r="F62" s="924"/>
      <c r="G62" s="934"/>
      <c r="H62" s="934"/>
      <c r="I62" s="989"/>
      <c r="J62" s="992">
        <f>SUM(D62:I62)</f>
        <v>133000</v>
      </c>
    </row>
    <row r="63" spans="1:10" x14ac:dyDescent="0.2">
      <c r="A63" s="665"/>
      <c r="B63" s="861" t="s">
        <v>471</v>
      </c>
      <c r="C63" s="785"/>
      <c r="D63" s="469"/>
      <c r="E63" s="673"/>
      <c r="F63" s="924"/>
      <c r="G63" s="934"/>
      <c r="H63" s="934"/>
      <c r="I63" s="989"/>
      <c r="J63" s="994"/>
    </row>
    <row r="64" spans="1:10" x14ac:dyDescent="0.2">
      <c r="A64" s="665"/>
      <c r="B64" s="859" t="s">
        <v>471</v>
      </c>
      <c r="C64" s="785" t="s">
        <v>714</v>
      </c>
      <c r="D64" s="469">
        <f>SUM(D65)</f>
        <v>18000</v>
      </c>
      <c r="E64" s="673"/>
      <c r="F64" s="924"/>
      <c r="G64" s="934"/>
      <c r="H64" s="934"/>
      <c r="I64" s="989"/>
      <c r="J64" s="994">
        <f>SUM(D64:I64)</f>
        <v>18000</v>
      </c>
    </row>
    <row r="65" spans="1:10" x14ac:dyDescent="0.2">
      <c r="A65" s="665" t="s">
        <v>699</v>
      </c>
      <c r="B65" s="861" t="s">
        <v>471</v>
      </c>
      <c r="C65" s="855" t="s">
        <v>469</v>
      </c>
      <c r="D65" s="672">
        <v>18000</v>
      </c>
      <c r="E65" s="673"/>
      <c r="F65" s="924"/>
      <c r="G65" s="934"/>
      <c r="H65" s="934"/>
      <c r="I65" s="989"/>
      <c r="J65" s="992">
        <f>SUM(D65:I65)</f>
        <v>18000</v>
      </c>
    </row>
    <row r="66" spans="1:10" x14ac:dyDescent="0.2">
      <c r="A66" s="665"/>
      <c r="B66" s="859" t="s">
        <v>471</v>
      </c>
      <c r="C66" s="785"/>
      <c r="D66" s="469"/>
      <c r="E66" s="673"/>
      <c r="F66" s="924"/>
      <c r="G66" s="934"/>
      <c r="H66" s="934"/>
      <c r="I66" s="989"/>
      <c r="J66" s="994"/>
    </row>
    <row r="67" spans="1:10" x14ac:dyDescent="0.2">
      <c r="A67" s="686"/>
      <c r="B67" s="860" t="s">
        <v>471</v>
      </c>
      <c r="C67" s="358" t="s">
        <v>715</v>
      </c>
      <c r="D67" s="469">
        <f>SUM(D68)</f>
        <v>15000</v>
      </c>
      <c r="E67" s="670"/>
      <c r="F67" s="922"/>
      <c r="G67" s="932"/>
      <c r="H67" s="932"/>
      <c r="I67" s="988"/>
      <c r="J67" s="994">
        <f>SUM(D67:I67)</f>
        <v>15000</v>
      </c>
    </row>
    <row r="68" spans="1:10" x14ac:dyDescent="0.2">
      <c r="A68" s="665" t="s">
        <v>699</v>
      </c>
      <c r="B68" s="861" t="s">
        <v>471</v>
      </c>
      <c r="C68" s="855" t="s">
        <v>469</v>
      </c>
      <c r="D68" s="661">
        <v>15000</v>
      </c>
      <c r="E68" s="670"/>
      <c r="F68" s="922"/>
      <c r="G68" s="932"/>
      <c r="H68" s="932"/>
      <c r="I68" s="988"/>
      <c r="J68" s="992">
        <f>SUM(D68:I68)</f>
        <v>15000</v>
      </c>
    </row>
    <row r="69" spans="1:10" x14ac:dyDescent="0.2">
      <c r="A69" s="686"/>
      <c r="B69" s="860" t="s">
        <v>471</v>
      </c>
      <c r="C69" s="358"/>
      <c r="D69" s="468"/>
      <c r="E69" s="670"/>
      <c r="F69" s="922"/>
      <c r="G69" s="932"/>
      <c r="H69" s="932"/>
      <c r="I69" s="988"/>
      <c r="J69" s="994"/>
    </row>
    <row r="70" spans="1:10" x14ac:dyDescent="0.2">
      <c r="A70" s="686"/>
      <c r="B70" s="860" t="s">
        <v>471</v>
      </c>
      <c r="C70" s="358" t="s">
        <v>716</v>
      </c>
      <c r="D70" s="469">
        <f>SUM(D71)</f>
        <v>30000</v>
      </c>
      <c r="E70" s="670"/>
      <c r="F70" s="922"/>
      <c r="G70" s="931"/>
      <c r="H70" s="931"/>
      <c r="I70" s="987"/>
      <c r="J70" s="994"/>
    </row>
    <row r="71" spans="1:10" x14ac:dyDescent="0.2">
      <c r="A71" s="665" t="s">
        <v>699</v>
      </c>
      <c r="B71" s="861" t="s">
        <v>471</v>
      </c>
      <c r="C71" s="855" t="s">
        <v>469</v>
      </c>
      <c r="D71" s="661">
        <v>30000</v>
      </c>
      <c r="E71" s="670"/>
      <c r="F71" s="922"/>
      <c r="G71" s="931"/>
      <c r="H71" s="931"/>
      <c r="I71" s="987"/>
      <c r="J71" s="994"/>
    </row>
    <row r="72" spans="1:10" x14ac:dyDescent="0.2">
      <c r="A72" s="686"/>
      <c r="B72" s="860" t="s">
        <v>471</v>
      </c>
      <c r="C72" s="358"/>
      <c r="D72" s="468"/>
      <c r="E72" s="670"/>
      <c r="F72" s="922"/>
      <c r="G72" s="931"/>
      <c r="H72" s="931"/>
      <c r="I72" s="987"/>
      <c r="J72" s="994"/>
    </row>
    <row r="73" spans="1:10" s="298" customFormat="1" x14ac:dyDescent="0.2">
      <c r="A73" s="686"/>
      <c r="B73" s="859" t="s">
        <v>471</v>
      </c>
      <c r="C73" s="358" t="s">
        <v>717</v>
      </c>
      <c r="D73" s="469">
        <f>SUM(D74)</f>
        <v>19000</v>
      </c>
      <c r="E73" s="662"/>
      <c r="F73" s="872"/>
      <c r="G73" s="931"/>
      <c r="H73" s="931"/>
      <c r="I73" s="987"/>
      <c r="J73" s="994">
        <f>SUM(D73:I73)</f>
        <v>19000</v>
      </c>
    </row>
    <row r="74" spans="1:10" s="298" customFormat="1" x14ac:dyDescent="0.2">
      <c r="A74" s="665" t="s">
        <v>699</v>
      </c>
      <c r="B74" s="861" t="s">
        <v>471</v>
      </c>
      <c r="C74" s="855" t="s">
        <v>469</v>
      </c>
      <c r="D74" s="661">
        <v>19000</v>
      </c>
      <c r="E74" s="662"/>
      <c r="F74" s="872"/>
      <c r="G74" s="931"/>
      <c r="H74" s="931"/>
      <c r="I74" s="987"/>
      <c r="J74" s="992">
        <f>SUM(D74:I74)</f>
        <v>19000</v>
      </c>
    </row>
    <row r="75" spans="1:10" s="298" customFormat="1" x14ac:dyDescent="0.2">
      <c r="A75" s="686"/>
      <c r="B75" s="859" t="s">
        <v>471</v>
      </c>
      <c r="C75" s="358"/>
      <c r="D75" s="468"/>
      <c r="E75" s="662"/>
      <c r="F75" s="872"/>
      <c r="G75" s="931"/>
      <c r="H75" s="931"/>
      <c r="I75" s="987"/>
      <c r="J75" s="994"/>
    </row>
    <row r="76" spans="1:10" s="619" customFormat="1" ht="25.5" x14ac:dyDescent="0.2">
      <c r="A76" s="686"/>
      <c r="B76" s="860" t="s">
        <v>471</v>
      </c>
      <c r="C76" s="358" t="s">
        <v>718</v>
      </c>
      <c r="D76" s="469">
        <f>SUM(D77)</f>
        <v>5000</v>
      </c>
      <c r="E76" s="670"/>
      <c r="F76" s="922"/>
      <c r="G76" s="932"/>
      <c r="H76" s="932"/>
      <c r="I76" s="988"/>
      <c r="J76" s="994">
        <f>SUM(D76:I76)</f>
        <v>5000</v>
      </c>
    </row>
    <row r="77" spans="1:10" s="619" customFormat="1" x14ac:dyDescent="0.2">
      <c r="A77" s="665" t="s">
        <v>699</v>
      </c>
      <c r="B77" s="861" t="s">
        <v>471</v>
      </c>
      <c r="C77" s="855" t="s">
        <v>469</v>
      </c>
      <c r="D77" s="661">
        <v>5000</v>
      </c>
      <c r="E77" s="670"/>
      <c r="F77" s="922"/>
      <c r="G77" s="932"/>
      <c r="H77" s="932"/>
      <c r="I77" s="988"/>
      <c r="J77" s="992">
        <f>SUM(D77:I77)</f>
        <v>5000</v>
      </c>
    </row>
    <row r="78" spans="1:10" s="619" customFormat="1" x14ac:dyDescent="0.2">
      <c r="A78" s="686"/>
      <c r="B78" s="860" t="s">
        <v>471</v>
      </c>
      <c r="C78" s="358"/>
      <c r="D78" s="468"/>
      <c r="E78" s="670"/>
      <c r="F78" s="922"/>
      <c r="G78" s="932"/>
      <c r="H78" s="932"/>
      <c r="I78" s="988"/>
      <c r="J78" s="994"/>
    </row>
    <row r="79" spans="1:10" ht="25.5" x14ac:dyDescent="0.2">
      <c r="A79" s="686"/>
      <c r="B79" s="860" t="s">
        <v>471</v>
      </c>
      <c r="C79" s="358" t="s">
        <v>761</v>
      </c>
      <c r="D79" s="469">
        <f>SUM(D80)</f>
        <v>10000</v>
      </c>
      <c r="E79" s="670"/>
      <c r="F79" s="922"/>
      <c r="G79" s="931"/>
      <c r="H79" s="931"/>
      <c r="I79" s="987"/>
      <c r="J79" s="994">
        <f>SUM(D79:I79)</f>
        <v>10000</v>
      </c>
    </row>
    <row r="80" spans="1:10" x14ac:dyDescent="0.2">
      <c r="A80" s="665" t="s">
        <v>699</v>
      </c>
      <c r="B80" s="861" t="s">
        <v>471</v>
      </c>
      <c r="C80" s="855" t="s">
        <v>469</v>
      </c>
      <c r="D80" s="661">
        <v>10000</v>
      </c>
      <c r="E80" s="670"/>
      <c r="F80" s="922"/>
      <c r="G80" s="931"/>
      <c r="H80" s="931"/>
      <c r="I80" s="987"/>
      <c r="J80" s="992">
        <f>SUM(D80:I80)</f>
        <v>10000</v>
      </c>
    </row>
    <row r="81" spans="1:10" x14ac:dyDescent="0.2">
      <c r="A81" s="686"/>
      <c r="B81" s="860" t="s">
        <v>471</v>
      </c>
      <c r="C81" s="358"/>
      <c r="D81" s="468"/>
      <c r="E81" s="670"/>
      <c r="F81" s="922"/>
      <c r="G81" s="931"/>
      <c r="H81" s="931"/>
      <c r="I81" s="987"/>
      <c r="J81" s="994"/>
    </row>
    <row r="82" spans="1:10" s="298" customFormat="1" ht="25.5" x14ac:dyDescent="0.2">
      <c r="A82" s="686"/>
      <c r="B82" s="859"/>
      <c r="C82" s="786" t="s">
        <v>748</v>
      </c>
      <c r="D82" s="661"/>
      <c r="E82" s="662"/>
      <c r="F82" s="872"/>
      <c r="G82" s="931"/>
      <c r="H82" s="931"/>
      <c r="I82" s="990">
        <f>SUM(I83)</f>
        <v>150000</v>
      </c>
      <c r="J82" s="994">
        <f>SUM(D82:I82)</f>
        <v>150000</v>
      </c>
    </row>
    <row r="83" spans="1:10" s="298" customFormat="1" x14ac:dyDescent="0.2">
      <c r="A83" s="686" t="s">
        <v>699</v>
      </c>
      <c r="B83" s="859"/>
      <c r="C83" s="668" t="s">
        <v>469</v>
      </c>
      <c r="D83" s="661"/>
      <c r="E83" s="662"/>
      <c r="F83" s="872"/>
      <c r="G83" s="931"/>
      <c r="H83" s="931"/>
      <c r="I83" s="991">
        <v>150000</v>
      </c>
      <c r="J83" s="992">
        <f>SUM(D83:I83)</f>
        <v>150000</v>
      </c>
    </row>
    <row r="84" spans="1:10" s="298" customFormat="1" x14ac:dyDescent="0.2">
      <c r="A84" s="686"/>
      <c r="B84" s="859"/>
      <c r="C84" s="786"/>
      <c r="D84" s="661"/>
      <c r="E84" s="662"/>
      <c r="F84" s="872"/>
      <c r="G84" s="931"/>
      <c r="H84" s="931"/>
      <c r="I84" s="991"/>
      <c r="J84" s="992"/>
    </row>
    <row r="85" spans="1:10" s="298" customFormat="1" ht="25.5" x14ac:dyDescent="0.2">
      <c r="A85" s="686"/>
      <c r="B85" s="859" t="s">
        <v>471</v>
      </c>
      <c r="C85" s="358" t="s">
        <v>719</v>
      </c>
      <c r="D85" s="469">
        <f>SUM(D86)</f>
        <v>4586.75</v>
      </c>
      <c r="E85" s="662"/>
      <c r="F85" s="872"/>
      <c r="G85" s="931"/>
      <c r="H85" s="931"/>
      <c r="I85" s="987"/>
      <c r="J85" s="994">
        <f>SUM(D85:I85)</f>
        <v>4586.75</v>
      </c>
    </row>
    <row r="86" spans="1:10" s="298" customFormat="1" x14ac:dyDescent="0.2">
      <c r="A86" s="686" t="s">
        <v>700</v>
      </c>
      <c r="B86" s="859" t="s">
        <v>471</v>
      </c>
      <c r="C86" s="359" t="s">
        <v>731</v>
      </c>
      <c r="D86" s="661">
        <v>4586.75</v>
      </c>
      <c r="E86" s="662"/>
      <c r="F86" s="872"/>
      <c r="G86" s="931"/>
      <c r="H86" s="931"/>
      <c r="I86" s="987"/>
      <c r="J86" s="992">
        <f>SUM(D86:I86)</f>
        <v>4586.75</v>
      </c>
    </row>
    <row r="87" spans="1:10" s="298" customFormat="1" x14ac:dyDescent="0.2">
      <c r="A87" s="686"/>
      <c r="B87" s="859" t="s">
        <v>471</v>
      </c>
      <c r="C87" s="358"/>
      <c r="D87" s="468"/>
      <c r="E87" s="662"/>
      <c r="F87" s="872"/>
      <c r="G87" s="931"/>
      <c r="H87" s="931"/>
      <c r="I87" s="987"/>
      <c r="J87" s="994"/>
    </row>
    <row r="88" spans="1:10" ht="25.5" x14ac:dyDescent="0.2">
      <c r="A88" s="686"/>
      <c r="B88" s="860" t="s">
        <v>471</v>
      </c>
      <c r="C88" s="358" t="s">
        <v>720</v>
      </c>
      <c r="D88" s="469">
        <f>SUM(D89)</f>
        <v>33000</v>
      </c>
      <c r="E88" s="670"/>
      <c r="F88" s="922"/>
      <c r="G88" s="932"/>
      <c r="H88" s="932"/>
      <c r="I88" s="988"/>
      <c r="J88" s="994">
        <f>SUM(D88:I88)</f>
        <v>33000</v>
      </c>
    </row>
    <row r="89" spans="1:10" x14ac:dyDescent="0.2">
      <c r="A89" s="686" t="s">
        <v>700</v>
      </c>
      <c r="B89" s="860" t="s">
        <v>471</v>
      </c>
      <c r="C89" s="359" t="s">
        <v>731</v>
      </c>
      <c r="D89" s="661">
        <v>33000</v>
      </c>
      <c r="E89" s="670"/>
      <c r="F89" s="922"/>
      <c r="G89" s="932"/>
      <c r="H89" s="932"/>
      <c r="I89" s="988"/>
      <c r="J89" s="992">
        <f>SUM(D89:I89)</f>
        <v>33000</v>
      </c>
    </row>
    <row r="90" spans="1:10" x14ac:dyDescent="0.2">
      <c r="A90" s="686"/>
      <c r="B90" s="860" t="s">
        <v>471</v>
      </c>
      <c r="C90" s="358"/>
      <c r="D90" s="468"/>
      <c r="E90" s="670"/>
      <c r="F90" s="922"/>
      <c r="G90" s="932"/>
      <c r="H90" s="932"/>
      <c r="I90" s="988"/>
      <c r="J90" s="994"/>
    </row>
    <row r="91" spans="1:10" ht="38.25" x14ac:dyDescent="0.2">
      <c r="A91" s="686"/>
      <c r="B91" s="860" t="s">
        <v>471</v>
      </c>
      <c r="C91" s="358" t="s">
        <v>721</v>
      </c>
      <c r="D91" s="469">
        <f>SUM(D92)</f>
        <v>28366.799999999999</v>
      </c>
      <c r="E91" s="670"/>
      <c r="F91" s="922"/>
      <c r="G91" s="932"/>
      <c r="H91" s="932"/>
      <c r="I91" s="988"/>
      <c r="J91" s="994">
        <f>SUM(D91:I91)</f>
        <v>28366.799999999999</v>
      </c>
    </row>
    <row r="92" spans="1:10" x14ac:dyDescent="0.2">
      <c r="A92" s="686" t="s">
        <v>701</v>
      </c>
      <c r="B92" s="860" t="s">
        <v>471</v>
      </c>
      <c r="C92" s="359" t="s">
        <v>643</v>
      </c>
      <c r="D92" s="661">
        <v>28366.799999999999</v>
      </c>
      <c r="E92" s="670"/>
      <c r="F92" s="922"/>
      <c r="G92" s="932"/>
      <c r="H92" s="932"/>
      <c r="I92" s="988"/>
      <c r="J92" s="992">
        <f>SUM(D92:I92)</f>
        <v>28366.799999999999</v>
      </c>
    </row>
    <row r="93" spans="1:10" x14ac:dyDescent="0.2">
      <c r="A93" s="686"/>
      <c r="B93" s="860" t="s">
        <v>471</v>
      </c>
      <c r="C93" s="358"/>
      <c r="D93" s="468"/>
      <c r="E93" s="670"/>
      <c r="F93" s="922"/>
      <c r="G93" s="932"/>
      <c r="H93" s="932"/>
      <c r="I93" s="988"/>
      <c r="J93" s="994"/>
    </row>
    <row r="94" spans="1:10" ht="25.5" x14ac:dyDescent="0.2">
      <c r="A94" s="686"/>
      <c r="B94" s="860" t="s">
        <v>471</v>
      </c>
      <c r="C94" s="358" t="s">
        <v>722</v>
      </c>
      <c r="D94" s="469">
        <f>SUM(D95)</f>
        <v>5000</v>
      </c>
      <c r="E94" s="670"/>
      <c r="F94" s="922"/>
      <c r="G94" s="932"/>
      <c r="H94" s="932"/>
      <c r="I94" s="988"/>
      <c r="J94" s="994">
        <f>SUM(D94:I94)</f>
        <v>5000</v>
      </c>
    </row>
    <row r="95" spans="1:10" x14ac:dyDescent="0.2">
      <c r="A95" s="686" t="s">
        <v>701</v>
      </c>
      <c r="B95" s="860" t="s">
        <v>471</v>
      </c>
      <c r="C95" s="359" t="s">
        <v>643</v>
      </c>
      <c r="D95" s="661">
        <v>5000</v>
      </c>
      <c r="E95" s="670"/>
      <c r="F95" s="922"/>
      <c r="G95" s="932"/>
      <c r="H95" s="932"/>
      <c r="I95" s="988"/>
      <c r="J95" s="992">
        <f>SUM(D95:I95)</f>
        <v>5000</v>
      </c>
    </row>
    <row r="96" spans="1:10" x14ac:dyDescent="0.2">
      <c r="A96" s="686"/>
      <c r="B96" s="860" t="s">
        <v>471</v>
      </c>
      <c r="C96" s="358"/>
      <c r="D96" s="468"/>
      <c r="E96" s="670"/>
      <c r="F96" s="922"/>
      <c r="G96" s="932"/>
      <c r="H96" s="932"/>
      <c r="I96" s="988"/>
      <c r="J96" s="994"/>
    </row>
    <row r="97" spans="1:10" ht="25.5" x14ac:dyDescent="0.2">
      <c r="A97" s="686"/>
      <c r="B97" s="860" t="s">
        <v>471</v>
      </c>
      <c r="C97" s="358" t="s">
        <v>723</v>
      </c>
      <c r="D97" s="469">
        <f>SUM(D98)</f>
        <v>13000</v>
      </c>
      <c r="E97" s="670"/>
      <c r="F97" s="922"/>
      <c r="G97" s="931"/>
      <c r="H97" s="931"/>
      <c r="I97" s="987"/>
      <c r="J97" s="994">
        <f>SUM(D97:I97)</f>
        <v>13000</v>
      </c>
    </row>
    <row r="98" spans="1:10" x14ac:dyDescent="0.2">
      <c r="A98" s="686" t="s">
        <v>701</v>
      </c>
      <c r="B98" s="860" t="s">
        <v>471</v>
      </c>
      <c r="C98" s="359" t="s">
        <v>643</v>
      </c>
      <c r="D98" s="661">
        <v>13000</v>
      </c>
      <c r="E98" s="670"/>
      <c r="F98" s="922"/>
      <c r="G98" s="931"/>
      <c r="H98" s="931"/>
      <c r="I98" s="987"/>
      <c r="J98" s="992">
        <f>SUM(D98:I98)</f>
        <v>13000</v>
      </c>
    </row>
    <row r="99" spans="1:10" x14ac:dyDescent="0.2">
      <c r="A99" s="686"/>
      <c r="B99" s="860" t="s">
        <v>471</v>
      </c>
      <c r="C99" s="358"/>
      <c r="D99" s="468"/>
      <c r="E99" s="670"/>
      <c r="F99" s="922"/>
      <c r="G99" s="931"/>
      <c r="H99" s="931"/>
      <c r="I99" s="987"/>
      <c r="J99" s="994"/>
    </row>
    <row r="100" spans="1:10" x14ac:dyDescent="0.2">
      <c r="A100" s="686"/>
      <c r="B100" s="860" t="s">
        <v>471</v>
      </c>
      <c r="C100" s="358" t="s">
        <v>724</v>
      </c>
      <c r="D100" s="469">
        <f>SUM(D101)</f>
        <v>1000</v>
      </c>
      <c r="E100" s="670"/>
      <c r="F100" s="922"/>
      <c r="G100" s="931"/>
      <c r="H100" s="931"/>
      <c r="I100" s="987"/>
      <c r="J100" s="994">
        <f>SUM(D100:I100)</f>
        <v>1000</v>
      </c>
    </row>
    <row r="101" spans="1:10" x14ac:dyDescent="0.2">
      <c r="A101" s="686" t="s">
        <v>702</v>
      </c>
      <c r="B101" s="860" t="s">
        <v>471</v>
      </c>
      <c r="C101" s="359" t="s">
        <v>500</v>
      </c>
      <c r="D101" s="661">
        <v>1000</v>
      </c>
      <c r="E101" s="670"/>
      <c r="F101" s="922"/>
      <c r="G101" s="931"/>
      <c r="H101" s="931"/>
      <c r="I101" s="987"/>
      <c r="J101" s="992">
        <f>SUM(D101:I101)</f>
        <v>1000</v>
      </c>
    </row>
    <row r="102" spans="1:10" x14ac:dyDescent="0.2">
      <c r="A102" s="686"/>
      <c r="B102" s="860" t="s">
        <v>471</v>
      </c>
      <c r="C102" s="358"/>
      <c r="D102" s="661"/>
      <c r="E102" s="670"/>
      <c r="F102" s="922"/>
      <c r="G102" s="931"/>
      <c r="H102" s="931"/>
      <c r="I102" s="987"/>
      <c r="J102" s="994"/>
    </row>
    <row r="103" spans="1:10" ht="25.5" x14ac:dyDescent="0.2">
      <c r="A103" s="854"/>
      <c r="B103" s="858" t="s">
        <v>471</v>
      </c>
      <c r="C103" s="358" t="s">
        <v>707</v>
      </c>
      <c r="D103" s="789">
        <f>SUM(D104)</f>
        <v>3000</v>
      </c>
      <c r="E103" s="679"/>
      <c r="F103" s="873"/>
      <c r="G103" s="930"/>
      <c r="H103" s="930"/>
      <c r="I103" s="985"/>
      <c r="J103" s="994">
        <f>SUM(D103:I103)</f>
        <v>3000</v>
      </c>
    </row>
    <row r="104" spans="1:10" x14ac:dyDescent="0.2">
      <c r="A104" s="686" t="s">
        <v>702</v>
      </c>
      <c r="B104" s="859" t="s">
        <v>471</v>
      </c>
      <c r="C104" s="359" t="s">
        <v>499</v>
      </c>
      <c r="D104" s="680">
        <v>3000</v>
      </c>
      <c r="E104" s="679"/>
      <c r="F104" s="873"/>
      <c r="G104" s="930"/>
      <c r="H104" s="930"/>
      <c r="I104" s="985"/>
      <c r="J104" s="992">
        <f>SUM(D104:I104)</f>
        <v>3000</v>
      </c>
    </row>
    <row r="105" spans="1:10" x14ac:dyDescent="0.2">
      <c r="A105" s="854"/>
      <c r="B105" s="858" t="s">
        <v>471</v>
      </c>
      <c r="C105" s="358"/>
      <c r="D105" s="789"/>
      <c r="E105" s="679"/>
      <c r="F105" s="873"/>
      <c r="G105" s="930"/>
      <c r="H105" s="930"/>
      <c r="I105" s="985"/>
      <c r="J105" s="994"/>
    </row>
    <row r="106" spans="1:10" s="298" customFormat="1" x14ac:dyDescent="0.2">
      <c r="A106" s="686"/>
      <c r="B106" s="859" t="s">
        <v>471</v>
      </c>
      <c r="C106" s="358" t="s">
        <v>604</v>
      </c>
      <c r="D106" s="469">
        <f>SUM(D107)</f>
        <v>52002.48</v>
      </c>
      <c r="E106" s="662"/>
      <c r="F106" s="872"/>
      <c r="G106" s="933"/>
      <c r="H106" s="931"/>
      <c r="I106" s="104"/>
      <c r="J106" s="994">
        <f>SUM(D106:I106)</f>
        <v>52002.48</v>
      </c>
    </row>
    <row r="107" spans="1:10" s="298" customFormat="1" x14ac:dyDescent="0.2">
      <c r="A107" s="686" t="s">
        <v>702</v>
      </c>
      <c r="B107" s="859" t="s">
        <v>471</v>
      </c>
      <c r="C107" s="359" t="s">
        <v>500</v>
      </c>
      <c r="D107" s="661">
        <v>52002.48</v>
      </c>
      <c r="E107" s="662"/>
      <c r="F107" s="872"/>
      <c r="G107" s="932"/>
      <c r="H107" s="931"/>
      <c r="I107" s="988"/>
      <c r="J107" s="992">
        <f>SUM(D107:I107)</f>
        <v>52002.48</v>
      </c>
    </row>
    <row r="108" spans="1:10" s="298" customFormat="1" x14ac:dyDescent="0.2">
      <c r="A108" s="686"/>
      <c r="B108" s="859"/>
      <c r="C108" s="359"/>
      <c r="D108" s="661"/>
      <c r="E108" s="662"/>
      <c r="F108" s="872"/>
      <c r="G108" s="931"/>
      <c r="H108" s="931"/>
      <c r="I108" s="987"/>
      <c r="J108" s="992"/>
    </row>
    <row r="109" spans="1:10" s="298" customFormat="1" ht="38.25" x14ac:dyDescent="0.2">
      <c r="A109" s="686"/>
      <c r="B109" s="859"/>
      <c r="C109" s="786" t="s">
        <v>759</v>
      </c>
      <c r="D109" s="661"/>
      <c r="E109" s="662"/>
      <c r="F109" s="872"/>
      <c r="G109" s="931"/>
      <c r="H109" s="931"/>
      <c r="I109" s="990">
        <f>SUM(I110)</f>
        <v>55000</v>
      </c>
      <c r="J109" s="994">
        <f>SUM(D109:I109)</f>
        <v>55000</v>
      </c>
    </row>
    <row r="110" spans="1:10" s="298" customFormat="1" x14ac:dyDescent="0.2">
      <c r="A110" s="686" t="s">
        <v>702</v>
      </c>
      <c r="B110" s="859"/>
      <c r="C110" s="359" t="s">
        <v>500</v>
      </c>
      <c r="D110" s="661"/>
      <c r="E110" s="662"/>
      <c r="F110" s="872"/>
      <c r="G110" s="931"/>
      <c r="H110" s="931"/>
      <c r="I110" s="991">
        <v>55000</v>
      </c>
      <c r="J110" s="992">
        <f>SUM(D110:I110)</f>
        <v>55000</v>
      </c>
    </row>
    <row r="111" spans="1:10" s="298" customFormat="1" x14ac:dyDescent="0.2">
      <c r="A111" s="686"/>
      <c r="B111" s="859"/>
      <c r="C111" s="359"/>
      <c r="D111" s="661"/>
      <c r="E111" s="662"/>
      <c r="F111" s="872"/>
      <c r="G111" s="931"/>
      <c r="H111" s="931"/>
      <c r="I111" s="987"/>
      <c r="J111" s="992"/>
    </row>
    <row r="112" spans="1:10" s="298" customFormat="1" x14ac:dyDescent="0.2">
      <c r="A112" s="685">
        <v>72</v>
      </c>
      <c r="B112" s="869"/>
      <c r="C112" s="358" t="s">
        <v>743</v>
      </c>
      <c r="D112" s="468">
        <f>D113</f>
        <v>908.63</v>
      </c>
      <c r="E112" s="662"/>
      <c r="F112" s="872"/>
      <c r="G112" s="931"/>
      <c r="H112" s="931"/>
      <c r="I112" s="987"/>
      <c r="J112" s="994">
        <f>SUM(D112:I112)</f>
        <v>908.63</v>
      </c>
    </row>
    <row r="113" spans="1:10" s="298" customFormat="1" x14ac:dyDescent="0.2">
      <c r="A113" s="685">
        <v>721</v>
      </c>
      <c r="B113" s="869" t="s">
        <v>471</v>
      </c>
      <c r="C113" s="358" t="s">
        <v>744</v>
      </c>
      <c r="D113" s="468">
        <f>D115</f>
        <v>908.63</v>
      </c>
      <c r="E113" s="662"/>
      <c r="F113" s="872"/>
      <c r="G113" s="931"/>
      <c r="H113" s="931"/>
      <c r="I113" s="987"/>
      <c r="J113" s="994">
        <f>SUM(D113:I113)</f>
        <v>908.63</v>
      </c>
    </row>
    <row r="114" spans="1:10" s="298" customFormat="1" x14ac:dyDescent="0.2">
      <c r="A114" s="685"/>
      <c r="B114" s="869"/>
      <c r="C114" s="358"/>
      <c r="D114" s="661"/>
      <c r="E114" s="662"/>
      <c r="F114" s="872"/>
      <c r="G114" s="931"/>
      <c r="H114" s="931"/>
      <c r="I114" s="987"/>
      <c r="J114" s="994"/>
    </row>
    <row r="115" spans="1:10" s="298" customFormat="1" x14ac:dyDescent="0.2">
      <c r="A115" s="685">
        <v>72101</v>
      </c>
      <c r="B115" s="869"/>
      <c r="C115" s="358" t="s">
        <v>744</v>
      </c>
      <c r="D115" s="468">
        <f>908.63</f>
        <v>908.63</v>
      </c>
      <c r="E115" s="662"/>
      <c r="F115" s="872"/>
      <c r="G115" s="931"/>
      <c r="H115" s="931"/>
      <c r="I115" s="987"/>
      <c r="J115" s="994">
        <f>SUM(D115:I115)</f>
        <v>908.63</v>
      </c>
    </row>
    <row r="116" spans="1:10" ht="13.5" thickBot="1" x14ac:dyDescent="0.25">
      <c r="A116" s="675" t="s">
        <v>471</v>
      </c>
      <c r="B116" s="858" t="s">
        <v>471</v>
      </c>
      <c r="C116" s="676"/>
      <c r="D116" s="680"/>
      <c r="E116" s="679"/>
      <c r="F116" s="873"/>
      <c r="G116" s="930"/>
      <c r="H116" s="930"/>
      <c r="I116" s="985"/>
      <c r="J116" s="994"/>
    </row>
    <row r="117" spans="1:10" s="1" customFormat="1" ht="17.25" customHeight="1" thickBot="1" x14ac:dyDescent="0.25">
      <c r="A117" s="666"/>
      <c r="B117" s="862" t="s">
        <v>471</v>
      </c>
      <c r="C117" s="471" t="s">
        <v>590</v>
      </c>
      <c r="D117" s="472">
        <f>D14+D112</f>
        <v>588650.23999999999</v>
      </c>
      <c r="E117" s="473">
        <f>SUM(E40:E116)</f>
        <v>0</v>
      </c>
      <c r="F117" s="925">
        <f>SUM(F40:F116)</f>
        <v>0</v>
      </c>
      <c r="G117" s="935">
        <f>G14</f>
        <v>0</v>
      </c>
      <c r="H117" s="935">
        <f>H14</f>
        <v>0</v>
      </c>
      <c r="I117" s="863">
        <f>I14</f>
        <v>360000</v>
      </c>
      <c r="J117" s="864">
        <f>J14+J112</f>
        <v>948650.24000000011</v>
      </c>
    </row>
    <row r="118" spans="1:10" x14ac:dyDescent="0.2">
      <c r="D118" s="200"/>
      <c r="H118" s="200"/>
      <c r="I118" s="200"/>
      <c r="J118" s="3"/>
    </row>
    <row r="119" spans="1:10" x14ac:dyDescent="0.2">
      <c r="D119" s="197"/>
      <c r="G119" s="189"/>
      <c r="H119" s="200"/>
      <c r="I119" s="200"/>
      <c r="J119" s="3"/>
    </row>
    <row r="120" spans="1:10" x14ac:dyDescent="0.2">
      <c r="D120" s="189"/>
      <c r="G120" s="200"/>
      <c r="H120" s="200"/>
      <c r="I120" s="674"/>
    </row>
    <row r="121" spans="1:10" x14ac:dyDescent="0.2">
      <c r="G121" s="200"/>
      <c r="H121" s="200"/>
    </row>
    <row r="122" spans="1:10" x14ac:dyDescent="0.2">
      <c r="G122" s="189"/>
      <c r="H122" s="200"/>
    </row>
  </sheetData>
  <autoFilter ref="A13:J117"/>
  <mergeCells count="12">
    <mergeCell ref="A2:J2"/>
    <mergeCell ref="A3:J3"/>
    <mergeCell ref="A5:J5"/>
    <mergeCell ref="A6:J6"/>
    <mergeCell ref="A7:J7"/>
    <mergeCell ref="A8:J8"/>
    <mergeCell ref="A9:J9"/>
    <mergeCell ref="A11:A12"/>
    <mergeCell ref="B11:B12"/>
    <mergeCell ref="C11:C12"/>
    <mergeCell ref="J11:J12"/>
    <mergeCell ref="D11:I11"/>
  </mergeCells>
  <phoneticPr fontId="6" type="noConversion"/>
  <printOptions horizontalCentered="1"/>
  <pageMargins left="0.27559055118110237" right="0.23622047244094491" top="0.82677165354330717" bottom="0.82677165354330717" header="0" footer="0"/>
  <pageSetup scale="85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J79"/>
  <sheetViews>
    <sheetView showGridLines="0" zoomScale="115" zoomScaleNormal="115" workbookViewId="0">
      <selection activeCell="C16" sqref="C16"/>
    </sheetView>
  </sheetViews>
  <sheetFormatPr baseColWidth="10" defaultRowHeight="12.75" x14ac:dyDescent="0.2"/>
  <cols>
    <col min="1" max="1" width="8.28515625" style="669" customWidth="1"/>
    <col min="2" max="2" width="9.42578125" style="18" customWidth="1"/>
    <col min="3" max="3" width="52.5703125" style="27" customWidth="1"/>
    <col min="4" max="4" width="18.28515625" style="2" customWidth="1"/>
    <col min="5" max="5" width="16.7109375" hidden="1" customWidth="1"/>
    <col min="6" max="7" width="18.42578125" customWidth="1"/>
    <col min="8" max="8" width="18.140625" hidden="1" customWidth="1"/>
    <col min="9" max="9" width="19.42578125" customWidth="1"/>
    <col min="10" max="10" width="2.5703125" style="780" customWidth="1"/>
  </cols>
  <sheetData>
    <row r="1" spans="1:10" ht="15.75" x14ac:dyDescent="0.25">
      <c r="A1" s="1166" t="s">
        <v>209</v>
      </c>
      <c r="B1" s="1166"/>
      <c r="C1" s="1166"/>
      <c r="D1" s="1166"/>
      <c r="E1" s="1166"/>
      <c r="F1" s="1166"/>
      <c r="G1" s="1166"/>
      <c r="H1" s="1166"/>
      <c r="I1" s="1166"/>
    </row>
    <row r="2" spans="1:10" x14ac:dyDescent="0.2">
      <c r="A2" s="1168" t="s">
        <v>600</v>
      </c>
      <c r="B2" s="1168"/>
      <c r="C2" s="1168"/>
      <c r="D2" s="1168"/>
      <c r="E2" s="1168"/>
      <c r="F2" s="1168"/>
      <c r="G2" s="1168"/>
      <c r="H2" s="1168"/>
      <c r="I2" s="1168"/>
    </row>
    <row r="3" spans="1:10" ht="7.5" customHeight="1" x14ac:dyDescent="0.3">
      <c r="A3" s="327"/>
      <c r="B3" s="327"/>
      <c r="C3" s="327"/>
      <c r="D3" s="327"/>
      <c r="E3" s="327"/>
      <c r="F3" s="327"/>
      <c r="G3" s="327"/>
      <c r="H3" s="327"/>
      <c r="I3" s="327"/>
    </row>
    <row r="4" spans="1:10" ht="18" customHeight="1" x14ac:dyDescent="0.3">
      <c r="A4" s="1155" t="s">
        <v>452</v>
      </c>
      <c r="B4" s="1155"/>
      <c r="C4" s="1155"/>
      <c r="D4" s="1155"/>
      <c r="E4" s="1155"/>
      <c r="F4" s="1155"/>
      <c r="G4" s="1155"/>
      <c r="H4" s="1155"/>
      <c r="I4" s="1155"/>
    </row>
    <row r="5" spans="1:10" ht="18" customHeight="1" x14ac:dyDescent="0.3">
      <c r="A5" s="1155" t="s">
        <v>733</v>
      </c>
      <c r="B5" s="1155"/>
      <c r="C5" s="1155"/>
      <c r="D5" s="1155"/>
      <c r="E5" s="1155"/>
      <c r="F5" s="1155"/>
      <c r="G5" s="1155"/>
      <c r="H5" s="1155"/>
      <c r="I5" s="1155"/>
    </row>
    <row r="6" spans="1:10" ht="18" customHeight="1" x14ac:dyDescent="0.3">
      <c r="A6" s="1155" t="s">
        <v>331</v>
      </c>
      <c r="B6" s="1155"/>
      <c r="C6" s="1155"/>
      <c r="D6" s="1155"/>
      <c r="E6" s="1155"/>
      <c r="F6" s="1155"/>
      <c r="G6" s="1155"/>
      <c r="H6" s="1155"/>
      <c r="I6" s="1155"/>
    </row>
    <row r="7" spans="1:10" ht="18" customHeight="1" x14ac:dyDescent="0.3">
      <c r="A7" s="1155" t="s">
        <v>332</v>
      </c>
      <c r="B7" s="1155"/>
      <c r="C7" s="1155"/>
      <c r="D7" s="1155"/>
      <c r="E7" s="1155"/>
      <c r="F7" s="1155"/>
      <c r="G7" s="1155"/>
      <c r="H7" s="1155"/>
      <c r="I7" s="1155"/>
    </row>
    <row r="8" spans="1:10" ht="18" customHeight="1" x14ac:dyDescent="0.3">
      <c r="A8" s="1155" t="s">
        <v>333</v>
      </c>
      <c r="B8" s="1155"/>
      <c r="C8" s="1155"/>
      <c r="D8" s="1155"/>
      <c r="E8" s="1155"/>
      <c r="F8" s="1155"/>
      <c r="G8" s="1155"/>
      <c r="H8" s="1155"/>
      <c r="I8" s="1155"/>
    </row>
    <row r="9" spans="1:10" ht="3.75" customHeight="1" thickBot="1" x14ac:dyDescent="0.35">
      <c r="A9" s="660"/>
      <c r="B9" s="325"/>
      <c r="C9" s="325"/>
      <c r="D9" s="325"/>
      <c r="E9" s="325"/>
      <c r="F9" s="325"/>
      <c r="G9" s="325"/>
      <c r="H9" s="325"/>
      <c r="I9" s="325"/>
    </row>
    <row r="10" spans="1:10" ht="13.5" thickBot="1" x14ac:dyDescent="0.25">
      <c r="A10" s="1169" t="s">
        <v>188</v>
      </c>
      <c r="B10" s="1169" t="s">
        <v>189</v>
      </c>
      <c r="C10" s="1171" t="s">
        <v>587</v>
      </c>
      <c r="D10" s="1173" t="s">
        <v>116</v>
      </c>
      <c r="E10" s="1174"/>
      <c r="F10" s="1174"/>
      <c r="G10" s="1174"/>
      <c r="H10" s="1175"/>
      <c r="I10" s="1169" t="s">
        <v>589</v>
      </c>
    </row>
    <row r="11" spans="1:10" ht="25.5" customHeight="1" thickBot="1" x14ac:dyDescent="0.25">
      <c r="A11" s="1170"/>
      <c r="B11" s="1170"/>
      <c r="C11" s="1172"/>
      <c r="D11" s="363" t="s">
        <v>192</v>
      </c>
      <c r="E11" s="364" t="s">
        <v>1</v>
      </c>
      <c r="F11" s="940" t="s">
        <v>442</v>
      </c>
      <c r="G11" s="475" t="s">
        <v>3</v>
      </c>
      <c r="H11" s="475" t="s">
        <v>121</v>
      </c>
      <c r="I11" s="1170"/>
    </row>
    <row r="12" spans="1:10" x14ac:dyDescent="0.2">
      <c r="A12" s="787">
        <v>61</v>
      </c>
      <c r="B12" s="858" t="s">
        <v>471</v>
      </c>
      <c r="C12" s="788" t="s">
        <v>726</v>
      </c>
      <c r="D12" s="480">
        <f>D13</f>
        <v>368777.38</v>
      </c>
      <c r="E12" s="874"/>
      <c r="F12" s="941">
        <f>F13</f>
        <v>20848.46</v>
      </c>
      <c r="G12" s="938">
        <f>G13</f>
        <v>411191.65</v>
      </c>
      <c r="H12" s="476"/>
      <c r="I12" s="336">
        <f>SUM(D12:H12)</f>
        <v>800817.49</v>
      </c>
    </row>
    <row r="13" spans="1:10" x14ac:dyDescent="0.2">
      <c r="A13" s="787">
        <v>616</v>
      </c>
      <c r="B13" s="858" t="s">
        <v>471</v>
      </c>
      <c r="C13" s="358" t="s">
        <v>658</v>
      </c>
      <c r="D13" s="480">
        <f>D15+D18+D21+D24+D27+D30+D33+D36+D39+D42+D45+D48+D51+D54+D57</f>
        <v>368777.38</v>
      </c>
      <c r="E13" s="874"/>
      <c r="F13" s="941">
        <f>F15+F18+F21+F24+F27+F30+F33+F36+F39+F42+F45+F48+F51+F54+F60+F72</f>
        <v>20848.46</v>
      </c>
      <c r="G13" s="938">
        <f>G15+G18+G21+G24+G27+G30+G33+G36+G39+G42+G45+G48+G51+G54+G60+G63+G66+G69+G72</f>
        <v>411191.65</v>
      </c>
      <c r="H13" s="476"/>
      <c r="I13" s="336">
        <f>SUM(D13:H13)</f>
        <v>800817.49</v>
      </c>
    </row>
    <row r="14" spans="1:10" x14ac:dyDescent="0.2">
      <c r="A14" s="787"/>
      <c r="B14" s="858"/>
      <c r="C14" s="358"/>
      <c r="D14" s="481"/>
      <c r="E14" s="874"/>
      <c r="F14" s="954"/>
      <c r="G14" s="950"/>
      <c r="H14" s="476"/>
      <c r="I14" s="870"/>
    </row>
    <row r="15" spans="1:10" s="298" customFormat="1" ht="25.5" x14ac:dyDescent="0.2">
      <c r="A15" s="665"/>
      <c r="B15" s="784"/>
      <c r="C15" s="785" t="s">
        <v>734</v>
      </c>
      <c r="D15" s="480">
        <f>SUM(D16)</f>
        <v>53461.06</v>
      </c>
      <c r="E15" s="946"/>
      <c r="F15" s="955"/>
      <c r="G15" s="951"/>
      <c r="H15" s="766"/>
      <c r="I15" s="337">
        <f>SUM(D15:H15)</f>
        <v>53461.06</v>
      </c>
      <c r="J15" s="781" t="s">
        <v>471</v>
      </c>
    </row>
    <row r="16" spans="1:10" s="298" customFormat="1" x14ac:dyDescent="0.2">
      <c r="A16" s="665" t="s">
        <v>697</v>
      </c>
      <c r="B16" s="784"/>
      <c r="C16" s="855" t="s">
        <v>499</v>
      </c>
      <c r="D16" s="866">
        <v>53461.06</v>
      </c>
      <c r="E16" s="946"/>
      <c r="F16" s="955"/>
      <c r="G16" s="951"/>
      <c r="H16" s="766"/>
      <c r="I16" s="871">
        <f>SUM(D16:H16)</f>
        <v>53461.06</v>
      </c>
      <c r="J16" s="781"/>
    </row>
    <row r="17" spans="1:10" s="298" customFormat="1" x14ac:dyDescent="0.2">
      <c r="A17" s="665"/>
      <c r="B17" s="784"/>
      <c r="C17" s="785"/>
      <c r="D17" s="866"/>
      <c r="E17" s="946"/>
      <c r="F17" s="955"/>
      <c r="G17" s="951"/>
      <c r="H17" s="766"/>
      <c r="I17" s="337"/>
      <c r="J17" s="781"/>
    </row>
    <row r="18" spans="1:10" s="298" customFormat="1" ht="25.5" x14ac:dyDescent="0.2">
      <c r="A18" s="665"/>
      <c r="B18" s="767"/>
      <c r="C18" s="768" t="s">
        <v>735</v>
      </c>
      <c r="D18" s="480">
        <f>SUM(D19)</f>
        <v>38425.129999999997</v>
      </c>
      <c r="E18" s="947"/>
      <c r="F18" s="956"/>
      <c r="G18" s="952"/>
      <c r="H18" s="769"/>
      <c r="I18" s="337">
        <f>SUM(D18:H18)</f>
        <v>38425.129999999997</v>
      </c>
      <c r="J18" s="781" t="s">
        <v>471</v>
      </c>
    </row>
    <row r="19" spans="1:10" s="298" customFormat="1" x14ac:dyDescent="0.2">
      <c r="A19" s="665" t="s">
        <v>697</v>
      </c>
      <c r="B19" s="767"/>
      <c r="C19" s="865" t="s">
        <v>499</v>
      </c>
      <c r="D19" s="867">
        <v>38425.129999999997</v>
      </c>
      <c r="E19" s="947"/>
      <c r="F19" s="956"/>
      <c r="G19" s="952"/>
      <c r="H19" s="769"/>
      <c r="I19" s="871">
        <f>SUM(D19:H19)</f>
        <v>38425.129999999997</v>
      </c>
      <c r="J19" s="781"/>
    </row>
    <row r="20" spans="1:10" s="298" customFormat="1" x14ac:dyDescent="0.2">
      <c r="A20" s="665"/>
      <c r="B20" s="767"/>
      <c r="C20" s="768"/>
      <c r="D20" s="867"/>
      <c r="E20" s="947"/>
      <c r="F20" s="956"/>
      <c r="G20" s="952"/>
      <c r="H20" s="769"/>
      <c r="I20" s="338"/>
      <c r="J20" s="781"/>
    </row>
    <row r="21" spans="1:10" ht="25.5" x14ac:dyDescent="0.2">
      <c r="A21" s="665"/>
      <c r="B21" s="520"/>
      <c r="C21" s="856" t="s">
        <v>762</v>
      </c>
      <c r="D21" s="480">
        <f>SUM(D22)</f>
        <v>45000</v>
      </c>
      <c r="E21" s="936"/>
      <c r="F21" s="942"/>
      <c r="G21" s="945"/>
      <c r="H21" s="478"/>
      <c r="I21" s="337">
        <f>SUM(D21:H21)</f>
        <v>45000</v>
      </c>
      <c r="J21" s="780" t="s">
        <v>471</v>
      </c>
    </row>
    <row r="22" spans="1:10" x14ac:dyDescent="0.2">
      <c r="A22" s="665" t="s">
        <v>697</v>
      </c>
      <c r="B22" s="520"/>
      <c r="C22" s="855" t="s">
        <v>499</v>
      </c>
      <c r="D22" s="687">
        <v>45000</v>
      </c>
      <c r="E22" s="936"/>
      <c r="F22" s="942"/>
      <c r="G22" s="945"/>
      <c r="H22" s="478"/>
      <c r="I22" s="871">
        <f>SUM(D22:H22)</f>
        <v>45000</v>
      </c>
    </row>
    <row r="23" spans="1:10" x14ac:dyDescent="0.2">
      <c r="A23" s="665"/>
      <c r="B23" s="520"/>
      <c r="C23" s="785"/>
      <c r="D23" s="687"/>
      <c r="E23" s="936"/>
      <c r="F23" s="942"/>
      <c r="G23" s="945"/>
      <c r="H23" s="478"/>
      <c r="I23" s="338"/>
    </row>
    <row r="24" spans="1:10" s="298" customFormat="1" ht="25.5" x14ac:dyDescent="0.2">
      <c r="A24" s="665"/>
      <c r="B24" s="784"/>
      <c r="C24" s="785" t="s">
        <v>763</v>
      </c>
      <c r="D24" s="480">
        <f>SUM(D25)</f>
        <v>9000</v>
      </c>
      <c r="E24" s="948"/>
      <c r="F24" s="943"/>
      <c r="G24" s="926"/>
      <c r="H24" s="477"/>
      <c r="I24" s="337">
        <f>SUM(D24:H24)</f>
        <v>9000</v>
      </c>
      <c r="J24" s="782" t="s">
        <v>471</v>
      </c>
    </row>
    <row r="25" spans="1:10" s="298" customFormat="1" x14ac:dyDescent="0.2">
      <c r="A25" s="665" t="s">
        <v>697</v>
      </c>
      <c r="B25" s="784"/>
      <c r="C25" s="855" t="s">
        <v>499</v>
      </c>
      <c r="D25" s="868">
        <v>9000</v>
      </c>
      <c r="E25" s="948"/>
      <c r="F25" s="943"/>
      <c r="G25" s="926"/>
      <c r="H25" s="477"/>
      <c r="I25" s="871">
        <f>SUM(D25:H25)</f>
        <v>9000</v>
      </c>
      <c r="J25" s="782"/>
    </row>
    <row r="26" spans="1:10" s="298" customFormat="1" x14ac:dyDescent="0.2">
      <c r="A26" s="665"/>
      <c r="B26" s="784"/>
      <c r="C26" s="785"/>
      <c r="D26" s="868"/>
      <c r="E26" s="948"/>
      <c r="F26" s="943"/>
      <c r="G26" s="926"/>
      <c r="H26" s="477"/>
      <c r="I26" s="337"/>
      <c r="J26" s="782"/>
    </row>
    <row r="27" spans="1:10" ht="25.5" x14ac:dyDescent="0.2">
      <c r="A27" s="665"/>
      <c r="B27" s="470"/>
      <c r="C27" s="786" t="s">
        <v>736</v>
      </c>
      <c r="D27" s="480">
        <f>SUM(D28)</f>
        <v>3000</v>
      </c>
      <c r="E27" s="936"/>
      <c r="F27" s="942"/>
      <c r="G27" s="945"/>
      <c r="H27" s="478"/>
      <c r="I27" s="337">
        <f>SUM(D27:H27)</f>
        <v>3000</v>
      </c>
      <c r="J27" s="783" t="s">
        <v>471</v>
      </c>
    </row>
    <row r="28" spans="1:10" x14ac:dyDescent="0.2">
      <c r="A28" s="665" t="s">
        <v>697</v>
      </c>
      <c r="B28" s="470"/>
      <c r="C28" s="668" t="s">
        <v>499</v>
      </c>
      <c r="D28" s="687">
        <v>3000</v>
      </c>
      <c r="E28" s="936"/>
      <c r="F28" s="942"/>
      <c r="G28" s="945"/>
      <c r="H28" s="478"/>
      <c r="I28" s="871">
        <f>SUM(D28:H28)</f>
        <v>3000</v>
      </c>
      <c r="J28" s="783"/>
    </row>
    <row r="29" spans="1:10" x14ac:dyDescent="0.2">
      <c r="A29" s="665"/>
      <c r="B29" s="470"/>
      <c r="C29" s="786"/>
      <c r="D29" s="687"/>
      <c r="E29" s="936"/>
      <c r="F29" s="942"/>
      <c r="G29" s="945"/>
      <c r="H29" s="478"/>
      <c r="I29" s="338"/>
      <c r="J29" s="783"/>
    </row>
    <row r="30" spans="1:10" ht="25.5" x14ac:dyDescent="0.2">
      <c r="A30" s="665"/>
      <c r="B30" s="470"/>
      <c r="C30" s="786" t="s">
        <v>737</v>
      </c>
      <c r="D30" s="480">
        <f>SUM(D31)</f>
        <v>3000</v>
      </c>
      <c r="E30" s="936"/>
      <c r="F30" s="942"/>
      <c r="G30" s="945"/>
      <c r="H30" s="478"/>
      <c r="I30" s="337">
        <f>SUM(D30:H30)</f>
        <v>3000</v>
      </c>
      <c r="J30" s="783" t="s">
        <v>471</v>
      </c>
    </row>
    <row r="31" spans="1:10" x14ac:dyDescent="0.2">
      <c r="A31" s="665" t="s">
        <v>697</v>
      </c>
      <c r="B31" s="470"/>
      <c r="C31" s="865" t="s">
        <v>499</v>
      </c>
      <c r="D31" s="687">
        <v>3000</v>
      </c>
      <c r="E31" s="936"/>
      <c r="F31" s="942"/>
      <c r="G31" s="945"/>
      <c r="H31" s="478"/>
      <c r="I31" s="871">
        <f>SUM(D31:H31)</f>
        <v>3000</v>
      </c>
      <c r="J31" s="783"/>
    </row>
    <row r="32" spans="1:10" x14ac:dyDescent="0.2">
      <c r="A32" s="665"/>
      <c r="B32" s="470"/>
      <c r="C32" s="768"/>
      <c r="D32" s="687"/>
      <c r="E32" s="936"/>
      <c r="F32" s="942"/>
      <c r="G32" s="945"/>
      <c r="H32" s="478"/>
      <c r="I32" s="338"/>
      <c r="J32" s="783"/>
    </row>
    <row r="33" spans="1:10" ht="25.5" x14ac:dyDescent="0.2">
      <c r="A33" s="665"/>
      <c r="B33" s="683"/>
      <c r="C33" s="358" t="s">
        <v>738</v>
      </c>
      <c r="D33" s="480">
        <f>SUM(D34)</f>
        <v>1891.19</v>
      </c>
      <c r="E33" s="874"/>
      <c r="F33" s="955"/>
      <c r="G33" s="951"/>
      <c r="H33" s="476"/>
      <c r="I33" s="337">
        <f>SUM(D33:H33)</f>
        <v>1891.19</v>
      </c>
      <c r="J33" s="780" t="s">
        <v>471</v>
      </c>
    </row>
    <row r="34" spans="1:10" x14ac:dyDescent="0.2">
      <c r="A34" s="686" t="s">
        <v>697</v>
      </c>
      <c r="B34" s="683"/>
      <c r="C34" s="359" t="s">
        <v>499</v>
      </c>
      <c r="D34" s="866">
        <v>1891.19</v>
      </c>
      <c r="E34" s="874"/>
      <c r="F34" s="955"/>
      <c r="G34" s="951"/>
      <c r="H34" s="476"/>
      <c r="I34" s="871">
        <f>SUM(D34:H34)</f>
        <v>1891.19</v>
      </c>
    </row>
    <row r="35" spans="1:10" x14ac:dyDescent="0.2">
      <c r="A35" s="686"/>
      <c r="B35" s="683"/>
      <c r="C35" s="358"/>
      <c r="D35" s="866"/>
      <c r="E35" s="874"/>
      <c r="F35" s="955"/>
      <c r="G35" s="951"/>
      <c r="H35" s="476"/>
      <c r="I35" s="336"/>
    </row>
    <row r="36" spans="1:10" x14ac:dyDescent="0.2">
      <c r="A36" s="686"/>
      <c r="B36" s="683"/>
      <c r="C36" s="785" t="s">
        <v>764</v>
      </c>
      <c r="D36" s="480">
        <f>SUM(D37)</f>
        <v>15000</v>
      </c>
      <c r="E36" s="949"/>
      <c r="F36" s="941"/>
      <c r="G36" s="938"/>
      <c r="H36" s="476"/>
      <c r="I36" s="337">
        <f>SUM(D36:H36)</f>
        <v>15000</v>
      </c>
      <c r="J36" s="780" t="s">
        <v>471</v>
      </c>
    </row>
    <row r="37" spans="1:10" x14ac:dyDescent="0.2">
      <c r="A37" s="995" t="s">
        <v>697</v>
      </c>
      <c r="B37" s="998"/>
      <c r="C37" s="997" t="s">
        <v>499</v>
      </c>
      <c r="D37" s="999">
        <v>15000</v>
      </c>
      <c r="E37" s="1000"/>
      <c r="F37" s="1001"/>
      <c r="G37" s="1002"/>
      <c r="H37" s="1003"/>
      <c r="I37" s="1004">
        <f>SUM(D37:H37)</f>
        <v>15000</v>
      </c>
    </row>
    <row r="38" spans="1:10" x14ac:dyDescent="0.2">
      <c r="A38" s="686"/>
      <c r="B38" s="683"/>
      <c r="C38" s="785"/>
      <c r="D38" s="866"/>
      <c r="E38" s="949"/>
      <c r="F38" s="941"/>
      <c r="G38" s="938"/>
      <c r="H38" s="476"/>
      <c r="I38" s="336"/>
    </row>
    <row r="39" spans="1:10" ht="25.5" x14ac:dyDescent="0.2">
      <c r="A39" s="686"/>
      <c r="B39" s="684"/>
      <c r="C39" s="358" t="s">
        <v>739</v>
      </c>
      <c r="D39" s="480">
        <f>SUM(D40)</f>
        <v>5000</v>
      </c>
      <c r="E39" s="949"/>
      <c r="F39" s="932"/>
      <c r="G39" s="953"/>
      <c r="H39" s="476"/>
      <c r="I39" s="337">
        <f>SUM(D39:H39)</f>
        <v>5000</v>
      </c>
      <c r="J39" s="780" t="s">
        <v>471</v>
      </c>
    </row>
    <row r="40" spans="1:10" x14ac:dyDescent="0.2">
      <c r="A40" s="686" t="s">
        <v>697</v>
      </c>
      <c r="B40" s="684"/>
      <c r="C40" s="359" t="s">
        <v>499</v>
      </c>
      <c r="D40" s="866">
        <v>5000</v>
      </c>
      <c r="E40" s="949"/>
      <c r="F40" s="932"/>
      <c r="G40" s="953"/>
      <c r="H40" s="476"/>
      <c r="I40" s="871">
        <f>SUM(D40:H40)</f>
        <v>5000</v>
      </c>
    </row>
    <row r="41" spans="1:10" x14ac:dyDescent="0.2">
      <c r="A41" s="686"/>
      <c r="B41" s="684"/>
      <c r="C41" s="358"/>
      <c r="D41" s="866"/>
      <c r="E41" s="949"/>
      <c r="F41" s="932"/>
      <c r="G41" s="953"/>
      <c r="H41" s="476"/>
      <c r="I41" s="338"/>
    </row>
    <row r="42" spans="1:10" ht="25.5" x14ac:dyDescent="0.2">
      <c r="A42" s="686"/>
      <c r="B42" s="684"/>
      <c r="C42" s="358" t="s">
        <v>740</v>
      </c>
      <c r="D42" s="480">
        <f>SUM(D43)</f>
        <v>15000</v>
      </c>
      <c r="E42" s="949"/>
      <c r="F42" s="932"/>
      <c r="G42" s="953"/>
      <c r="H42" s="476"/>
      <c r="I42" s="337">
        <f>SUM(D42:H42)</f>
        <v>15000</v>
      </c>
      <c r="J42" s="780" t="s">
        <v>471</v>
      </c>
    </row>
    <row r="43" spans="1:10" x14ac:dyDescent="0.2">
      <c r="A43" s="686" t="s">
        <v>697</v>
      </c>
      <c r="B43" s="684"/>
      <c r="C43" s="359" t="s">
        <v>499</v>
      </c>
      <c r="D43" s="866">
        <v>15000</v>
      </c>
      <c r="E43" s="949"/>
      <c r="F43" s="932"/>
      <c r="G43" s="953"/>
      <c r="H43" s="476"/>
      <c r="I43" s="871">
        <f>SUM(D43:H43)</f>
        <v>15000</v>
      </c>
    </row>
    <row r="44" spans="1:10" x14ac:dyDescent="0.2">
      <c r="A44" s="686"/>
      <c r="B44" s="684"/>
      <c r="C44" s="358"/>
      <c r="D44" s="866"/>
      <c r="E44" s="949"/>
      <c r="F44" s="932"/>
      <c r="G44" s="953"/>
      <c r="H44" s="476"/>
      <c r="I44" s="338"/>
    </row>
    <row r="45" spans="1:10" s="298" customFormat="1" ht="25.5" x14ac:dyDescent="0.2">
      <c r="A45" s="686"/>
      <c r="B45" s="784"/>
      <c r="C45" s="786" t="s">
        <v>741</v>
      </c>
      <c r="D45" s="480">
        <f>SUM(D46)</f>
        <v>25000</v>
      </c>
      <c r="E45" s="948"/>
      <c r="F45" s="943"/>
      <c r="G45" s="926"/>
      <c r="H45" s="477"/>
      <c r="I45" s="337">
        <f>SUM(D45:H45)</f>
        <v>25000</v>
      </c>
      <c r="J45" s="783" t="s">
        <v>471</v>
      </c>
    </row>
    <row r="46" spans="1:10" s="298" customFormat="1" x14ac:dyDescent="0.2">
      <c r="A46" s="665" t="s">
        <v>697</v>
      </c>
      <c r="B46" s="784"/>
      <c r="C46" s="668" t="s">
        <v>499</v>
      </c>
      <c r="D46" s="687">
        <v>25000</v>
      </c>
      <c r="E46" s="948"/>
      <c r="F46" s="943"/>
      <c r="G46" s="926"/>
      <c r="H46" s="477"/>
      <c r="I46" s="871">
        <f>SUM(D46:H46)</f>
        <v>25000</v>
      </c>
      <c r="J46" s="783"/>
    </row>
    <row r="47" spans="1:10" s="298" customFormat="1" x14ac:dyDescent="0.2">
      <c r="A47" s="665"/>
      <c r="B47" s="784"/>
      <c r="C47" s="786"/>
      <c r="D47" s="687"/>
      <c r="E47" s="948"/>
      <c r="F47" s="943"/>
      <c r="G47" s="926"/>
      <c r="H47" s="477"/>
      <c r="I47" s="337"/>
      <c r="J47" s="783"/>
    </row>
    <row r="48" spans="1:10" ht="25.5" x14ac:dyDescent="0.2">
      <c r="A48" s="665"/>
      <c r="B48" s="470"/>
      <c r="C48" s="786" t="s">
        <v>742</v>
      </c>
      <c r="D48" s="480">
        <f>SUM(D49)</f>
        <v>55000</v>
      </c>
      <c r="E48" s="936"/>
      <c r="F48" s="942"/>
      <c r="G48" s="945"/>
      <c r="H48" s="478"/>
      <c r="I48" s="337">
        <f>SUM(D48:H48)</f>
        <v>55000</v>
      </c>
      <c r="J48" s="783" t="s">
        <v>471</v>
      </c>
    </row>
    <row r="49" spans="1:10" x14ac:dyDescent="0.2">
      <c r="A49" s="665" t="s">
        <v>697</v>
      </c>
      <c r="B49" s="470"/>
      <c r="C49" s="668" t="s">
        <v>499</v>
      </c>
      <c r="D49" s="687">
        <v>55000</v>
      </c>
      <c r="E49" s="936"/>
      <c r="F49" s="942"/>
      <c r="G49" s="945"/>
      <c r="H49" s="478"/>
      <c r="I49" s="871">
        <f>SUM(D49:H49)</f>
        <v>55000</v>
      </c>
      <c r="J49" s="783"/>
    </row>
    <row r="50" spans="1:10" x14ac:dyDescent="0.2">
      <c r="A50" s="665"/>
      <c r="B50" s="470"/>
      <c r="C50" s="786"/>
      <c r="D50" s="687"/>
      <c r="E50" s="936"/>
      <c r="F50" s="942"/>
      <c r="G50" s="945"/>
      <c r="H50" s="478"/>
      <c r="I50" s="338"/>
      <c r="J50" s="783"/>
    </row>
    <row r="51" spans="1:10" ht="25.5" x14ac:dyDescent="0.2">
      <c r="A51" s="665"/>
      <c r="B51" s="470"/>
      <c r="C51" s="786" t="s">
        <v>765</v>
      </c>
      <c r="D51" s="480">
        <f>SUM(D52)</f>
        <v>40000</v>
      </c>
      <c r="E51" s="936"/>
      <c r="F51" s="942"/>
      <c r="G51" s="945"/>
      <c r="H51" s="478"/>
      <c r="I51" s="337">
        <f>SUM(D51:H51)</f>
        <v>40000</v>
      </c>
      <c r="J51" s="783" t="s">
        <v>471</v>
      </c>
    </row>
    <row r="52" spans="1:10" x14ac:dyDescent="0.2">
      <c r="A52" s="665" t="s">
        <v>697</v>
      </c>
      <c r="B52" s="470"/>
      <c r="C52" s="668" t="s">
        <v>499</v>
      </c>
      <c r="D52" s="687">
        <v>40000</v>
      </c>
      <c r="E52" s="936"/>
      <c r="F52" s="942"/>
      <c r="G52" s="945"/>
      <c r="H52" s="478"/>
      <c r="I52" s="871">
        <f>SUM(D52:H52)</f>
        <v>40000</v>
      </c>
      <c r="J52" s="783"/>
    </row>
    <row r="53" spans="1:10" x14ac:dyDescent="0.2">
      <c r="A53" s="665"/>
      <c r="B53" s="470"/>
      <c r="C53" s="786"/>
      <c r="D53" s="687"/>
      <c r="E53" s="936"/>
      <c r="F53" s="942"/>
      <c r="G53" s="945"/>
      <c r="H53" s="478"/>
      <c r="I53" s="338"/>
      <c r="J53" s="783"/>
    </row>
    <row r="54" spans="1:10" s="298" customFormat="1" ht="25.5" x14ac:dyDescent="0.2">
      <c r="A54" s="665"/>
      <c r="B54" s="784"/>
      <c r="C54" s="786" t="s">
        <v>766</v>
      </c>
      <c r="D54" s="480">
        <f>SUM(D55)</f>
        <v>20000</v>
      </c>
      <c r="E54" s="948"/>
      <c r="F54" s="943"/>
      <c r="G54" s="926"/>
      <c r="H54" s="477"/>
      <c r="I54" s="337">
        <f>SUM(D54:H54)</f>
        <v>20000</v>
      </c>
      <c r="J54" s="783" t="s">
        <v>471</v>
      </c>
    </row>
    <row r="55" spans="1:10" x14ac:dyDescent="0.2">
      <c r="A55" s="665" t="s">
        <v>697</v>
      </c>
      <c r="B55" s="470"/>
      <c r="C55" s="668" t="s">
        <v>499</v>
      </c>
      <c r="D55" s="687">
        <v>20000</v>
      </c>
      <c r="E55" s="936"/>
      <c r="F55" s="942"/>
      <c r="G55" s="945"/>
      <c r="H55" s="478"/>
      <c r="I55" s="871">
        <f>SUM(D55:H55)</f>
        <v>20000</v>
      </c>
      <c r="J55" s="783" t="s">
        <v>471</v>
      </c>
    </row>
    <row r="56" spans="1:10" x14ac:dyDescent="0.2">
      <c r="A56" s="665"/>
      <c r="B56" s="470"/>
      <c r="C56" s="786"/>
      <c r="D56" s="687"/>
      <c r="E56" s="936"/>
      <c r="F56" s="942"/>
      <c r="G56" s="945"/>
      <c r="H56" s="478"/>
      <c r="I56" s="338"/>
      <c r="J56" s="783"/>
    </row>
    <row r="57" spans="1:10" ht="25.5" x14ac:dyDescent="0.2">
      <c r="A57" s="686"/>
      <c r="B57" s="860" t="s">
        <v>471</v>
      </c>
      <c r="C57" s="358" t="s">
        <v>725</v>
      </c>
      <c r="D57" s="480">
        <f>SUM(D58)</f>
        <v>40000</v>
      </c>
      <c r="E57" s="936"/>
      <c r="F57" s="942"/>
      <c r="G57" s="945"/>
      <c r="H57" s="478"/>
      <c r="I57" s="338"/>
      <c r="J57" s="783"/>
    </row>
    <row r="58" spans="1:10" x14ac:dyDescent="0.2">
      <c r="A58" s="686" t="s">
        <v>702</v>
      </c>
      <c r="B58" s="860" t="s">
        <v>471</v>
      </c>
      <c r="C58" s="359" t="s">
        <v>500</v>
      </c>
      <c r="D58" s="687">
        <v>40000</v>
      </c>
      <c r="E58" s="936"/>
      <c r="F58" s="942"/>
      <c r="G58" s="945"/>
      <c r="H58" s="478"/>
      <c r="I58" s="338"/>
      <c r="J58" s="783"/>
    </row>
    <row r="59" spans="1:10" x14ac:dyDescent="0.2">
      <c r="A59" s="665"/>
      <c r="B59" s="470"/>
      <c r="C59" s="786"/>
      <c r="D59" s="687"/>
      <c r="E59" s="936"/>
      <c r="F59" s="942"/>
      <c r="G59" s="945"/>
      <c r="H59" s="478"/>
      <c r="I59" s="338"/>
      <c r="J59" s="783"/>
    </row>
    <row r="60" spans="1:10" s="298" customFormat="1" ht="38.25" x14ac:dyDescent="0.2">
      <c r="A60" s="665"/>
      <c r="B60" s="784"/>
      <c r="C60" s="786" t="s">
        <v>745</v>
      </c>
      <c r="D60" s="480"/>
      <c r="E60" s="948"/>
      <c r="F60" s="943">
        <f>SUM(F61)</f>
        <v>20834.77</v>
      </c>
      <c r="G60" s="926"/>
      <c r="H60" s="477"/>
      <c r="I60" s="337">
        <f>SUM(D60:H60)</f>
        <v>20834.77</v>
      </c>
      <c r="J60" s="783" t="s">
        <v>471</v>
      </c>
    </row>
    <row r="61" spans="1:10" x14ac:dyDescent="0.2">
      <c r="A61" s="996" t="s">
        <v>697</v>
      </c>
      <c r="B61" s="1005"/>
      <c r="C61" s="1006" t="s">
        <v>499</v>
      </c>
      <c r="D61" s="1007"/>
      <c r="E61" s="1008"/>
      <c r="F61" s="1009">
        <f>20833.07+1.7</f>
        <v>20834.77</v>
      </c>
      <c r="G61" s="1021"/>
      <c r="H61" s="1010"/>
      <c r="I61" s="1004">
        <f>SUM(D61:H61)</f>
        <v>20834.77</v>
      </c>
      <c r="J61" s="783" t="s">
        <v>471</v>
      </c>
    </row>
    <row r="62" spans="1:10" x14ac:dyDescent="0.2">
      <c r="A62" s="665"/>
      <c r="B62" s="470"/>
      <c r="C62" s="668"/>
      <c r="D62" s="687"/>
      <c r="E62" s="936"/>
      <c r="F62" s="942"/>
      <c r="G62" s="945"/>
      <c r="H62" s="478"/>
      <c r="I62" s="871"/>
      <c r="J62" s="783"/>
    </row>
    <row r="63" spans="1:10" ht="25.5" x14ac:dyDescent="0.2">
      <c r="A63" s="665"/>
      <c r="B63" s="470"/>
      <c r="C63" s="786" t="s">
        <v>746</v>
      </c>
      <c r="D63" s="687"/>
      <c r="E63" s="936"/>
      <c r="F63" s="942"/>
      <c r="G63" s="926">
        <f>SUM(G64)</f>
        <v>141806.43</v>
      </c>
      <c r="H63" s="478"/>
      <c r="I63" s="337">
        <f>SUM(D63:H63)</f>
        <v>141806.43</v>
      </c>
      <c r="J63" s="783"/>
    </row>
    <row r="64" spans="1:10" x14ac:dyDescent="0.2">
      <c r="A64" s="665" t="s">
        <v>697</v>
      </c>
      <c r="B64" s="470"/>
      <c r="C64" s="668" t="s">
        <v>499</v>
      </c>
      <c r="D64" s="687"/>
      <c r="E64" s="936"/>
      <c r="F64" s="942"/>
      <c r="G64" s="927">
        <f>141806.43</f>
        <v>141806.43</v>
      </c>
      <c r="H64" s="478"/>
      <c r="I64" s="871">
        <f>SUM(D64:H64)</f>
        <v>141806.43</v>
      </c>
      <c r="J64" s="783"/>
    </row>
    <row r="65" spans="1:10" x14ac:dyDescent="0.2">
      <c r="A65" s="665"/>
      <c r="B65" s="470"/>
      <c r="C65" s="786"/>
      <c r="D65" s="687"/>
      <c r="E65" s="936"/>
      <c r="F65" s="942"/>
      <c r="G65" s="927"/>
      <c r="H65" s="478"/>
      <c r="I65" s="871"/>
      <c r="J65" s="783"/>
    </row>
    <row r="66" spans="1:10" ht="25.5" x14ac:dyDescent="0.2">
      <c r="A66" s="665"/>
      <c r="B66" s="470"/>
      <c r="C66" s="786" t="s">
        <v>747</v>
      </c>
      <c r="D66" s="687"/>
      <c r="E66" s="936"/>
      <c r="F66" s="942"/>
      <c r="G66" s="926">
        <f>SUM(G67)</f>
        <v>145000</v>
      </c>
      <c r="H66" s="478"/>
      <c r="I66" s="337">
        <f>SUM(D66:H66)</f>
        <v>145000</v>
      </c>
      <c r="J66" s="783"/>
    </row>
    <row r="67" spans="1:10" x14ac:dyDescent="0.2">
      <c r="A67" s="665" t="s">
        <v>697</v>
      </c>
      <c r="B67" s="470"/>
      <c r="C67" s="668" t="s">
        <v>499</v>
      </c>
      <c r="D67" s="687"/>
      <c r="E67" s="936"/>
      <c r="F67" s="942"/>
      <c r="G67" s="927">
        <v>145000</v>
      </c>
      <c r="H67" s="478"/>
      <c r="I67" s="871">
        <f>SUM(D67:H67)</f>
        <v>145000</v>
      </c>
      <c r="J67" s="783"/>
    </row>
    <row r="68" spans="1:10" x14ac:dyDescent="0.2">
      <c r="A68" s="665"/>
      <c r="B68" s="470"/>
      <c r="C68" s="668"/>
      <c r="D68" s="687"/>
      <c r="E68" s="936"/>
      <c r="F68" s="942"/>
      <c r="G68" s="927"/>
      <c r="H68" s="478"/>
      <c r="I68" s="871"/>
      <c r="J68" s="783"/>
    </row>
    <row r="69" spans="1:10" ht="25.5" x14ac:dyDescent="0.2">
      <c r="A69" s="686"/>
      <c r="B69" s="859"/>
      <c r="C69" s="786" t="s">
        <v>749</v>
      </c>
      <c r="D69" s="687"/>
      <c r="E69" s="936"/>
      <c r="F69" s="942"/>
      <c r="G69" s="926">
        <f>SUM(G70)</f>
        <v>119511.90000000001</v>
      </c>
      <c r="H69" s="478"/>
      <c r="I69" s="337">
        <f>SUM(D69:H69)</f>
        <v>119511.90000000001</v>
      </c>
      <c r="J69" s="783"/>
    </row>
    <row r="70" spans="1:10" x14ac:dyDescent="0.2">
      <c r="A70" s="686" t="s">
        <v>702</v>
      </c>
      <c r="B70" s="859"/>
      <c r="C70" s="668" t="s">
        <v>500</v>
      </c>
      <c r="D70" s="687"/>
      <c r="E70" s="936"/>
      <c r="F70" s="942"/>
      <c r="G70" s="927">
        <f>170000-50485.56-2.54</f>
        <v>119511.90000000001</v>
      </c>
      <c r="H70" s="478"/>
      <c r="I70" s="871">
        <f>SUM(D70:H70)</f>
        <v>119511.90000000001</v>
      </c>
      <c r="J70" s="783"/>
    </row>
    <row r="71" spans="1:10" x14ac:dyDescent="0.2">
      <c r="A71" s="686"/>
      <c r="B71" s="859"/>
      <c r="C71" s="668"/>
      <c r="D71" s="687"/>
      <c r="E71" s="936"/>
      <c r="F71" s="942"/>
      <c r="G71" s="927"/>
      <c r="H71" s="478"/>
      <c r="I71" s="871"/>
      <c r="J71" s="783"/>
    </row>
    <row r="72" spans="1:10" x14ac:dyDescent="0.2">
      <c r="A72" s="686"/>
      <c r="B72" s="859"/>
      <c r="C72" s="358" t="s">
        <v>604</v>
      </c>
      <c r="D72" s="687"/>
      <c r="E72" s="936"/>
      <c r="F72" s="943">
        <f>SUM(F73)</f>
        <v>13.69</v>
      </c>
      <c r="G72" s="926">
        <f>SUM(G73)</f>
        <v>4873.32</v>
      </c>
      <c r="H72" s="478"/>
      <c r="I72" s="337">
        <f>SUM(D72:H72)</f>
        <v>4887.0099999999993</v>
      </c>
      <c r="J72" s="783"/>
    </row>
    <row r="73" spans="1:10" x14ac:dyDescent="0.2">
      <c r="A73" s="686">
        <v>61699</v>
      </c>
      <c r="B73" s="859"/>
      <c r="C73" s="359" t="s">
        <v>500</v>
      </c>
      <c r="D73" s="687"/>
      <c r="E73" s="936"/>
      <c r="F73" s="942">
        <v>13.69</v>
      </c>
      <c r="G73" s="927">
        <f>4848.32+20+5</f>
        <v>4873.32</v>
      </c>
      <c r="H73" s="478"/>
      <c r="I73" s="871">
        <f>SUM(D73:H73)</f>
        <v>4887.0099999999993</v>
      </c>
      <c r="J73" s="783"/>
    </row>
    <row r="74" spans="1:10" ht="13.5" thickBot="1" x14ac:dyDescent="0.25">
      <c r="A74" s="665"/>
      <c r="B74" s="470"/>
      <c r="C74" s="668"/>
      <c r="D74" s="687"/>
      <c r="E74" s="936"/>
      <c r="F74" s="957"/>
      <c r="G74" s="927"/>
      <c r="H74" s="478"/>
      <c r="I74" s="871"/>
      <c r="J74" s="783"/>
    </row>
    <row r="75" spans="1:10" ht="16.5" customHeight="1" thickBot="1" x14ac:dyDescent="0.25">
      <c r="A75" s="483"/>
      <c r="B75" s="82"/>
      <c r="C75" s="474" t="s">
        <v>590</v>
      </c>
      <c r="D75" s="482">
        <f>D12</f>
        <v>368777.38</v>
      </c>
      <c r="E75" s="937" t="e">
        <f>+#REF!+#REF!</f>
        <v>#REF!</v>
      </c>
      <c r="F75" s="944">
        <f>F12</f>
        <v>20848.46</v>
      </c>
      <c r="G75" s="939">
        <f>G12</f>
        <v>411191.65</v>
      </c>
      <c r="H75" s="479" t="e">
        <f>H24+H45+#REF!+#REF!+#REF!+#REF!+#REF!+#REF!</f>
        <v>#REF!</v>
      </c>
      <c r="I75" s="339">
        <f>I12</f>
        <v>800817.49</v>
      </c>
    </row>
    <row r="76" spans="1:10" x14ac:dyDescent="0.2">
      <c r="A76" s="25"/>
      <c r="B76" s="25"/>
      <c r="C76" s="19"/>
      <c r="D76" s="104"/>
      <c r="E76" s="26"/>
      <c r="F76" s="26"/>
      <c r="G76" s="26"/>
      <c r="H76" s="26"/>
      <c r="I76" s="26"/>
    </row>
    <row r="77" spans="1:10" x14ac:dyDescent="0.2">
      <c r="F77" s="3"/>
      <c r="G77" s="331"/>
      <c r="I77" s="331"/>
    </row>
    <row r="78" spans="1:10" x14ac:dyDescent="0.2">
      <c r="F78" s="3"/>
      <c r="G78" s="331"/>
    </row>
    <row r="79" spans="1:10" x14ac:dyDescent="0.2">
      <c r="G79" s="331"/>
    </row>
  </sheetData>
  <mergeCells count="12">
    <mergeCell ref="A1:I1"/>
    <mergeCell ref="A2:I2"/>
    <mergeCell ref="A4:I4"/>
    <mergeCell ref="A5:I5"/>
    <mergeCell ref="A6:I6"/>
    <mergeCell ref="A7:I7"/>
    <mergeCell ref="A8:I8"/>
    <mergeCell ref="A10:A11"/>
    <mergeCell ref="B10:B11"/>
    <mergeCell ref="C10:C11"/>
    <mergeCell ref="D10:H10"/>
    <mergeCell ref="I10:I11"/>
  </mergeCells>
  <phoneticPr fontId="0" type="noConversion"/>
  <printOptions horizontalCentered="1"/>
  <pageMargins left="0.19685039370078741" right="0.15748031496062992" top="0.86614173228346458" bottom="0.78740157480314965" header="0" footer="0"/>
  <pageSetup scale="85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58"/>
  <sheetViews>
    <sheetView showGridLines="0" workbookViewId="0">
      <selection activeCell="C19" sqref="C19"/>
    </sheetView>
  </sheetViews>
  <sheetFormatPr baseColWidth="10" defaultRowHeight="12.75" x14ac:dyDescent="0.2"/>
  <cols>
    <col min="1" max="1" width="9.7109375" style="18" customWidth="1"/>
    <col min="2" max="2" width="65.140625" customWidth="1"/>
    <col min="3" max="3" width="19.85546875" style="191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10" max="10" width="12.42578125" bestFit="1" customWidth="1"/>
    <col min="11" max="11" width="12.28515625" bestFit="1" customWidth="1"/>
  </cols>
  <sheetData>
    <row r="2" spans="1:8" ht="15" x14ac:dyDescent="0.2">
      <c r="A2" s="1176" t="s">
        <v>505</v>
      </c>
      <c r="B2" s="1176"/>
      <c r="C2" s="1176"/>
      <c r="D2" s="1176"/>
      <c r="E2" s="1176"/>
      <c r="F2" s="1176"/>
      <c r="G2" s="1176"/>
      <c r="H2" s="1176"/>
    </row>
    <row r="3" spans="1:8" x14ac:dyDescent="0.2">
      <c r="A3" s="1177" t="s">
        <v>600</v>
      </c>
      <c r="B3" s="1177"/>
      <c r="C3" s="1177"/>
      <c r="D3" s="1177"/>
      <c r="E3" s="1177"/>
      <c r="F3" s="1177"/>
      <c r="G3" s="1177"/>
      <c r="H3" s="1177"/>
    </row>
    <row r="4" spans="1:8" x14ac:dyDescent="0.2">
      <c r="A4" s="187"/>
      <c r="B4" s="187"/>
      <c r="C4" s="194"/>
      <c r="D4" s="187"/>
      <c r="E4" s="187"/>
      <c r="F4" s="187"/>
      <c r="G4" s="187"/>
      <c r="H4" s="187"/>
    </row>
    <row r="5" spans="1:8" ht="16.7" customHeight="1" x14ac:dyDescent="0.2">
      <c r="A5" s="1185" t="s">
        <v>453</v>
      </c>
      <c r="B5" s="1185"/>
      <c r="C5" s="1185"/>
      <c r="D5" s="1185"/>
      <c r="E5" s="1185"/>
      <c r="F5" s="1185"/>
      <c r="G5" s="1185"/>
      <c r="H5" s="1185"/>
    </row>
    <row r="6" spans="1:8" ht="16.7" customHeight="1" x14ac:dyDescent="0.2">
      <c r="A6" s="1185" t="s">
        <v>693</v>
      </c>
      <c r="B6" s="1185"/>
      <c r="C6" s="1185"/>
      <c r="D6" s="1185"/>
      <c r="E6" s="1185"/>
      <c r="F6" s="1185"/>
      <c r="G6" s="1185"/>
      <c r="H6" s="1185"/>
    </row>
    <row r="7" spans="1:8" ht="16.7" customHeight="1" x14ac:dyDescent="0.2">
      <c r="A7" s="1185" t="s">
        <v>334</v>
      </c>
      <c r="B7" s="1185"/>
      <c r="C7" s="1185"/>
      <c r="D7" s="1185"/>
      <c r="E7" s="1185"/>
      <c r="F7" s="1185"/>
      <c r="G7" s="1185"/>
      <c r="H7" s="1185"/>
    </row>
    <row r="8" spans="1:8" ht="16.7" customHeight="1" x14ac:dyDescent="0.2">
      <c r="A8" s="1185" t="s">
        <v>335</v>
      </c>
      <c r="B8" s="1185"/>
      <c r="C8" s="1185"/>
      <c r="D8" s="1185"/>
      <c r="E8" s="1185"/>
      <c r="F8" s="1185"/>
      <c r="G8" s="1185"/>
      <c r="H8" s="1185"/>
    </row>
    <row r="9" spans="1:8" ht="16.7" customHeight="1" x14ac:dyDescent="0.2">
      <c r="A9" s="1185" t="s">
        <v>514</v>
      </c>
      <c r="B9" s="1185"/>
      <c r="C9" s="1185"/>
      <c r="D9" s="1185"/>
      <c r="E9" s="1185"/>
      <c r="F9" s="1185"/>
      <c r="G9" s="1185"/>
      <c r="H9" s="1185"/>
    </row>
    <row r="10" spans="1:8" ht="13.5" thickBot="1" x14ac:dyDescent="0.25">
      <c r="A10" s="328"/>
      <c r="B10" s="328"/>
      <c r="C10" s="328"/>
      <c r="D10" s="328"/>
      <c r="E10" s="328"/>
      <c r="F10" s="328"/>
      <c r="G10" s="328"/>
      <c r="H10" s="328"/>
    </row>
    <row r="11" spans="1:8" ht="28.5" customHeight="1" thickBot="1" x14ac:dyDescent="0.25">
      <c r="A11" s="106" t="s">
        <v>210</v>
      </c>
      <c r="B11" s="1183" t="s">
        <v>190</v>
      </c>
      <c r="C11" s="1178" t="s">
        <v>191</v>
      </c>
      <c r="D11" s="1179"/>
      <c r="E11" s="1179"/>
      <c r="F11" s="1179"/>
      <c r="G11" s="1180"/>
      <c r="H11" s="1181" t="s">
        <v>491</v>
      </c>
    </row>
    <row r="12" spans="1:8" ht="18.75" customHeight="1" thickBot="1" x14ac:dyDescent="0.3">
      <c r="A12" s="107" t="s">
        <v>211</v>
      </c>
      <c r="B12" s="1184"/>
      <c r="C12" s="484" t="s">
        <v>192</v>
      </c>
      <c r="D12" s="485" t="s">
        <v>1</v>
      </c>
      <c r="E12" s="485" t="s">
        <v>2</v>
      </c>
      <c r="F12" s="486" t="s">
        <v>3</v>
      </c>
      <c r="G12" s="108" t="s">
        <v>121</v>
      </c>
      <c r="H12" s="1182"/>
    </row>
    <row r="13" spans="1:8" hidden="1" x14ac:dyDescent="0.2">
      <c r="A13" s="28"/>
      <c r="B13" s="31"/>
      <c r="C13" s="195"/>
      <c r="D13" s="29"/>
      <c r="E13" s="29"/>
      <c r="F13" s="29"/>
      <c r="G13" s="29"/>
      <c r="H13" s="30"/>
    </row>
    <row r="14" spans="1:8" hidden="1" x14ac:dyDescent="0.2">
      <c r="A14" s="22"/>
      <c r="B14" s="23"/>
      <c r="C14" s="196"/>
      <c r="D14" s="20"/>
      <c r="E14" s="20"/>
      <c r="F14" s="20"/>
      <c r="G14" s="20"/>
      <c r="H14" s="32"/>
    </row>
    <row r="15" spans="1:8" ht="7.5" customHeight="1" x14ac:dyDescent="0.2">
      <c r="A15" s="303"/>
      <c r="B15" s="304"/>
      <c r="C15" s="305"/>
      <c r="D15" s="306"/>
      <c r="E15" s="306"/>
      <c r="F15" s="306"/>
      <c r="G15" s="306"/>
      <c r="H15" s="306"/>
    </row>
    <row r="16" spans="1:8" ht="17.25" customHeight="1" x14ac:dyDescent="0.2">
      <c r="A16" s="307">
        <v>55</v>
      </c>
      <c r="B16" s="308" t="s">
        <v>83</v>
      </c>
      <c r="C16" s="309">
        <f>C17+C23</f>
        <v>124656.5</v>
      </c>
      <c r="D16" s="310">
        <f>+D17</f>
        <v>0</v>
      </c>
      <c r="E16" s="310">
        <f>+E17</f>
        <v>0</v>
      </c>
      <c r="F16" s="310">
        <f>+F17</f>
        <v>0</v>
      </c>
      <c r="G16" s="310">
        <f>+G17</f>
        <v>0</v>
      </c>
      <c r="H16" s="310">
        <f t="shared" ref="H16:H23" si="0">SUM(C16:G16)</f>
        <v>124656.5</v>
      </c>
    </row>
    <row r="17" spans="1:11" ht="17.25" customHeight="1" x14ac:dyDescent="0.2">
      <c r="A17" s="307">
        <v>553</v>
      </c>
      <c r="B17" s="311" t="s">
        <v>84</v>
      </c>
      <c r="C17" s="309">
        <f>SUM(C18:C21)</f>
        <v>124656.5</v>
      </c>
      <c r="D17" s="310">
        <f>SUM(D18:D21)</f>
        <v>0</v>
      </c>
      <c r="E17" s="310">
        <f>SUM(E18:E21)</f>
        <v>0</v>
      </c>
      <c r="F17" s="310">
        <f>SUM(F18:F21)</f>
        <v>0</v>
      </c>
      <c r="G17" s="310">
        <f>SUM(G18:G21)</f>
        <v>0</v>
      </c>
      <c r="H17" s="310">
        <f>SUM(C17:G17)</f>
        <v>124656.5</v>
      </c>
    </row>
    <row r="18" spans="1:11" ht="21" hidden="1" customHeight="1" x14ac:dyDescent="0.2">
      <c r="A18" s="303">
        <v>55303</v>
      </c>
      <c r="B18" s="312" t="s">
        <v>212</v>
      </c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f t="shared" si="0"/>
        <v>0</v>
      </c>
    </row>
    <row r="19" spans="1:11" ht="21" customHeight="1" x14ac:dyDescent="0.2">
      <c r="A19" s="303">
        <v>55302</v>
      </c>
      <c r="B19" s="597" t="s">
        <v>515</v>
      </c>
      <c r="C19" s="305">
        <f>1006.81*6+356.81*6+356.81</f>
        <v>8538.5299999999988</v>
      </c>
      <c r="D19" s="306"/>
      <c r="E19" s="306"/>
      <c r="F19" s="306"/>
      <c r="G19" s="306"/>
      <c r="H19" s="306">
        <f>SUM(C19:G19)</f>
        <v>8538.5299999999988</v>
      </c>
    </row>
    <row r="20" spans="1:11" ht="21" hidden="1" customHeight="1" x14ac:dyDescent="0.2">
      <c r="A20" s="313">
        <v>55304</v>
      </c>
      <c r="B20" s="312" t="s">
        <v>213</v>
      </c>
      <c r="C20" s="305">
        <v>0</v>
      </c>
      <c r="D20" s="306">
        <v>0</v>
      </c>
      <c r="E20" s="306">
        <v>0</v>
      </c>
      <c r="F20" s="306">
        <v>0</v>
      </c>
      <c r="G20" s="306">
        <v>0</v>
      </c>
      <c r="H20" s="306">
        <f t="shared" si="0"/>
        <v>0</v>
      </c>
    </row>
    <row r="21" spans="1:11" ht="17.25" customHeight="1" x14ac:dyDescent="0.2">
      <c r="A21" s="303">
        <v>55304</v>
      </c>
      <c r="B21" s="597" t="s">
        <v>445</v>
      </c>
      <c r="C21" s="805">
        <f>10026.6+9558.17+9096.06+9566.44+9109.45+9256.27+8806.99+8941.41+8783.29+8345.77+8461.3+8031.78+8134.44</f>
        <v>116117.97</v>
      </c>
      <c r="D21" s="306">
        <v>0</v>
      </c>
      <c r="E21" s="306">
        <v>0</v>
      </c>
      <c r="F21" s="306">
        <v>0</v>
      </c>
      <c r="G21" s="306">
        <v>0</v>
      </c>
      <c r="H21" s="306">
        <f>SUM(C21:G21)</f>
        <v>116117.97</v>
      </c>
      <c r="J21" s="56"/>
      <c r="K21" s="56"/>
    </row>
    <row r="22" spans="1:11" ht="17.25" customHeight="1" x14ac:dyDescent="0.2">
      <c r="A22" s="303"/>
      <c r="B22" s="312"/>
      <c r="C22" s="305"/>
      <c r="D22" s="306"/>
      <c r="E22" s="306"/>
      <c r="F22" s="306"/>
      <c r="G22" s="306"/>
      <c r="H22" s="306"/>
    </row>
    <row r="23" spans="1:11" ht="17.25" hidden="1" customHeight="1" x14ac:dyDescent="0.2">
      <c r="A23" s="307">
        <v>556</v>
      </c>
      <c r="B23" s="314" t="s">
        <v>214</v>
      </c>
      <c r="C23" s="309">
        <f>C24</f>
        <v>0</v>
      </c>
      <c r="D23" s="310">
        <f>SUM(D24:D27)</f>
        <v>0</v>
      </c>
      <c r="E23" s="310">
        <f>SUM(E24:E27)</f>
        <v>0</v>
      </c>
      <c r="F23" s="310">
        <f>SUM(F24:F27)</f>
        <v>0</v>
      </c>
      <c r="G23" s="310">
        <f>SUM(G24:G27)</f>
        <v>0</v>
      </c>
      <c r="H23" s="310">
        <f t="shared" si="0"/>
        <v>0</v>
      </c>
      <c r="J23" s="42"/>
    </row>
    <row r="24" spans="1:11" ht="17.25" hidden="1" customHeight="1" x14ac:dyDescent="0.2">
      <c r="A24" s="303">
        <v>55603</v>
      </c>
      <c r="B24" s="315" t="s">
        <v>215</v>
      </c>
      <c r="C24" s="305"/>
      <c r="D24" s="306"/>
      <c r="E24" s="306"/>
      <c r="F24" s="306">
        <v>0</v>
      </c>
      <c r="G24" s="306"/>
      <c r="H24" s="306">
        <f>+C24</f>
        <v>0</v>
      </c>
    </row>
    <row r="25" spans="1:11" ht="17.25" customHeight="1" x14ac:dyDescent="0.2">
      <c r="A25" s="307">
        <v>71</v>
      </c>
      <c r="B25" s="311" t="s">
        <v>216</v>
      </c>
      <c r="C25" s="309">
        <f>+C26</f>
        <v>269033.29000000004</v>
      </c>
      <c r="D25" s="310">
        <f>+D26</f>
        <v>0</v>
      </c>
      <c r="E25" s="310">
        <f>+E26</f>
        <v>0</v>
      </c>
      <c r="F25" s="310">
        <f>+F26</f>
        <v>0</v>
      </c>
      <c r="G25" s="310">
        <f>+G26</f>
        <v>0</v>
      </c>
      <c r="H25" s="310">
        <f>SUM(C25:G25)</f>
        <v>269033.29000000004</v>
      </c>
    </row>
    <row r="26" spans="1:11" ht="17.25" customHeight="1" x14ac:dyDescent="0.2">
      <c r="A26" s="303">
        <v>713</v>
      </c>
      <c r="B26" s="311" t="s">
        <v>217</v>
      </c>
      <c r="C26" s="309">
        <f>SUM(C27:C28)</f>
        <v>269033.29000000004</v>
      </c>
      <c r="D26" s="310">
        <f>SUM(D27:D28)</f>
        <v>0</v>
      </c>
      <c r="E26" s="310">
        <f>SUM(E27:E28)</f>
        <v>0</v>
      </c>
      <c r="F26" s="310">
        <f>SUM(F27:F28)</f>
        <v>0</v>
      </c>
      <c r="G26" s="310">
        <f>SUM(G27:G28)</f>
        <v>0</v>
      </c>
      <c r="H26" s="310">
        <f>SUM(C26:G26)</f>
        <v>269033.29000000004</v>
      </c>
      <c r="J26" s="42"/>
    </row>
    <row r="27" spans="1:11" ht="21" hidden="1" customHeight="1" x14ac:dyDescent="0.2">
      <c r="A27" s="303">
        <v>71303</v>
      </c>
      <c r="B27" s="312" t="s">
        <v>212</v>
      </c>
      <c r="C27" s="305"/>
      <c r="D27" s="306">
        <v>0</v>
      </c>
      <c r="E27" s="306">
        <v>0</v>
      </c>
      <c r="F27" s="306">
        <v>0</v>
      </c>
      <c r="G27" s="306">
        <v>0</v>
      </c>
      <c r="H27" s="306">
        <f>SUM(C27:G27)</f>
        <v>0</v>
      </c>
    </row>
    <row r="28" spans="1:11" ht="17.25" customHeight="1" thickBot="1" x14ac:dyDescent="0.25">
      <c r="A28" s="303">
        <v>71304</v>
      </c>
      <c r="B28" s="312" t="s">
        <v>487</v>
      </c>
      <c r="C28" s="305">
        <f>19600.42+20068.85+20530.96+20060.58+20517.57+20370.75+20820.03+20685.61+20843.73+21281.25+21165.72+21595.24+21492.58</f>
        <v>269033.29000000004</v>
      </c>
      <c r="D28" s="306">
        <v>0</v>
      </c>
      <c r="E28" s="306">
        <v>0</v>
      </c>
      <c r="F28" s="306">
        <v>0</v>
      </c>
      <c r="G28" s="306">
        <v>0</v>
      </c>
      <c r="H28" s="306">
        <f>SUM(C28:G28)</f>
        <v>269033.29000000004</v>
      </c>
      <c r="J28" s="56"/>
      <c r="K28" s="56"/>
    </row>
    <row r="29" spans="1:11" hidden="1" x14ac:dyDescent="0.2">
      <c r="A29" s="21"/>
      <c r="B29" s="33"/>
      <c r="C29" s="227"/>
      <c r="D29" s="228"/>
      <c r="E29" s="228"/>
      <c r="F29" s="228"/>
      <c r="G29" s="228"/>
      <c r="H29" s="226"/>
      <c r="J29" s="42"/>
    </row>
    <row r="30" spans="1:11" hidden="1" x14ac:dyDescent="0.2">
      <c r="A30" s="22"/>
      <c r="B30" s="24"/>
      <c r="C30" s="227"/>
      <c r="D30" s="228"/>
      <c r="E30" s="228"/>
      <c r="F30" s="228"/>
      <c r="G30" s="228"/>
      <c r="H30" s="229"/>
    </row>
    <row r="31" spans="1:11" hidden="1" x14ac:dyDescent="0.2">
      <c r="A31" s="21"/>
      <c r="B31" s="33"/>
      <c r="C31" s="224"/>
      <c r="D31" s="225"/>
      <c r="E31" s="225"/>
      <c r="F31" s="225"/>
      <c r="G31" s="225"/>
      <c r="H31" s="229"/>
    </row>
    <row r="32" spans="1:11" hidden="1" x14ac:dyDescent="0.2">
      <c r="A32" s="21"/>
      <c r="B32" s="33"/>
      <c r="C32" s="230"/>
      <c r="D32" s="231"/>
      <c r="E32" s="231"/>
      <c r="F32" s="231"/>
      <c r="G32" s="231"/>
      <c r="H32" s="229"/>
    </row>
    <row r="33" spans="1:8" hidden="1" x14ac:dyDescent="0.2">
      <c r="A33" s="21"/>
      <c r="B33" s="33"/>
      <c r="C33" s="230"/>
      <c r="D33" s="231"/>
      <c r="E33" s="231"/>
      <c r="F33" s="231"/>
      <c r="G33" s="231"/>
      <c r="H33" s="229"/>
    </row>
    <row r="34" spans="1:8" hidden="1" x14ac:dyDescent="0.2">
      <c r="A34" s="21"/>
      <c r="B34" s="33"/>
      <c r="C34" s="224"/>
      <c r="D34" s="225"/>
      <c r="E34" s="225"/>
      <c r="F34" s="225"/>
      <c r="G34" s="225"/>
      <c r="H34" s="229"/>
    </row>
    <row r="35" spans="1:8" hidden="1" x14ac:dyDescent="0.2">
      <c r="A35" s="22"/>
      <c r="B35" s="34"/>
      <c r="C35" s="227"/>
      <c r="D35" s="228"/>
      <c r="E35" s="228"/>
      <c r="F35" s="228"/>
      <c r="G35" s="228"/>
      <c r="H35" s="229"/>
    </row>
    <row r="36" spans="1:8" hidden="1" x14ac:dyDescent="0.2">
      <c r="A36" s="21"/>
      <c r="B36" s="35"/>
      <c r="C36" s="224"/>
      <c r="D36" s="225"/>
      <c r="E36" s="225"/>
      <c r="F36" s="225"/>
      <c r="G36" s="225"/>
      <c r="H36" s="229"/>
    </row>
    <row r="37" spans="1:8" hidden="1" x14ac:dyDescent="0.2">
      <c r="A37" s="22"/>
      <c r="B37" s="34"/>
      <c r="C37" s="227"/>
      <c r="D37" s="228"/>
      <c r="E37" s="228"/>
      <c r="F37" s="228"/>
      <c r="G37" s="228"/>
      <c r="H37" s="229"/>
    </row>
    <row r="38" spans="1:8" hidden="1" x14ac:dyDescent="0.2">
      <c r="A38" s="21"/>
      <c r="B38" s="33"/>
      <c r="C38" s="224"/>
      <c r="D38" s="225"/>
      <c r="E38" s="225"/>
      <c r="F38" s="225"/>
      <c r="G38" s="225"/>
      <c r="H38" s="226"/>
    </row>
    <row r="39" spans="1:8" hidden="1" x14ac:dyDescent="0.2">
      <c r="A39" s="21"/>
      <c r="B39" s="33"/>
      <c r="C39" s="224"/>
      <c r="D39" s="225"/>
      <c r="E39" s="225"/>
      <c r="F39" s="225"/>
      <c r="G39" s="225"/>
      <c r="H39" s="226"/>
    </row>
    <row r="40" spans="1:8" hidden="1" x14ac:dyDescent="0.2">
      <c r="A40" s="21"/>
      <c r="B40" s="33"/>
      <c r="C40" s="224"/>
      <c r="D40" s="225"/>
      <c r="E40" s="225"/>
      <c r="F40" s="225"/>
      <c r="G40" s="225"/>
      <c r="H40" s="226"/>
    </row>
    <row r="41" spans="1:8" hidden="1" x14ac:dyDescent="0.2">
      <c r="A41" s="21"/>
      <c r="B41" s="33"/>
      <c r="C41" s="224"/>
      <c r="D41" s="225"/>
      <c r="E41" s="225"/>
      <c r="F41" s="225"/>
      <c r="G41" s="225"/>
      <c r="H41" s="229"/>
    </row>
    <row r="42" spans="1:8" hidden="1" x14ac:dyDescent="0.2">
      <c r="A42" s="21"/>
      <c r="B42" s="33"/>
      <c r="C42" s="224"/>
      <c r="D42" s="225"/>
      <c r="E42" s="225"/>
      <c r="F42" s="225"/>
      <c r="G42" s="225"/>
      <c r="H42" s="229"/>
    </row>
    <row r="43" spans="1:8" hidden="1" x14ac:dyDescent="0.2">
      <c r="A43" s="21"/>
      <c r="B43" s="33"/>
      <c r="C43" s="224"/>
      <c r="D43" s="225"/>
      <c r="E43" s="225"/>
      <c r="F43" s="225"/>
      <c r="G43" s="225"/>
      <c r="H43" s="232"/>
    </row>
    <row r="44" spans="1:8" ht="18" hidden="1" x14ac:dyDescent="0.25">
      <c r="A44" s="36"/>
      <c r="B44" s="37"/>
      <c r="C44" s="233"/>
      <c r="D44" s="234"/>
      <c r="E44" s="234"/>
      <c r="F44" s="234"/>
      <c r="G44" s="234"/>
      <c r="H44" s="235"/>
    </row>
    <row r="45" spans="1:8" hidden="1" x14ac:dyDescent="0.2">
      <c r="A45" s="21"/>
      <c r="B45" s="33"/>
      <c r="C45" s="230"/>
      <c r="D45" s="231"/>
      <c r="E45" s="231"/>
      <c r="F45" s="231"/>
      <c r="G45" s="231"/>
      <c r="H45" s="232"/>
    </row>
    <row r="46" spans="1:8" ht="13.5" hidden="1" thickBot="1" x14ac:dyDescent="0.25">
      <c r="A46" s="38"/>
      <c r="B46" s="39"/>
      <c r="C46" s="236"/>
      <c r="D46" s="237"/>
      <c r="E46" s="237"/>
      <c r="F46" s="237"/>
      <c r="G46" s="237"/>
      <c r="H46" s="238"/>
    </row>
    <row r="47" spans="1:8" ht="15" customHeight="1" thickBot="1" x14ac:dyDescent="0.25">
      <c r="A47" s="40"/>
      <c r="B47" s="41" t="s">
        <v>185</v>
      </c>
      <c r="C47" s="239">
        <f>C16+C25</f>
        <v>393689.79000000004</v>
      </c>
      <c r="D47" s="240" t="e">
        <f>+D16+D20+D25+#REF!+D30</f>
        <v>#REF!</v>
      </c>
      <c r="E47" s="241" t="e">
        <f>+E16+E20+E25+#REF!+E30</f>
        <v>#REF!</v>
      </c>
      <c r="F47" s="240">
        <f>+F16+F20+F25+F30</f>
        <v>0</v>
      </c>
      <c r="G47" s="241" t="e">
        <f>+G16+G20+G25+#REF!+G30</f>
        <v>#REF!</v>
      </c>
      <c r="H47" s="241">
        <f>+H16+H25</f>
        <v>393689.79000000004</v>
      </c>
    </row>
    <row r="48" spans="1:8" x14ac:dyDescent="0.2">
      <c r="C48" s="197"/>
      <c r="H48" s="103"/>
    </row>
    <row r="49" spans="3:8" x14ac:dyDescent="0.2">
      <c r="H49" s="42"/>
    </row>
    <row r="50" spans="3:8" x14ac:dyDescent="0.2">
      <c r="H50" s="3"/>
    </row>
    <row r="51" spans="3:8" x14ac:dyDescent="0.2">
      <c r="C51" s="216"/>
      <c r="H51" s="3"/>
    </row>
    <row r="52" spans="3:8" x14ac:dyDescent="0.2">
      <c r="C52" s="198"/>
      <c r="H52" s="3"/>
    </row>
    <row r="53" spans="3:8" x14ac:dyDescent="0.2">
      <c r="C53" s="199"/>
    </row>
    <row r="54" spans="3:8" x14ac:dyDescent="0.2">
      <c r="C54" s="200"/>
      <c r="H54" s="3"/>
    </row>
    <row r="55" spans="3:8" x14ac:dyDescent="0.2">
      <c r="C55" s="201"/>
    </row>
    <row r="56" spans="3:8" x14ac:dyDescent="0.2">
      <c r="C56" s="197"/>
    </row>
    <row r="58" spans="3:8" x14ac:dyDescent="0.2">
      <c r="C58" s="197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J185"/>
  <sheetViews>
    <sheetView showGridLines="0" topLeftCell="G144" zoomScaleNormal="100" workbookViewId="0">
      <selection activeCell="Q187" sqref="Q187"/>
    </sheetView>
  </sheetViews>
  <sheetFormatPr baseColWidth="10" defaultRowHeight="18" customHeight="1" x14ac:dyDescent="0.2"/>
  <cols>
    <col min="1" max="1" width="6" style="1481" customWidth="1"/>
    <col min="2" max="2" width="38.7109375" style="1225" customWidth="1"/>
    <col min="3" max="7" width="10.5703125" style="1482" customWidth="1"/>
    <col min="8" max="12" width="10.5703125" style="1483" customWidth="1"/>
    <col min="13" max="17" width="10.5703125" style="1225" customWidth="1"/>
    <col min="18" max="18" width="10.140625" style="1225" customWidth="1"/>
    <col min="19" max="19" width="12.140625" style="1225" customWidth="1"/>
    <col min="20" max="20" width="9.85546875" style="1225" customWidth="1"/>
    <col min="21" max="23" width="10.5703125" style="1225" customWidth="1"/>
    <col min="24" max="24" width="15.42578125" style="1225" hidden="1" customWidth="1"/>
    <col min="25" max="32" width="16.7109375" style="1225" hidden="1" customWidth="1"/>
    <col min="33" max="33" width="11.140625" style="1225" hidden="1" customWidth="1"/>
    <col min="34" max="34" width="12.140625" style="1225" customWidth="1"/>
    <col min="35" max="35" width="1.85546875" style="1224" hidden="1" customWidth="1"/>
    <col min="36" max="16384" width="11.42578125" style="1225"/>
  </cols>
  <sheetData>
    <row r="1" spans="1:35" ht="18" customHeight="1" x14ac:dyDescent="0.25">
      <c r="A1" s="1220" t="s">
        <v>684</v>
      </c>
      <c r="B1" s="1221"/>
      <c r="C1" s="1222"/>
      <c r="D1" s="1222"/>
      <c r="E1" s="1222"/>
      <c r="F1" s="1222"/>
      <c r="G1" s="1222"/>
      <c r="H1" s="1223"/>
      <c r="I1" s="1223"/>
      <c r="J1" s="1223"/>
      <c r="K1" s="1223"/>
      <c r="L1" s="1223"/>
      <c r="M1" s="1221"/>
      <c r="N1" s="1221"/>
      <c r="O1" s="1221"/>
      <c r="P1" s="1221"/>
      <c r="Q1" s="1221"/>
      <c r="R1" s="1221"/>
      <c r="S1" s="1221"/>
      <c r="T1" s="1221"/>
      <c r="U1" s="1221"/>
      <c r="V1" s="1221"/>
      <c r="W1" s="1221"/>
      <c r="X1" s="1221"/>
      <c r="Y1" s="1221"/>
      <c r="Z1" s="1221"/>
      <c r="AA1" s="1221"/>
      <c r="AB1" s="1221"/>
      <c r="AC1" s="1221"/>
      <c r="AD1" s="1221"/>
      <c r="AE1" s="1221"/>
      <c r="AF1" s="1221"/>
      <c r="AG1" s="1221"/>
      <c r="AH1" s="1221"/>
    </row>
    <row r="2" spans="1:35" ht="18" customHeight="1" thickBot="1" x14ac:dyDescent="0.25">
      <c r="A2" s="1221"/>
      <c r="B2" s="1221"/>
      <c r="C2" s="1222"/>
      <c r="D2" s="1222"/>
      <c r="E2" s="1222"/>
      <c r="F2" s="1222"/>
      <c r="G2" s="1222"/>
      <c r="H2" s="1223"/>
      <c r="I2" s="1223"/>
      <c r="J2" s="1223"/>
      <c r="K2" s="1223"/>
      <c r="L2" s="1223"/>
      <c r="M2" s="1221"/>
      <c r="N2" s="1221"/>
      <c r="O2" s="1221"/>
      <c r="P2" s="1221"/>
      <c r="Q2" s="1221"/>
      <c r="R2" s="1221"/>
      <c r="S2" s="1221"/>
      <c r="T2" s="1221"/>
      <c r="U2" s="1221"/>
      <c r="V2" s="1221"/>
      <c r="W2" s="1221"/>
      <c r="X2" s="1221"/>
      <c r="Y2" s="1221"/>
      <c r="Z2" s="1221"/>
      <c r="AA2" s="1221"/>
      <c r="AB2" s="1221"/>
      <c r="AC2" s="1221"/>
      <c r="AD2" s="1221"/>
      <c r="AE2" s="1221"/>
      <c r="AF2" s="1221"/>
      <c r="AG2" s="1221"/>
      <c r="AH2" s="1221"/>
    </row>
    <row r="3" spans="1:35" s="1244" customFormat="1" ht="29.25" customHeight="1" thickTop="1" thickBot="1" x14ac:dyDescent="0.25">
      <c r="A3" s="1226" t="s">
        <v>599</v>
      </c>
      <c r="B3" s="1227" t="s">
        <v>103</v>
      </c>
      <c r="C3" s="1228" t="s">
        <v>219</v>
      </c>
      <c r="D3" s="1229"/>
      <c r="E3" s="1229"/>
      <c r="F3" s="1229"/>
      <c r="G3" s="1230"/>
      <c r="H3" s="1231"/>
      <c r="I3" s="1232"/>
      <c r="J3" s="1232"/>
      <c r="K3" s="1232"/>
      <c r="L3" s="1232" t="s">
        <v>218</v>
      </c>
      <c r="M3" s="1233"/>
      <c r="N3" s="1233"/>
      <c r="O3" s="1233"/>
      <c r="P3" s="1233"/>
      <c r="Q3" s="1233"/>
      <c r="R3" s="1234"/>
      <c r="S3" s="1235" t="s">
        <v>108</v>
      </c>
      <c r="T3" s="1227" t="s">
        <v>472</v>
      </c>
      <c r="U3" s="1236" t="s">
        <v>474</v>
      </c>
      <c r="V3" s="1236"/>
      <c r="W3" s="1235"/>
      <c r="X3" s="1237" t="s">
        <v>222</v>
      </c>
      <c r="Y3" s="1238" t="s">
        <v>220</v>
      </c>
      <c r="Z3" s="1239"/>
      <c r="AA3" s="1240"/>
      <c r="AB3" s="1238" t="s">
        <v>221</v>
      </c>
      <c r="AC3" s="1239"/>
      <c r="AD3" s="1240"/>
      <c r="AE3" s="1238" t="s">
        <v>222</v>
      </c>
      <c r="AF3" s="1239"/>
      <c r="AG3" s="1241"/>
      <c r="AH3" s="1242" t="s">
        <v>25</v>
      </c>
      <c r="AI3" s="1243"/>
    </row>
    <row r="4" spans="1:35" s="1244" customFormat="1" ht="14.25" customHeight="1" thickBot="1" x14ac:dyDescent="0.25">
      <c r="A4" s="1245"/>
      <c r="B4" s="1246"/>
      <c r="C4" s="1247"/>
      <c r="D4" s="1248"/>
      <c r="E4" s="1248"/>
      <c r="F4" s="1248"/>
      <c r="G4" s="1249"/>
      <c r="H4" s="1250" t="s">
        <v>223</v>
      </c>
      <c r="I4" s="1251"/>
      <c r="J4" s="1251"/>
      <c r="K4" s="1251"/>
      <c r="L4" s="1252"/>
      <c r="M4" s="1253" t="s">
        <v>224</v>
      </c>
      <c r="N4" s="1254"/>
      <c r="O4" s="1254"/>
      <c r="P4" s="1254"/>
      <c r="Q4" s="1254"/>
      <c r="R4" s="1255"/>
      <c r="S4" s="1256"/>
      <c r="T4" s="1257"/>
      <c r="U4" s="1258" t="s">
        <v>657</v>
      </c>
      <c r="V4" s="1259" t="s">
        <v>598</v>
      </c>
      <c r="W4" s="1260" t="s">
        <v>108</v>
      </c>
      <c r="X4" s="1261"/>
      <c r="Y4" s="1262" t="s">
        <v>225</v>
      </c>
      <c r="Z4" s="1263"/>
      <c r="AA4" s="1264"/>
      <c r="AB4" s="1262" t="s">
        <v>225</v>
      </c>
      <c r="AC4" s="1263"/>
      <c r="AD4" s="1264"/>
      <c r="AE4" s="1262" t="s">
        <v>225</v>
      </c>
      <c r="AF4" s="1263"/>
      <c r="AG4" s="1265"/>
      <c r="AH4" s="1266"/>
      <c r="AI4" s="1243"/>
    </row>
    <row r="5" spans="1:35" s="1244" customFormat="1" ht="15" customHeight="1" x14ac:dyDescent="0.2">
      <c r="A5" s="1245"/>
      <c r="B5" s="1246"/>
      <c r="C5" s="1267" t="s">
        <v>462</v>
      </c>
      <c r="D5" s="1268"/>
      <c r="E5" s="1268"/>
      <c r="F5" s="1268"/>
      <c r="G5" s="1269"/>
      <c r="H5" s="1270" t="s">
        <v>462</v>
      </c>
      <c r="I5" s="1271"/>
      <c r="J5" s="1271"/>
      <c r="K5" s="1271"/>
      <c r="L5" s="1272"/>
      <c r="M5" s="1273" t="s">
        <v>226</v>
      </c>
      <c r="N5" s="1274"/>
      <c r="O5" s="1275" t="s">
        <v>227</v>
      </c>
      <c r="P5" s="1274" t="s">
        <v>228</v>
      </c>
      <c r="Q5" s="1274"/>
      <c r="R5" s="1274"/>
      <c r="S5" s="1256"/>
      <c r="T5" s="1257" t="s">
        <v>437</v>
      </c>
      <c r="U5" s="1276"/>
      <c r="V5" s="1277"/>
      <c r="W5" s="1278"/>
      <c r="X5" s="1279" t="s">
        <v>226</v>
      </c>
      <c r="Y5" s="1280" t="s">
        <v>226</v>
      </c>
      <c r="Z5" s="1280" t="s">
        <v>229</v>
      </c>
      <c r="AA5" s="1281" t="s">
        <v>108</v>
      </c>
      <c r="AB5" s="1280" t="s">
        <v>226</v>
      </c>
      <c r="AC5" s="1280" t="s">
        <v>229</v>
      </c>
      <c r="AD5" s="1281" t="s">
        <v>108</v>
      </c>
      <c r="AE5" s="1280" t="s">
        <v>226</v>
      </c>
      <c r="AF5" s="1280" t="s">
        <v>229</v>
      </c>
      <c r="AG5" s="1282" t="s">
        <v>108</v>
      </c>
      <c r="AH5" s="1266"/>
      <c r="AI5" s="1243"/>
    </row>
    <row r="6" spans="1:35" s="1244" customFormat="1" ht="15.75" customHeight="1" thickBot="1" x14ac:dyDescent="0.25">
      <c r="A6" s="1245"/>
      <c r="B6" s="1246"/>
      <c r="C6" s="1267" t="s">
        <v>464</v>
      </c>
      <c r="D6" s="1268"/>
      <c r="E6" s="1268"/>
      <c r="F6" s="1268"/>
      <c r="G6" s="1269"/>
      <c r="H6" s="1270" t="s">
        <v>463</v>
      </c>
      <c r="I6" s="1271"/>
      <c r="J6" s="1271"/>
      <c r="K6" s="1271"/>
      <c r="L6" s="1272"/>
      <c r="M6" s="1273" t="s">
        <v>230</v>
      </c>
      <c r="N6" s="1274"/>
      <c r="O6" s="1275" t="s">
        <v>231</v>
      </c>
      <c r="P6" s="1274" t="s">
        <v>232</v>
      </c>
      <c r="Q6" s="1274"/>
      <c r="R6" s="1274"/>
      <c r="S6" s="1256"/>
      <c r="T6" s="1283"/>
      <c r="U6" s="1275" t="s">
        <v>230</v>
      </c>
      <c r="V6" s="1275" t="s">
        <v>231</v>
      </c>
      <c r="W6" s="1278"/>
      <c r="X6" s="1284" t="s">
        <v>230</v>
      </c>
      <c r="Y6" s="1285" t="s">
        <v>230</v>
      </c>
      <c r="Z6" s="1285" t="s">
        <v>231</v>
      </c>
      <c r="AA6" s="1286"/>
      <c r="AB6" s="1285" t="s">
        <v>230</v>
      </c>
      <c r="AC6" s="1285" t="s">
        <v>231</v>
      </c>
      <c r="AD6" s="1286"/>
      <c r="AE6" s="1285" t="s">
        <v>230</v>
      </c>
      <c r="AF6" s="1285" t="s">
        <v>231</v>
      </c>
      <c r="AG6" s="1287"/>
      <c r="AH6" s="1266"/>
      <c r="AI6" s="1243"/>
    </row>
    <row r="7" spans="1:35" s="1244" customFormat="1" ht="14.25" customHeight="1" x14ac:dyDescent="0.2">
      <c r="A7" s="1245"/>
      <c r="B7" s="1246"/>
      <c r="C7" s="1288" t="s">
        <v>486</v>
      </c>
      <c r="D7" s="1289" t="s">
        <v>485</v>
      </c>
      <c r="E7" s="1289" t="s">
        <v>475</v>
      </c>
      <c r="F7" s="1289" t="s">
        <v>476</v>
      </c>
      <c r="G7" s="1290" t="s">
        <v>108</v>
      </c>
      <c r="H7" s="1291" t="s">
        <v>486</v>
      </c>
      <c r="I7" s="1292" t="s">
        <v>485</v>
      </c>
      <c r="J7" s="1292" t="s">
        <v>475</v>
      </c>
      <c r="K7" s="1292" t="s">
        <v>476</v>
      </c>
      <c r="L7" s="1290" t="s">
        <v>108</v>
      </c>
      <c r="M7" s="1293" t="s">
        <v>233</v>
      </c>
      <c r="N7" s="1294" t="s">
        <v>234</v>
      </c>
      <c r="O7" s="1294" t="s">
        <v>235</v>
      </c>
      <c r="P7" s="1294" t="s">
        <v>236</v>
      </c>
      <c r="Q7" s="1294" t="s">
        <v>639</v>
      </c>
      <c r="R7" s="1294" t="s">
        <v>466</v>
      </c>
      <c r="S7" s="1256"/>
      <c r="T7" s="1295" t="s">
        <v>235</v>
      </c>
      <c r="U7" s="1296" t="s">
        <v>234</v>
      </c>
      <c r="V7" s="1297" t="s">
        <v>235</v>
      </c>
      <c r="W7" s="1278"/>
      <c r="X7" s="1298" t="s">
        <v>234</v>
      </c>
      <c r="Y7" s="1299" t="s">
        <v>233</v>
      </c>
      <c r="Z7" s="1299" t="s">
        <v>235</v>
      </c>
      <c r="AA7" s="1286"/>
      <c r="AB7" s="1299" t="s">
        <v>233</v>
      </c>
      <c r="AC7" s="1299" t="s">
        <v>235</v>
      </c>
      <c r="AD7" s="1286"/>
      <c r="AE7" s="1299" t="s">
        <v>233</v>
      </c>
      <c r="AF7" s="1299" t="s">
        <v>235</v>
      </c>
      <c r="AG7" s="1287"/>
      <c r="AH7" s="1266"/>
      <c r="AI7" s="1243"/>
    </row>
    <row r="8" spans="1:35" s="1244" customFormat="1" ht="68.25" customHeight="1" thickBot="1" x14ac:dyDescent="0.25">
      <c r="A8" s="1300"/>
      <c r="B8" s="1301"/>
      <c r="C8" s="1302"/>
      <c r="D8" s="1303"/>
      <c r="E8" s="1303"/>
      <c r="F8" s="1303"/>
      <c r="G8" s="1304"/>
      <c r="H8" s="1305"/>
      <c r="I8" s="1306"/>
      <c r="J8" s="1306"/>
      <c r="K8" s="1306"/>
      <c r="L8" s="1304"/>
      <c r="M8" s="1307" t="s">
        <v>601</v>
      </c>
      <c r="N8" s="1308" t="s">
        <v>602</v>
      </c>
      <c r="O8" s="1309" t="s">
        <v>507</v>
      </c>
      <c r="P8" s="1308" t="s">
        <v>640</v>
      </c>
      <c r="Q8" s="1308" t="s">
        <v>641</v>
      </c>
      <c r="R8" s="1308" t="s">
        <v>468</v>
      </c>
      <c r="S8" s="1310"/>
      <c r="T8" s="1311" t="s">
        <v>656</v>
      </c>
      <c r="U8" s="1312" t="s">
        <v>506</v>
      </c>
      <c r="V8" s="1313" t="s">
        <v>508</v>
      </c>
      <c r="W8" s="1314"/>
      <c r="X8" s="1315" t="s">
        <v>237</v>
      </c>
      <c r="Y8" s="1316" t="s">
        <v>237</v>
      </c>
      <c r="Z8" s="1316" t="s">
        <v>238</v>
      </c>
      <c r="AA8" s="1317"/>
      <c r="AB8" s="1316" t="s">
        <v>237</v>
      </c>
      <c r="AC8" s="1316" t="s">
        <v>238</v>
      </c>
      <c r="AD8" s="1317"/>
      <c r="AE8" s="1316" t="s">
        <v>237</v>
      </c>
      <c r="AF8" s="1316" t="s">
        <v>238</v>
      </c>
      <c r="AG8" s="1318"/>
      <c r="AH8" s="1319"/>
      <c r="AI8" s="1243"/>
    </row>
    <row r="9" spans="1:35" s="1339" customFormat="1" ht="18" customHeight="1" thickTop="1" x14ac:dyDescent="0.2">
      <c r="A9" s="1320">
        <v>51</v>
      </c>
      <c r="B9" s="1321" t="s">
        <v>122</v>
      </c>
      <c r="C9" s="1322">
        <f>C10+C17+C22+C25+C28+C31+C34+C37+C39</f>
        <v>129556.57</v>
      </c>
      <c r="D9" s="1323">
        <f>D10+D17+D22+D25+D28+D31+D34+D37+D39</f>
        <v>39800</v>
      </c>
      <c r="E9" s="1323">
        <f>E10+E17+E22+E25+E28+E31+E34+E37+E39</f>
        <v>24492.83</v>
      </c>
      <c r="F9" s="1323">
        <f>F10+F17+F22+F25+F28+F31+F34+F37+F39</f>
        <v>57191.17</v>
      </c>
      <c r="G9" s="1324">
        <f>+G10+G17+G22+G25+G28+G31+G34+G39</f>
        <v>251040.57000000004</v>
      </c>
      <c r="H9" s="1325">
        <f>H10+H17+H22+H25+H28+H31+H34+H37+H39</f>
        <v>89877.8</v>
      </c>
      <c r="I9" s="1326">
        <f>I10+I17+I22+I25+I28+I31+I34+I37</f>
        <v>24500</v>
      </c>
      <c r="J9" s="1326">
        <f>J10+J17+J22+J25+J28+J31+J34+J37</f>
        <v>10428.56</v>
      </c>
      <c r="K9" s="1326">
        <f>K10+K17+K22+K25+K28+K31+K34+K37</f>
        <v>35442.869999999995</v>
      </c>
      <c r="L9" s="1327">
        <f>L10+L17+L22+L25+L28+L31+L34+L37+L39</f>
        <v>160249.23000000001</v>
      </c>
      <c r="M9" s="1328">
        <f t="shared" ref="M9:O9" si="0">M10+M17+M22+M25+M28+M31+M34+M37</f>
        <v>0</v>
      </c>
      <c r="N9" s="1329">
        <f>N10+N17+N22+N25+N28+N31+N34+N37+N39</f>
        <v>0</v>
      </c>
      <c r="O9" s="1329">
        <f t="shared" si="0"/>
        <v>0</v>
      </c>
      <c r="P9" s="1329">
        <v>0</v>
      </c>
      <c r="Q9" s="1329">
        <v>0</v>
      </c>
      <c r="R9" s="1329">
        <v>0</v>
      </c>
      <c r="S9" s="1330">
        <f>+M9+N9+O9+P9+R9</f>
        <v>0</v>
      </c>
      <c r="T9" s="1331">
        <v>0</v>
      </c>
      <c r="U9" s="1332">
        <v>0</v>
      </c>
      <c r="V9" s="1328">
        <v>0</v>
      </c>
      <c r="W9" s="1333">
        <f>+U9+V9</f>
        <v>0</v>
      </c>
      <c r="X9" s="1328"/>
      <c r="Y9" s="1334"/>
      <c r="Z9" s="1329"/>
      <c r="AA9" s="1335"/>
      <c r="AB9" s="1328"/>
      <c r="AC9" s="1329"/>
      <c r="AD9" s="1336"/>
      <c r="AE9" s="1334"/>
      <c r="AF9" s="1329"/>
      <c r="AG9" s="1336"/>
      <c r="AH9" s="1337">
        <f t="shared" ref="AH9:AH40" si="1">+L9+S9+G9+AA9+AD9+AG9+T9+W9+X9</f>
        <v>411289.80000000005</v>
      </c>
      <c r="AI9" s="1338"/>
    </row>
    <row r="10" spans="1:35" s="1339" customFormat="1" ht="18" customHeight="1" x14ac:dyDescent="0.2">
      <c r="A10" s="1340">
        <v>511</v>
      </c>
      <c r="B10" s="1341" t="s">
        <v>123</v>
      </c>
      <c r="C10" s="1342">
        <f t="shared" ref="C10:J10" si="2">SUM(C11:C16)</f>
        <v>94300</v>
      </c>
      <c r="D10" s="1343">
        <f t="shared" si="2"/>
        <v>39800</v>
      </c>
      <c r="E10" s="1343">
        <f t="shared" si="2"/>
        <v>24164.260000000002</v>
      </c>
      <c r="F10" s="1343">
        <f>SUM(F11:F16)</f>
        <v>57191.17</v>
      </c>
      <c r="G10" s="1344">
        <f>SUM(G11:G16)</f>
        <v>215455.43000000002</v>
      </c>
      <c r="H10" s="1345">
        <f>SUM(H11:H16)</f>
        <v>68250</v>
      </c>
      <c r="I10" s="1346">
        <f t="shared" si="2"/>
        <v>24500</v>
      </c>
      <c r="J10" s="1346">
        <f t="shared" si="2"/>
        <v>10428.56</v>
      </c>
      <c r="K10" s="1347">
        <f>SUM(K11:K21)</f>
        <v>35242.869999999995</v>
      </c>
      <c r="L10" s="1348">
        <f>SUM(L11:L21)</f>
        <v>138421.43</v>
      </c>
      <c r="M10" s="1349">
        <f>SUM(M11:M16)</f>
        <v>0</v>
      </c>
      <c r="N10" s="1349">
        <f>SUM(N11:N16)</f>
        <v>0</v>
      </c>
      <c r="O10" s="1349">
        <f t="shared" ref="O10:R10" si="3">SUM(O11:O16)</f>
        <v>0</v>
      </c>
      <c r="P10" s="1349">
        <f t="shared" si="3"/>
        <v>0</v>
      </c>
      <c r="Q10" s="1349">
        <f t="shared" si="3"/>
        <v>0</v>
      </c>
      <c r="R10" s="1349">
        <f t="shared" si="3"/>
        <v>0</v>
      </c>
      <c r="S10" s="1350">
        <f t="shared" ref="S10:S17" si="4">M10+N10+O10+P10+R10</f>
        <v>0</v>
      </c>
      <c r="T10" s="1351">
        <v>0</v>
      </c>
      <c r="U10" s="1352">
        <v>0</v>
      </c>
      <c r="V10" s="1353">
        <v>0</v>
      </c>
      <c r="W10" s="1354">
        <f t="shared" ref="W10:W73" si="5">+U10+V10</f>
        <v>0</v>
      </c>
      <c r="X10" s="1353"/>
      <c r="Y10" s="1355"/>
      <c r="Z10" s="1349"/>
      <c r="AA10" s="1356"/>
      <c r="AB10" s="1353"/>
      <c r="AC10" s="1349"/>
      <c r="AD10" s="1357"/>
      <c r="AE10" s="1355"/>
      <c r="AF10" s="1349"/>
      <c r="AG10" s="1357"/>
      <c r="AH10" s="1358">
        <f t="shared" si="1"/>
        <v>353876.86</v>
      </c>
      <c r="AI10" s="1338"/>
    </row>
    <row r="11" spans="1:35" s="1377" customFormat="1" ht="18" customHeight="1" x14ac:dyDescent="0.2">
      <c r="A11" s="1359" t="s">
        <v>124</v>
      </c>
      <c r="B11" s="1360" t="s">
        <v>125</v>
      </c>
      <c r="C11" s="1361">
        <f>'PLLA MUNICIPAL LEY SAL'!AH18</f>
        <v>51600</v>
      </c>
      <c r="D11" s="1362">
        <f>'PLLA MUNICIPAL LEY SAL'!AH25</f>
        <v>39200</v>
      </c>
      <c r="E11" s="1362">
        <f>'PLLA MUNICIPAL LEY SAL'!AH56</f>
        <v>23464.260000000002</v>
      </c>
      <c r="F11" s="1363">
        <f>'PLLA MUNICIPAL LEY SAL'!AH76</f>
        <v>52502.879999999997</v>
      </c>
      <c r="G11" s="1364">
        <f t="shared" ref="G11:G16" si="6">SUM(C11:F11)</f>
        <v>166767.14000000001</v>
      </c>
      <c r="H11" s="1365">
        <f>'PLLA MUNICIPAL LEY SAL'!W18</f>
        <v>25800</v>
      </c>
      <c r="I11" s="1366">
        <f>'PLLA MUNICIPAL LEY SAL'!W25</f>
        <v>19600</v>
      </c>
      <c r="J11" s="1367">
        <f>'PLLA MUNICIPAL LEY SAL'!W56</f>
        <v>7821.42</v>
      </c>
      <c r="K11" s="1366">
        <f>'PLLA MUNICIPAL LEY SAL'!W76</f>
        <v>26251.439999999999</v>
      </c>
      <c r="L11" s="1368">
        <f>SUM(H11:K11)</f>
        <v>79472.86</v>
      </c>
      <c r="M11" s="1369">
        <v>0</v>
      </c>
      <c r="N11" s="1370">
        <v>0</v>
      </c>
      <c r="O11" s="1370">
        <v>0</v>
      </c>
      <c r="P11" s="1370">
        <v>0</v>
      </c>
      <c r="Q11" s="1370">
        <v>0</v>
      </c>
      <c r="R11" s="1370">
        <v>0</v>
      </c>
      <c r="S11" s="1371">
        <f t="shared" si="4"/>
        <v>0</v>
      </c>
      <c r="T11" s="1372">
        <v>0</v>
      </c>
      <c r="U11" s="1373">
        <v>0</v>
      </c>
      <c r="V11" s="1369">
        <v>0</v>
      </c>
      <c r="W11" s="1374">
        <f t="shared" si="5"/>
        <v>0</v>
      </c>
      <c r="X11" s="1369"/>
      <c r="Y11" s="1375"/>
      <c r="Z11" s="1370"/>
      <c r="AA11" s="1356"/>
      <c r="AB11" s="1369"/>
      <c r="AC11" s="1370"/>
      <c r="AD11" s="1357"/>
      <c r="AE11" s="1375"/>
      <c r="AF11" s="1370"/>
      <c r="AG11" s="1357"/>
      <c r="AH11" s="1376">
        <f t="shared" si="1"/>
        <v>246240</v>
      </c>
      <c r="AI11" s="1243"/>
    </row>
    <row r="12" spans="1:35" s="1339" customFormat="1" ht="18" hidden="1" customHeight="1" x14ac:dyDescent="0.2">
      <c r="A12" s="1378">
        <v>51102</v>
      </c>
      <c r="B12" s="1379" t="s">
        <v>126</v>
      </c>
      <c r="C12" s="1380"/>
      <c r="D12" s="1362"/>
      <c r="E12" s="1362"/>
      <c r="F12" s="1362"/>
      <c r="G12" s="1364">
        <f t="shared" si="6"/>
        <v>0</v>
      </c>
      <c r="H12" s="1381">
        <v>0</v>
      </c>
      <c r="I12" s="1366">
        <v>0</v>
      </c>
      <c r="J12" s="1366">
        <v>0</v>
      </c>
      <c r="K12" s="1366">
        <v>0</v>
      </c>
      <c r="L12" s="1368">
        <f t="shared" ref="L12:L23" si="7">SUM(H12:K12)</f>
        <v>0</v>
      </c>
      <c r="M12" s="1369">
        <v>0</v>
      </c>
      <c r="N12" s="1370">
        <v>0</v>
      </c>
      <c r="O12" s="1370">
        <v>0</v>
      </c>
      <c r="P12" s="1370">
        <v>0</v>
      </c>
      <c r="Q12" s="1370">
        <v>0</v>
      </c>
      <c r="R12" s="1370">
        <v>0</v>
      </c>
      <c r="S12" s="1371">
        <f t="shared" si="4"/>
        <v>0</v>
      </c>
      <c r="T12" s="1372">
        <v>0</v>
      </c>
      <c r="U12" s="1373">
        <v>0</v>
      </c>
      <c r="V12" s="1369">
        <v>0</v>
      </c>
      <c r="W12" s="1374">
        <f t="shared" si="5"/>
        <v>0</v>
      </c>
      <c r="X12" s="1369"/>
      <c r="Y12" s="1375"/>
      <c r="Z12" s="1370"/>
      <c r="AA12" s="1356"/>
      <c r="AB12" s="1369"/>
      <c r="AC12" s="1370"/>
      <c r="AD12" s="1357"/>
      <c r="AE12" s="1375"/>
      <c r="AF12" s="1370"/>
      <c r="AG12" s="1357"/>
      <c r="AH12" s="1376">
        <f t="shared" si="1"/>
        <v>0</v>
      </c>
      <c r="AI12" s="1338"/>
    </row>
    <row r="13" spans="1:35" s="1377" customFormat="1" ht="18" customHeight="1" x14ac:dyDescent="0.2">
      <c r="A13" s="1378">
        <v>51103</v>
      </c>
      <c r="B13" s="1360" t="s">
        <v>127</v>
      </c>
      <c r="C13" s="1361">
        <v>0</v>
      </c>
      <c r="D13" s="1362">
        <v>0</v>
      </c>
      <c r="E13" s="1362">
        <v>0</v>
      </c>
      <c r="F13" s="1362">
        <v>0</v>
      </c>
      <c r="G13" s="1364">
        <f t="shared" si="6"/>
        <v>0</v>
      </c>
      <c r="H13" s="1382">
        <f>'PLLA MUNICIPAL LEY SAL'!L18</f>
        <v>6450</v>
      </c>
      <c r="I13" s="1366">
        <f>'PLLA MUNICIPAL LEY SAL'!L25</f>
        <v>4900</v>
      </c>
      <c r="J13" s="1366">
        <f>'PLLA MUNICIPAL LEY SAL'!L56</f>
        <v>2607.14</v>
      </c>
      <c r="K13" s="1366">
        <f>'PLLA MUNICIPAL LEY SAL'!L76</f>
        <v>6562.86</v>
      </c>
      <c r="L13" s="1368">
        <f t="shared" si="7"/>
        <v>20520</v>
      </c>
      <c r="M13" s="1369">
        <v>0</v>
      </c>
      <c r="N13" s="1370">
        <v>0</v>
      </c>
      <c r="O13" s="1370">
        <v>0</v>
      </c>
      <c r="P13" s="1370">
        <v>0</v>
      </c>
      <c r="Q13" s="1370">
        <v>0</v>
      </c>
      <c r="R13" s="1370">
        <v>0</v>
      </c>
      <c r="S13" s="1371">
        <f t="shared" si="4"/>
        <v>0</v>
      </c>
      <c r="T13" s="1372">
        <v>0</v>
      </c>
      <c r="U13" s="1373">
        <v>0</v>
      </c>
      <c r="V13" s="1369">
        <v>0</v>
      </c>
      <c r="W13" s="1374">
        <f t="shared" si="5"/>
        <v>0</v>
      </c>
      <c r="X13" s="1369"/>
      <c r="Y13" s="1375"/>
      <c r="Z13" s="1370"/>
      <c r="AA13" s="1356"/>
      <c r="AB13" s="1369"/>
      <c r="AC13" s="1370"/>
      <c r="AD13" s="1357"/>
      <c r="AE13" s="1375"/>
      <c r="AF13" s="1370"/>
      <c r="AG13" s="1357"/>
      <c r="AH13" s="1376">
        <f t="shared" si="1"/>
        <v>20520</v>
      </c>
      <c r="AI13" s="1243"/>
    </row>
    <row r="14" spans="1:35" s="1339" customFormat="1" ht="18" hidden="1" customHeight="1" x14ac:dyDescent="0.2">
      <c r="A14" s="1378">
        <v>51104</v>
      </c>
      <c r="B14" s="1360" t="s">
        <v>128</v>
      </c>
      <c r="C14" s="1383"/>
      <c r="D14" s="1362"/>
      <c r="E14" s="1362"/>
      <c r="F14" s="1362"/>
      <c r="G14" s="1384">
        <f t="shared" si="6"/>
        <v>0</v>
      </c>
      <c r="H14" s="1382"/>
      <c r="I14" s="1366"/>
      <c r="J14" s="1366"/>
      <c r="K14" s="1366"/>
      <c r="L14" s="1368">
        <f t="shared" si="7"/>
        <v>0</v>
      </c>
      <c r="M14" s="1369">
        <v>0</v>
      </c>
      <c r="N14" s="1349">
        <v>0</v>
      </c>
      <c r="O14" s="1349">
        <v>0</v>
      </c>
      <c r="P14" s="1349">
        <v>0</v>
      </c>
      <c r="Q14" s="1349">
        <v>0</v>
      </c>
      <c r="R14" s="1349">
        <v>0</v>
      </c>
      <c r="S14" s="1371">
        <f t="shared" si="4"/>
        <v>0</v>
      </c>
      <c r="T14" s="1351">
        <v>0</v>
      </c>
      <c r="U14" s="1352">
        <v>0</v>
      </c>
      <c r="V14" s="1353">
        <v>0</v>
      </c>
      <c r="W14" s="1374">
        <f t="shared" si="5"/>
        <v>0</v>
      </c>
      <c r="X14" s="1353"/>
      <c r="Y14" s="1375"/>
      <c r="Z14" s="1370"/>
      <c r="AA14" s="1356"/>
      <c r="AB14" s="1369"/>
      <c r="AC14" s="1370"/>
      <c r="AD14" s="1357"/>
      <c r="AE14" s="1375"/>
      <c r="AF14" s="1370"/>
      <c r="AG14" s="1357"/>
      <c r="AH14" s="1376">
        <f t="shared" si="1"/>
        <v>0</v>
      </c>
      <c r="AI14" s="1338"/>
    </row>
    <row r="15" spans="1:35" s="1377" customFormat="1" ht="18" customHeight="1" x14ac:dyDescent="0.2">
      <c r="A15" s="1359" t="s">
        <v>129</v>
      </c>
      <c r="B15" s="1360" t="s">
        <v>130</v>
      </c>
      <c r="C15" s="1383">
        <f>+'PLLA DIETAS'!E20/2</f>
        <v>36000</v>
      </c>
      <c r="D15" s="1362">
        <v>0</v>
      </c>
      <c r="E15" s="1362">
        <v>0</v>
      </c>
      <c r="F15" s="1362">
        <v>0</v>
      </c>
      <c r="G15" s="1384">
        <f t="shared" si="6"/>
        <v>36000</v>
      </c>
      <c r="H15" s="1382">
        <f>'AG1'!C18</f>
        <v>36000</v>
      </c>
      <c r="I15" s="1366">
        <v>0</v>
      </c>
      <c r="J15" s="1366">
        <v>0</v>
      </c>
      <c r="K15" s="1366">
        <v>0</v>
      </c>
      <c r="L15" s="1368">
        <f t="shared" si="7"/>
        <v>36000</v>
      </c>
      <c r="M15" s="1369">
        <v>0</v>
      </c>
      <c r="N15" s="1370">
        <v>0</v>
      </c>
      <c r="O15" s="1370">
        <v>0</v>
      </c>
      <c r="P15" s="1370">
        <v>0</v>
      </c>
      <c r="Q15" s="1370">
        <v>0</v>
      </c>
      <c r="R15" s="1370">
        <v>0</v>
      </c>
      <c r="S15" s="1371">
        <f t="shared" si="4"/>
        <v>0</v>
      </c>
      <c r="T15" s="1372">
        <v>0</v>
      </c>
      <c r="U15" s="1373">
        <v>0</v>
      </c>
      <c r="V15" s="1369">
        <v>0</v>
      </c>
      <c r="W15" s="1374">
        <f t="shared" si="5"/>
        <v>0</v>
      </c>
      <c r="X15" s="1369"/>
      <c r="Y15" s="1375"/>
      <c r="Z15" s="1370"/>
      <c r="AA15" s="1356"/>
      <c r="AB15" s="1369"/>
      <c r="AC15" s="1370"/>
      <c r="AD15" s="1357"/>
      <c r="AE15" s="1375"/>
      <c r="AF15" s="1370"/>
      <c r="AG15" s="1357"/>
      <c r="AH15" s="1376">
        <f t="shared" si="1"/>
        <v>72000</v>
      </c>
      <c r="AI15" s="1243"/>
    </row>
    <row r="16" spans="1:35" s="1339" customFormat="1" ht="18" customHeight="1" x14ac:dyDescent="0.2">
      <c r="A16" s="1359" t="s">
        <v>131</v>
      </c>
      <c r="B16" s="1360" t="s">
        <v>132</v>
      </c>
      <c r="C16" s="1383">
        <f>'PLLA MUNICIPAL LEY SAL'!J18+'PLLA DIETAS'!D19</f>
        <v>6700</v>
      </c>
      <c r="D16" s="1362">
        <f>'PLLA MUNICIPAL LEY SAL'!J25</f>
        <v>600</v>
      </c>
      <c r="E16" s="1362">
        <f>'PLLA MUNICIPAL LEY SAL'!J56</f>
        <v>700</v>
      </c>
      <c r="F16" s="1362">
        <f>'PLLA MUNICIPAL LEY SAL'!AI76+'PLLA MUNICIPAL LEY SAL'!AJ76+68*3</f>
        <v>4688.29</v>
      </c>
      <c r="G16" s="1384">
        <f t="shared" si="6"/>
        <v>12688.29</v>
      </c>
      <c r="H16" s="1382">
        <f>'PLLA MUNICIPAL LEY SAL'!X18+'PLLA MUNICIPAL LEY SAL'!Y18</f>
        <v>0</v>
      </c>
      <c r="I16" s="1366">
        <f>'PLLA MUNICIPAL LEY SAL'!X25+'PLLA MUNICIPAL LEY SAL'!Y25</f>
        <v>0</v>
      </c>
      <c r="J16" s="1366">
        <f>'PLLA MUNICIPAL LEY SAL'!X56+'PLLA MUNICIPAL LEY SAL'!Y56</f>
        <v>0</v>
      </c>
      <c r="K16" s="1362">
        <f>'PLLA MUNICIPAL LEY SAL'!X79+'PLLA MUNICIPAL LEY SAL'!Y79</f>
        <v>2428.5699999999997</v>
      </c>
      <c r="L16" s="1368">
        <f>SUM(H16:K16)</f>
        <v>2428.5699999999997</v>
      </c>
      <c r="M16" s="1369">
        <v>0</v>
      </c>
      <c r="N16" s="1349">
        <v>0</v>
      </c>
      <c r="O16" s="1370">
        <v>0</v>
      </c>
      <c r="P16" s="1370">
        <v>0</v>
      </c>
      <c r="Q16" s="1370">
        <v>0</v>
      </c>
      <c r="R16" s="1370">
        <v>0</v>
      </c>
      <c r="S16" s="1371">
        <f t="shared" si="4"/>
        <v>0</v>
      </c>
      <c r="T16" s="1372">
        <v>0</v>
      </c>
      <c r="U16" s="1373">
        <v>0</v>
      </c>
      <c r="V16" s="1369">
        <v>0</v>
      </c>
      <c r="W16" s="1374">
        <f t="shared" si="5"/>
        <v>0</v>
      </c>
      <c r="X16" s="1353"/>
      <c r="Y16" s="1375"/>
      <c r="Z16" s="1370"/>
      <c r="AA16" s="1356"/>
      <c r="AB16" s="1369"/>
      <c r="AC16" s="1370"/>
      <c r="AD16" s="1357"/>
      <c r="AE16" s="1375"/>
      <c r="AF16" s="1370"/>
      <c r="AG16" s="1357"/>
      <c r="AH16" s="1376">
        <f t="shared" si="1"/>
        <v>15116.86</v>
      </c>
      <c r="AI16" s="1338"/>
    </row>
    <row r="17" spans="1:35" s="1377" customFormat="1" ht="18" hidden="1" customHeight="1" x14ac:dyDescent="0.2">
      <c r="A17" s="1385" t="s">
        <v>133</v>
      </c>
      <c r="B17" s="1386" t="s">
        <v>134</v>
      </c>
      <c r="C17" s="1342">
        <f t="shared" ref="C17:K17" si="8">SUM(C18:C21)</f>
        <v>0</v>
      </c>
      <c r="D17" s="1387">
        <f t="shared" si="8"/>
        <v>0</v>
      </c>
      <c r="E17" s="1387">
        <f t="shared" si="8"/>
        <v>0</v>
      </c>
      <c r="F17" s="1387">
        <f t="shared" si="8"/>
        <v>0</v>
      </c>
      <c r="G17" s="1388">
        <f t="shared" si="8"/>
        <v>0</v>
      </c>
      <c r="H17" s="1381">
        <f t="shared" si="8"/>
        <v>0</v>
      </c>
      <c r="I17" s="1346">
        <f t="shared" si="8"/>
        <v>0</v>
      </c>
      <c r="J17" s="1346">
        <f t="shared" si="8"/>
        <v>0</v>
      </c>
      <c r="K17" s="1346">
        <f t="shared" si="8"/>
        <v>0</v>
      </c>
      <c r="L17" s="1368">
        <f t="shared" si="7"/>
        <v>0</v>
      </c>
      <c r="M17" s="1353">
        <f>M19</f>
        <v>0</v>
      </c>
      <c r="N17" s="1353">
        <f t="shared" ref="N17:R17" si="9">N19</f>
        <v>0</v>
      </c>
      <c r="O17" s="1353">
        <f t="shared" si="9"/>
        <v>0</v>
      </c>
      <c r="P17" s="1353">
        <f t="shared" si="9"/>
        <v>0</v>
      </c>
      <c r="Q17" s="1353">
        <f t="shared" si="9"/>
        <v>0</v>
      </c>
      <c r="R17" s="1353">
        <f t="shared" si="9"/>
        <v>0</v>
      </c>
      <c r="S17" s="1350">
        <f t="shared" si="4"/>
        <v>0</v>
      </c>
      <c r="T17" s="1372">
        <v>0</v>
      </c>
      <c r="U17" s="1373">
        <v>0</v>
      </c>
      <c r="V17" s="1369">
        <v>0</v>
      </c>
      <c r="W17" s="1354">
        <f t="shared" si="5"/>
        <v>0</v>
      </c>
      <c r="X17" s="1369"/>
      <c r="Y17" s="1375"/>
      <c r="Z17" s="1370"/>
      <c r="AA17" s="1356"/>
      <c r="AB17" s="1369"/>
      <c r="AC17" s="1370"/>
      <c r="AD17" s="1357"/>
      <c r="AE17" s="1375"/>
      <c r="AF17" s="1370"/>
      <c r="AG17" s="1357"/>
      <c r="AH17" s="1358">
        <f t="shared" si="1"/>
        <v>0</v>
      </c>
      <c r="AI17" s="1243"/>
    </row>
    <row r="18" spans="1:35" s="1377" customFormat="1" ht="18" hidden="1" customHeight="1" x14ac:dyDescent="0.2">
      <c r="A18" s="1359" t="s">
        <v>135</v>
      </c>
      <c r="B18" s="1360" t="s">
        <v>125</v>
      </c>
      <c r="C18" s="1383"/>
      <c r="D18" s="1362"/>
      <c r="E18" s="1362"/>
      <c r="F18" s="1362"/>
      <c r="G18" s="1384">
        <f>SUM(C18:F18)</f>
        <v>0</v>
      </c>
      <c r="H18" s="1382"/>
      <c r="I18" s="1366"/>
      <c r="J18" s="1366"/>
      <c r="K18" s="1366"/>
      <c r="L18" s="1368">
        <f t="shared" si="7"/>
        <v>0</v>
      </c>
      <c r="M18" s="1369">
        <v>0</v>
      </c>
      <c r="N18" s="1370">
        <v>0</v>
      </c>
      <c r="O18" s="1370">
        <v>0</v>
      </c>
      <c r="P18" s="1370">
        <v>0</v>
      </c>
      <c r="Q18" s="1370">
        <v>0</v>
      </c>
      <c r="R18" s="1370">
        <v>0</v>
      </c>
      <c r="S18" s="1371">
        <f>M18+N18+O18+P18</f>
        <v>0</v>
      </c>
      <c r="T18" s="1372">
        <v>0</v>
      </c>
      <c r="U18" s="1373">
        <v>0</v>
      </c>
      <c r="V18" s="1369">
        <v>0</v>
      </c>
      <c r="W18" s="1354">
        <f t="shared" si="5"/>
        <v>0</v>
      </c>
      <c r="X18" s="1369"/>
      <c r="Y18" s="1375"/>
      <c r="Z18" s="1370"/>
      <c r="AA18" s="1356"/>
      <c r="AB18" s="1369"/>
      <c r="AC18" s="1370"/>
      <c r="AD18" s="1357"/>
      <c r="AE18" s="1375"/>
      <c r="AF18" s="1370"/>
      <c r="AG18" s="1357"/>
      <c r="AH18" s="1358">
        <f t="shared" si="1"/>
        <v>0</v>
      </c>
      <c r="AI18" s="1243"/>
    </row>
    <row r="19" spans="1:35" s="1377" customFormat="1" ht="18" hidden="1" customHeight="1" x14ac:dyDescent="0.2">
      <c r="A19" s="1378">
        <v>51202</v>
      </c>
      <c r="B19" s="1379" t="s">
        <v>126</v>
      </c>
      <c r="C19" s="1383">
        <v>0</v>
      </c>
      <c r="D19" s="1362">
        <v>0</v>
      </c>
      <c r="E19" s="1362">
        <v>0</v>
      </c>
      <c r="F19" s="1362">
        <v>0</v>
      </c>
      <c r="G19" s="1384">
        <v>0</v>
      </c>
      <c r="H19" s="1382">
        <v>0</v>
      </c>
      <c r="I19" s="1366">
        <v>0</v>
      </c>
      <c r="J19" s="1366">
        <v>0</v>
      </c>
      <c r="K19" s="1366">
        <v>0</v>
      </c>
      <c r="L19" s="1368">
        <f t="shared" si="7"/>
        <v>0</v>
      </c>
      <c r="M19" s="1369">
        <v>0</v>
      </c>
      <c r="N19" s="1370">
        <v>0</v>
      </c>
      <c r="O19" s="1370">
        <v>0</v>
      </c>
      <c r="P19" s="1370">
        <v>0</v>
      </c>
      <c r="Q19" s="1370">
        <v>0</v>
      </c>
      <c r="R19" s="1370">
        <v>0</v>
      </c>
      <c r="S19" s="1371">
        <f>M19+N19+O19+P19+R19</f>
        <v>0</v>
      </c>
      <c r="T19" s="1372">
        <v>0</v>
      </c>
      <c r="U19" s="1373">
        <v>0</v>
      </c>
      <c r="V19" s="1369">
        <v>0</v>
      </c>
      <c r="W19" s="1374">
        <f t="shared" si="5"/>
        <v>0</v>
      </c>
      <c r="X19" s="1369"/>
      <c r="Y19" s="1375"/>
      <c r="Z19" s="1370"/>
      <c r="AA19" s="1356"/>
      <c r="AB19" s="1369"/>
      <c r="AC19" s="1370"/>
      <c r="AD19" s="1357"/>
      <c r="AE19" s="1375"/>
      <c r="AF19" s="1370"/>
      <c r="AG19" s="1357"/>
      <c r="AH19" s="1376">
        <f t="shared" si="1"/>
        <v>0</v>
      </c>
      <c r="AI19" s="1243"/>
    </row>
    <row r="20" spans="1:35" s="1339" customFormat="1" ht="18" hidden="1" customHeight="1" x14ac:dyDescent="0.2">
      <c r="A20" s="1359" t="s">
        <v>137</v>
      </c>
      <c r="B20" s="1360" t="s">
        <v>127</v>
      </c>
      <c r="C20" s="1383"/>
      <c r="D20" s="1362"/>
      <c r="E20" s="1362"/>
      <c r="F20" s="1362"/>
      <c r="G20" s="1384"/>
      <c r="H20" s="1382"/>
      <c r="I20" s="1366"/>
      <c r="J20" s="1366"/>
      <c r="K20" s="1366"/>
      <c r="L20" s="1368">
        <f t="shared" si="7"/>
        <v>0</v>
      </c>
      <c r="M20" s="1353">
        <v>0</v>
      </c>
      <c r="N20" s="1349">
        <v>0</v>
      </c>
      <c r="O20" s="1349">
        <v>0</v>
      </c>
      <c r="P20" s="1349">
        <v>0</v>
      </c>
      <c r="Q20" s="1349">
        <v>0</v>
      </c>
      <c r="R20" s="1349">
        <v>0</v>
      </c>
      <c r="S20" s="1371">
        <f>M20+N20+O20+P20</f>
        <v>0</v>
      </c>
      <c r="T20" s="1351">
        <v>0</v>
      </c>
      <c r="U20" s="1352">
        <v>0</v>
      </c>
      <c r="V20" s="1353">
        <v>0</v>
      </c>
      <c r="W20" s="1354">
        <f t="shared" si="5"/>
        <v>0</v>
      </c>
      <c r="X20" s="1353"/>
      <c r="Y20" s="1375"/>
      <c r="Z20" s="1370"/>
      <c r="AA20" s="1356"/>
      <c r="AB20" s="1369"/>
      <c r="AC20" s="1370"/>
      <c r="AD20" s="1357"/>
      <c r="AE20" s="1375"/>
      <c r="AF20" s="1370"/>
      <c r="AG20" s="1357"/>
      <c r="AH20" s="1358">
        <f t="shared" si="1"/>
        <v>0</v>
      </c>
      <c r="AI20" s="1338"/>
    </row>
    <row r="21" spans="1:35" s="1339" customFormat="1" ht="18" hidden="1" customHeight="1" x14ac:dyDescent="0.2">
      <c r="A21" s="1359" t="s">
        <v>138</v>
      </c>
      <c r="B21" s="1360" t="s">
        <v>132</v>
      </c>
      <c r="C21" s="1383"/>
      <c r="D21" s="1362"/>
      <c r="E21" s="1362"/>
      <c r="F21" s="1362"/>
      <c r="G21" s="1384"/>
      <c r="H21" s="1382"/>
      <c r="I21" s="1366"/>
      <c r="J21" s="1366"/>
      <c r="K21" s="1366"/>
      <c r="L21" s="1368">
        <f t="shared" si="7"/>
        <v>0</v>
      </c>
      <c r="M21" s="1353">
        <v>0</v>
      </c>
      <c r="N21" s="1349">
        <v>0</v>
      </c>
      <c r="O21" s="1349">
        <v>0</v>
      </c>
      <c r="P21" s="1349">
        <v>0</v>
      </c>
      <c r="Q21" s="1349">
        <v>0</v>
      </c>
      <c r="R21" s="1349">
        <v>0</v>
      </c>
      <c r="S21" s="1371">
        <f>M21+N21+O21+P21</f>
        <v>0</v>
      </c>
      <c r="T21" s="1351">
        <v>0</v>
      </c>
      <c r="U21" s="1352">
        <v>0</v>
      </c>
      <c r="V21" s="1353">
        <v>0</v>
      </c>
      <c r="W21" s="1354">
        <f t="shared" si="5"/>
        <v>0</v>
      </c>
      <c r="X21" s="1353"/>
      <c r="Y21" s="1375"/>
      <c r="Z21" s="1370"/>
      <c r="AA21" s="1356"/>
      <c r="AB21" s="1369"/>
      <c r="AC21" s="1370"/>
      <c r="AD21" s="1357"/>
      <c r="AE21" s="1375"/>
      <c r="AF21" s="1370"/>
      <c r="AG21" s="1357"/>
      <c r="AH21" s="1358">
        <f t="shared" si="1"/>
        <v>0</v>
      </c>
      <c r="AI21" s="1338"/>
    </row>
    <row r="22" spans="1:35" s="1377" customFormat="1" ht="18" customHeight="1" x14ac:dyDescent="0.2">
      <c r="A22" s="1385" t="s">
        <v>139</v>
      </c>
      <c r="B22" s="1386" t="s">
        <v>140</v>
      </c>
      <c r="C22" s="1342">
        <f t="shared" ref="C22:K22" si="10">SUM(C23:C24)</f>
        <v>0</v>
      </c>
      <c r="D22" s="1387">
        <f t="shared" si="10"/>
        <v>0</v>
      </c>
      <c r="E22" s="1387">
        <f t="shared" si="10"/>
        <v>0</v>
      </c>
      <c r="F22" s="1387">
        <f t="shared" si="10"/>
        <v>0</v>
      </c>
      <c r="G22" s="1388">
        <f>SUM(G23:G24)</f>
        <v>0</v>
      </c>
      <c r="H22" s="1381">
        <f t="shared" si="10"/>
        <v>0</v>
      </c>
      <c r="I22" s="1346">
        <f t="shared" si="10"/>
        <v>0</v>
      </c>
      <c r="J22" s="1346">
        <f t="shared" si="10"/>
        <v>0</v>
      </c>
      <c r="K22" s="1346">
        <f t="shared" si="10"/>
        <v>200</v>
      </c>
      <c r="L22" s="1348">
        <f t="shared" si="7"/>
        <v>200</v>
      </c>
      <c r="M22" s="1369">
        <v>0</v>
      </c>
      <c r="N22" s="1370">
        <v>0</v>
      </c>
      <c r="O22" s="1370">
        <v>0</v>
      </c>
      <c r="P22" s="1370">
        <v>0</v>
      </c>
      <c r="Q22" s="1370">
        <v>0</v>
      </c>
      <c r="R22" s="1370">
        <v>0</v>
      </c>
      <c r="S22" s="1350">
        <f>M22+N22+O22+P22</f>
        <v>0</v>
      </c>
      <c r="T22" s="1372">
        <v>0</v>
      </c>
      <c r="U22" s="1373">
        <v>0</v>
      </c>
      <c r="V22" s="1369">
        <v>0</v>
      </c>
      <c r="W22" s="1354">
        <f t="shared" si="5"/>
        <v>0</v>
      </c>
      <c r="X22" s="1369"/>
      <c r="Y22" s="1375"/>
      <c r="Z22" s="1370"/>
      <c r="AA22" s="1356"/>
      <c r="AB22" s="1369"/>
      <c r="AC22" s="1370"/>
      <c r="AD22" s="1357"/>
      <c r="AE22" s="1375"/>
      <c r="AF22" s="1370"/>
      <c r="AG22" s="1357"/>
      <c r="AH22" s="1358">
        <f t="shared" si="1"/>
        <v>200</v>
      </c>
      <c r="AI22" s="1243"/>
    </row>
    <row r="23" spans="1:35" s="1377" customFormat="1" ht="18" customHeight="1" x14ac:dyDescent="0.2">
      <c r="A23" s="1378">
        <v>51301</v>
      </c>
      <c r="B23" s="1379" t="s">
        <v>141</v>
      </c>
      <c r="C23" s="1383">
        <v>0</v>
      </c>
      <c r="D23" s="1362">
        <v>0</v>
      </c>
      <c r="E23" s="1362">
        <v>0</v>
      </c>
      <c r="F23" s="1362">
        <f>'AG1'!D26</f>
        <v>0</v>
      </c>
      <c r="G23" s="1384">
        <f>C23+D23+E23+F23</f>
        <v>0</v>
      </c>
      <c r="H23" s="1382">
        <v>0</v>
      </c>
      <c r="I23" s="1366">
        <v>0</v>
      </c>
      <c r="J23" s="1366">
        <v>0</v>
      </c>
      <c r="K23" s="1366">
        <f>'AG1'!C26</f>
        <v>200</v>
      </c>
      <c r="L23" s="1368">
        <f t="shared" si="7"/>
        <v>200</v>
      </c>
      <c r="M23" s="1369">
        <v>0</v>
      </c>
      <c r="N23" s="1370">
        <v>0</v>
      </c>
      <c r="O23" s="1370">
        <v>0</v>
      </c>
      <c r="P23" s="1370">
        <v>0</v>
      </c>
      <c r="Q23" s="1370">
        <v>0</v>
      </c>
      <c r="R23" s="1370">
        <v>0</v>
      </c>
      <c r="S23" s="1371">
        <f>M23+N23+O23+P23+R23</f>
        <v>0</v>
      </c>
      <c r="T23" s="1372">
        <v>0</v>
      </c>
      <c r="U23" s="1373">
        <v>0</v>
      </c>
      <c r="V23" s="1369">
        <v>0</v>
      </c>
      <c r="W23" s="1374">
        <f t="shared" si="5"/>
        <v>0</v>
      </c>
      <c r="X23" s="1369"/>
      <c r="Y23" s="1375"/>
      <c r="Z23" s="1370"/>
      <c r="AA23" s="1356"/>
      <c r="AB23" s="1369"/>
      <c r="AC23" s="1370"/>
      <c r="AD23" s="1357"/>
      <c r="AE23" s="1375"/>
      <c r="AF23" s="1370"/>
      <c r="AG23" s="1357"/>
      <c r="AH23" s="1376">
        <f t="shared" si="1"/>
        <v>200</v>
      </c>
      <c r="AI23" s="1243"/>
    </row>
    <row r="24" spans="1:35" s="1339" customFormat="1" ht="18" hidden="1" customHeight="1" x14ac:dyDescent="0.2">
      <c r="A24" s="1378">
        <v>51302</v>
      </c>
      <c r="B24" s="1379" t="s">
        <v>142</v>
      </c>
      <c r="C24" s="1383"/>
      <c r="D24" s="1362"/>
      <c r="E24" s="1362"/>
      <c r="F24" s="1362"/>
      <c r="G24" s="1384"/>
      <c r="H24" s="1382"/>
      <c r="I24" s="1366"/>
      <c r="J24" s="1366"/>
      <c r="K24" s="1366"/>
      <c r="L24" s="1368"/>
      <c r="M24" s="1369">
        <v>0</v>
      </c>
      <c r="N24" s="1370">
        <v>0</v>
      </c>
      <c r="O24" s="1370">
        <v>0</v>
      </c>
      <c r="P24" s="1370">
        <v>0</v>
      </c>
      <c r="Q24" s="1370">
        <v>0</v>
      </c>
      <c r="R24" s="1370">
        <v>0</v>
      </c>
      <c r="S24" s="1371">
        <f>M24+N24+O24+P24</f>
        <v>0</v>
      </c>
      <c r="T24" s="1372">
        <v>0</v>
      </c>
      <c r="U24" s="1373">
        <v>0</v>
      </c>
      <c r="V24" s="1369">
        <v>0</v>
      </c>
      <c r="W24" s="1374">
        <f t="shared" si="5"/>
        <v>0</v>
      </c>
      <c r="X24" s="1369"/>
      <c r="Y24" s="1375"/>
      <c r="Z24" s="1370"/>
      <c r="AA24" s="1356"/>
      <c r="AB24" s="1369"/>
      <c r="AC24" s="1370"/>
      <c r="AD24" s="1357"/>
      <c r="AE24" s="1375"/>
      <c r="AF24" s="1370"/>
      <c r="AG24" s="1357"/>
      <c r="AH24" s="1358">
        <f t="shared" si="1"/>
        <v>0</v>
      </c>
      <c r="AI24" s="1338"/>
    </row>
    <row r="25" spans="1:35" s="1377" customFormat="1" ht="18" customHeight="1" x14ac:dyDescent="0.2">
      <c r="A25" s="1340">
        <v>514</v>
      </c>
      <c r="B25" s="1389" t="s">
        <v>143</v>
      </c>
      <c r="C25" s="1342">
        <f t="shared" ref="C25:L25" si="11">SUM(C26:C27)</f>
        <v>15462.1</v>
      </c>
      <c r="D25" s="1387">
        <f t="shared" si="11"/>
        <v>0</v>
      </c>
      <c r="E25" s="1387">
        <f t="shared" si="11"/>
        <v>0</v>
      </c>
      <c r="F25" s="1387">
        <f t="shared" si="11"/>
        <v>0</v>
      </c>
      <c r="G25" s="1388">
        <f>SUM(G26:G27)</f>
        <v>15462.1</v>
      </c>
      <c r="H25" s="1381">
        <f t="shared" si="11"/>
        <v>8433.6700000000019</v>
      </c>
      <c r="I25" s="1346">
        <f t="shared" si="11"/>
        <v>0</v>
      </c>
      <c r="J25" s="1346">
        <f t="shared" si="11"/>
        <v>0</v>
      </c>
      <c r="K25" s="1346">
        <f t="shared" si="11"/>
        <v>0</v>
      </c>
      <c r="L25" s="1348">
        <f t="shared" si="11"/>
        <v>8433.6700000000019</v>
      </c>
      <c r="M25" s="1369">
        <v>0</v>
      </c>
      <c r="N25" s="1370">
        <v>0</v>
      </c>
      <c r="O25" s="1370">
        <v>0</v>
      </c>
      <c r="P25" s="1370">
        <v>0</v>
      </c>
      <c r="Q25" s="1370">
        <v>0</v>
      </c>
      <c r="R25" s="1370">
        <v>0</v>
      </c>
      <c r="S25" s="1371">
        <f>M25+N25+O25+P25+R25</f>
        <v>0</v>
      </c>
      <c r="T25" s="1372">
        <v>0</v>
      </c>
      <c r="U25" s="1373">
        <v>0</v>
      </c>
      <c r="V25" s="1369">
        <v>0</v>
      </c>
      <c r="W25" s="1354">
        <f t="shared" si="5"/>
        <v>0</v>
      </c>
      <c r="X25" s="1369"/>
      <c r="Y25" s="1375"/>
      <c r="Z25" s="1370"/>
      <c r="AA25" s="1356"/>
      <c r="AB25" s="1369"/>
      <c r="AC25" s="1370"/>
      <c r="AD25" s="1357"/>
      <c r="AE25" s="1375"/>
      <c r="AF25" s="1370"/>
      <c r="AG25" s="1357"/>
      <c r="AH25" s="1358">
        <f t="shared" si="1"/>
        <v>23895.770000000004</v>
      </c>
      <c r="AI25" s="1243"/>
    </row>
    <row r="26" spans="1:35" s="1377" customFormat="1" ht="18" customHeight="1" x14ac:dyDescent="0.2">
      <c r="A26" s="1359" t="s">
        <v>144</v>
      </c>
      <c r="B26" s="1360" t="s">
        <v>145</v>
      </c>
      <c r="C26" s="1383">
        <f>'AG1'!D29</f>
        <v>15462.1</v>
      </c>
      <c r="D26" s="1362">
        <v>0</v>
      </c>
      <c r="E26" s="1362">
        <v>0</v>
      </c>
      <c r="F26" s="1362">
        <v>0</v>
      </c>
      <c r="G26" s="1384">
        <f>C26+D26+E26+F26</f>
        <v>15462.1</v>
      </c>
      <c r="H26" s="1382">
        <f>'AG1'!C29</f>
        <v>8433.6700000000019</v>
      </c>
      <c r="I26" s="1366">
        <v>0</v>
      </c>
      <c r="J26" s="1366">
        <v>0</v>
      </c>
      <c r="K26" s="1366">
        <v>0</v>
      </c>
      <c r="L26" s="1368">
        <f>SUM(H26:K26)</f>
        <v>8433.6700000000019</v>
      </c>
      <c r="M26" s="1369">
        <v>0</v>
      </c>
      <c r="N26" s="1370">
        <v>0</v>
      </c>
      <c r="O26" s="1370">
        <v>0</v>
      </c>
      <c r="P26" s="1370">
        <v>0</v>
      </c>
      <c r="Q26" s="1370">
        <v>0</v>
      </c>
      <c r="R26" s="1370">
        <v>0</v>
      </c>
      <c r="S26" s="1371">
        <f>M26+N26+O26+P26+R26</f>
        <v>0</v>
      </c>
      <c r="T26" s="1372">
        <v>0</v>
      </c>
      <c r="U26" s="1373">
        <v>0</v>
      </c>
      <c r="V26" s="1369">
        <v>0</v>
      </c>
      <c r="W26" s="1374">
        <f t="shared" si="5"/>
        <v>0</v>
      </c>
      <c r="X26" s="1369"/>
      <c r="Y26" s="1375"/>
      <c r="Z26" s="1370"/>
      <c r="AA26" s="1356"/>
      <c r="AB26" s="1369"/>
      <c r="AC26" s="1370"/>
      <c r="AD26" s="1357"/>
      <c r="AE26" s="1375"/>
      <c r="AF26" s="1370"/>
      <c r="AG26" s="1357"/>
      <c r="AH26" s="1376">
        <f t="shared" si="1"/>
        <v>23895.770000000004</v>
      </c>
      <c r="AI26" s="1243"/>
    </row>
    <row r="27" spans="1:35" s="1377" customFormat="1" ht="18" hidden="1" customHeight="1" x14ac:dyDescent="0.2">
      <c r="A27" s="1359" t="s">
        <v>146</v>
      </c>
      <c r="B27" s="1360" t="s">
        <v>147</v>
      </c>
      <c r="C27" s="1383"/>
      <c r="D27" s="1362"/>
      <c r="E27" s="1362"/>
      <c r="F27" s="1362"/>
      <c r="G27" s="1384"/>
      <c r="H27" s="1382"/>
      <c r="I27" s="1366"/>
      <c r="J27" s="1366"/>
      <c r="K27" s="1366"/>
      <c r="L27" s="1368"/>
      <c r="M27" s="1369">
        <v>0</v>
      </c>
      <c r="N27" s="1370">
        <v>0</v>
      </c>
      <c r="O27" s="1370">
        <v>0</v>
      </c>
      <c r="P27" s="1370">
        <v>0</v>
      </c>
      <c r="Q27" s="1370">
        <v>0</v>
      </c>
      <c r="R27" s="1370">
        <v>0</v>
      </c>
      <c r="S27" s="1371">
        <f>M27+N27+O27+P27</f>
        <v>0</v>
      </c>
      <c r="T27" s="1372">
        <v>0</v>
      </c>
      <c r="U27" s="1373">
        <v>0</v>
      </c>
      <c r="V27" s="1369">
        <v>0</v>
      </c>
      <c r="W27" s="1374">
        <f t="shared" si="5"/>
        <v>0</v>
      </c>
      <c r="X27" s="1369"/>
      <c r="Y27" s="1375"/>
      <c r="Z27" s="1370"/>
      <c r="AA27" s="1356"/>
      <c r="AB27" s="1369"/>
      <c r="AC27" s="1370"/>
      <c r="AD27" s="1357"/>
      <c r="AE27" s="1375"/>
      <c r="AF27" s="1370"/>
      <c r="AG27" s="1357"/>
      <c r="AH27" s="1358">
        <f t="shared" si="1"/>
        <v>0</v>
      </c>
      <c r="AI27" s="1243"/>
    </row>
    <row r="28" spans="1:35" s="1339" customFormat="1" ht="18" customHeight="1" x14ac:dyDescent="0.2">
      <c r="A28" s="1340">
        <v>515</v>
      </c>
      <c r="B28" s="1389" t="s">
        <v>148</v>
      </c>
      <c r="C28" s="1342">
        <f t="shared" ref="C28:L28" si="12">SUM(C29:C30)</f>
        <v>12594.47</v>
      </c>
      <c r="D28" s="1387">
        <f t="shared" si="12"/>
        <v>0</v>
      </c>
      <c r="E28" s="1387">
        <f t="shared" si="12"/>
        <v>0</v>
      </c>
      <c r="F28" s="1387">
        <f t="shared" si="12"/>
        <v>0</v>
      </c>
      <c r="G28" s="1388">
        <f t="shared" si="12"/>
        <v>12594.47</v>
      </c>
      <c r="H28" s="1381">
        <f t="shared" si="12"/>
        <v>5994.1299999999992</v>
      </c>
      <c r="I28" s="1346">
        <f t="shared" si="12"/>
        <v>0</v>
      </c>
      <c r="J28" s="1346">
        <f t="shared" si="12"/>
        <v>0</v>
      </c>
      <c r="K28" s="1346">
        <f t="shared" si="12"/>
        <v>0</v>
      </c>
      <c r="L28" s="1348">
        <f t="shared" si="12"/>
        <v>5994.1299999999992</v>
      </c>
      <c r="M28" s="1353">
        <v>0</v>
      </c>
      <c r="N28" s="1349">
        <v>0</v>
      </c>
      <c r="O28" s="1349">
        <v>0</v>
      </c>
      <c r="P28" s="1349">
        <v>0</v>
      </c>
      <c r="Q28" s="1349">
        <v>0</v>
      </c>
      <c r="R28" s="1349">
        <v>0</v>
      </c>
      <c r="S28" s="1371">
        <f>M28+N28+O28+P28+R28</f>
        <v>0</v>
      </c>
      <c r="T28" s="1351">
        <v>0</v>
      </c>
      <c r="U28" s="1352">
        <v>0</v>
      </c>
      <c r="V28" s="1353">
        <v>0</v>
      </c>
      <c r="W28" s="1354">
        <f t="shared" si="5"/>
        <v>0</v>
      </c>
      <c r="X28" s="1353"/>
      <c r="Y28" s="1375"/>
      <c r="Z28" s="1370"/>
      <c r="AA28" s="1356"/>
      <c r="AB28" s="1369"/>
      <c r="AC28" s="1370"/>
      <c r="AD28" s="1357"/>
      <c r="AE28" s="1375"/>
      <c r="AF28" s="1370"/>
      <c r="AG28" s="1357"/>
      <c r="AH28" s="1358">
        <f t="shared" si="1"/>
        <v>18588.599999999999</v>
      </c>
      <c r="AI28" s="1338"/>
    </row>
    <row r="29" spans="1:35" s="1339" customFormat="1" ht="18" customHeight="1" x14ac:dyDescent="0.2">
      <c r="A29" s="1359" t="s">
        <v>149</v>
      </c>
      <c r="B29" s="1360" t="s">
        <v>145</v>
      </c>
      <c r="C29" s="1383">
        <f>'AG1'!D32</f>
        <v>12594.47</v>
      </c>
      <c r="D29" s="1362">
        <v>0</v>
      </c>
      <c r="E29" s="1362">
        <v>0</v>
      </c>
      <c r="F29" s="1362">
        <v>0</v>
      </c>
      <c r="G29" s="1384">
        <f>C29+D29+E29+F29</f>
        <v>12594.47</v>
      </c>
      <c r="H29" s="1382">
        <f>'AG1'!C32</f>
        <v>5994.1299999999992</v>
      </c>
      <c r="I29" s="1366">
        <v>0</v>
      </c>
      <c r="J29" s="1366">
        <v>0</v>
      </c>
      <c r="K29" s="1366">
        <v>0</v>
      </c>
      <c r="L29" s="1368">
        <f>SUM(H29:K29)</f>
        <v>5994.1299999999992</v>
      </c>
      <c r="M29" s="1369">
        <v>0</v>
      </c>
      <c r="N29" s="1370">
        <v>0</v>
      </c>
      <c r="O29" s="1370">
        <v>0</v>
      </c>
      <c r="P29" s="1370">
        <v>0</v>
      </c>
      <c r="Q29" s="1370">
        <v>0</v>
      </c>
      <c r="R29" s="1370">
        <v>0</v>
      </c>
      <c r="S29" s="1371">
        <f>M29+N29+O29+P29+R29</f>
        <v>0</v>
      </c>
      <c r="T29" s="1372">
        <v>0</v>
      </c>
      <c r="U29" s="1373">
        <v>0</v>
      </c>
      <c r="V29" s="1369">
        <v>0</v>
      </c>
      <c r="W29" s="1374">
        <f t="shared" si="5"/>
        <v>0</v>
      </c>
      <c r="X29" s="1369"/>
      <c r="Y29" s="1375"/>
      <c r="Z29" s="1370"/>
      <c r="AA29" s="1356"/>
      <c r="AB29" s="1369"/>
      <c r="AC29" s="1370"/>
      <c r="AD29" s="1357"/>
      <c r="AE29" s="1375"/>
      <c r="AF29" s="1370"/>
      <c r="AG29" s="1357"/>
      <c r="AH29" s="1376">
        <f t="shared" si="1"/>
        <v>18588.599999999999</v>
      </c>
      <c r="AI29" s="1338"/>
    </row>
    <row r="30" spans="1:35" s="1377" customFormat="1" ht="18" hidden="1" customHeight="1" x14ac:dyDescent="0.2">
      <c r="A30" s="1359" t="s">
        <v>150</v>
      </c>
      <c r="B30" s="1360" t="s">
        <v>147</v>
      </c>
      <c r="C30" s="1383"/>
      <c r="D30" s="1362"/>
      <c r="E30" s="1362"/>
      <c r="F30" s="1362"/>
      <c r="G30" s="1384"/>
      <c r="H30" s="1382"/>
      <c r="I30" s="1366"/>
      <c r="J30" s="1366"/>
      <c r="K30" s="1366"/>
      <c r="L30" s="1368"/>
      <c r="M30" s="1369">
        <v>0</v>
      </c>
      <c r="N30" s="1370">
        <v>0</v>
      </c>
      <c r="O30" s="1370">
        <v>0</v>
      </c>
      <c r="P30" s="1370">
        <v>0</v>
      </c>
      <c r="Q30" s="1370">
        <v>0</v>
      </c>
      <c r="R30" s="1370">
        <v>0</v>
      </c>
      <c r="S30" s="1371">
        <f>M30+N30+O30+P30</f>
        <v>0</v>
      </c>
      <c r="T30" s="1372">
        <v>0</v>
      </c>
      <c r="U30" s="1373">
        <v>0</v>
      </c>
      <c r="V30" s="1369">
        <v>0</v>
      </c>
      <c r="W30" s="1374">
        <f t="shared" si="5"/>
        <v>0</v>
      </c>
      <c r="X30" s="1369"/>
      <c r="Y30" s="1375"/>
      <c r="Z30" s="1370"/>
      <c r="AA30" s="1356"/>
      <c r="AB30" s="1369"/>
      <c r="AC30" s="1370"/>
      <c r="AD30" s="1357"/>
      <c r="AE30" s="1375"/>
      <c r="AF30" s="1370"/>
      <c r="AG30" s="1357"/>
      <c r="AH30" s="1358">
        <f t="shared" si="1"/>
        <v>0</v>
      </c>
      <c r="AI30" s="1243"/>
    </row>
    <row r="31" spans="1:35" s="1339" customFormat="1" ht="18" customHeight="1" x14ac:dyDescent="0.2">
      <c r="A31" s="1385" t="s">
        <v>151</v>
      </c>
      <c r="B31" s="1386" t="s">
        <v>152</v>
      </c>
      <c r="C31" s="1342">
        <f t="shared" ref="C31:L31" si="13">SUM(C32:C33)</f>
        <v>3600</v>
      </c>
      <c r="D31" s="1387">
        <f t="shared" si="13"/>
        <v>0</v>
      </c>
      <c r="E31" s="1387">
        <f t="shared" si="13"/>
        <v>0</v>
      </c>
      <c r="F31" s="1387">
        <f t="shared" si="13"/>
        <v>0</v>
      </c>
      <c r="G31" s="1388">
        <f t="shared" si="13"/>
        <v>3600</v>
      </c>
      <c r="H31" s="1381">
        <f t="shared" si="13"/>
        <v>3600</v>
      </c>
      <c r="I31" s="1346">
        <f t="shared" si="13"/>
        <v>0</v>
      </c>
      <c r="J31" s="1346">
        <f t="shared" si="13"/>
        <v>0</v>
      </c>
      <c r="K31" s="1346">
        <f t="shared" si="13"/>
        <v>0</v>
      </c>
      <c r="L31" s="1348">
        <f t="shared" si="13"/>
        <v>3600</v>
      </c>
      <c r="M31" s="1369">
        <v>0</v>
      </c>
      <c r="N31" s="1370">
        <v>0</v>
      </c>
      <c r="O31" s="1370">
        <v>0</v>
      </c>
      <c r="P31" s="1370">
        <v>0</v>
      </c>
      <c r="Q31" s="1370">
        <v>0</v>
      </c>
      <c r="R31" s="1370">
        <v>0</v>
      </c>
      <c r="S31" s="1371">
        <f>M31+N31+O31+P31+R31</f>
        <v>0</v>
      </c>
      <c r="T31" s="1372">
        <v>0</v>
      </c>
      <c r="U31" s="1373">
        <v>0</v>
      </c>
      <c r="V31" s="1369">
        <v>0</v>
      </c>
      <c r="W31" s="1354">
        <f t="shared" si="5"/>
        <v>0</v>
      </c>
      <c r="X31" s="1369"/>
      <c r="Y31" s="1375"/>
      <c r="Z31" s="1370"/>
      <c r="AA31" s="1356"/>
      <c r="AB31" s="1369"/>
      <c r="AC31" s="1370"/>
      <c r="AD31" s="1357"/>
      <c r="AE31" s="1375"/>
      <c r="AF31" s="1370"/>
      <c r="AG31" s="1357"/>
      <c r="AH31" s="1358">
        <f t="shared" si="1"/>
        <v>7200</v>
      </c>
      <c r="AI31" s="1338"/>
    </row>
    <row r="32" spans="1:35" s="1339" customFormat="1" ht="18" customHeight="1" x14ac:dyDescent="0.2">
      <c r="A32" s="1378">
        <v>51601</v>
      </c>
      <c r="B32" s="1379" t="s">
        <v>153</v>
      </c>
      <c r="C32" s="1383">
        <f>'AG1'!D35</f>
        <v>3600</v>
      </c>
      <c r="D32" s="1362">
        <v>0</v>
      </c>
      <c r="E32" s="1362">
        <v>0</v>
      </c>
      <c r="F32" s="1362">
        <v>0</v>
      </c>
      <c r="G32" s="1384">
        <f>C32+D32+E32+F32</f>
        <v>3600</v>
      </c>
      <c r="H32" s="1382">
        <f>'AG1'!C35</f>
        <v>3600</v>
      </c>
      <c r="I32" s="1366">
        <v>0</v>
      </c>
      <c r="J32" s="1366">
        <v>0</v>
      </c>
      <c r="K32" s="1366">
        <v>0</v>
      </c>
      <c r="L32" s="1368">
        <f t="shared" ref="L32" si="14">SUM(H32:K32)</f>
        <v>3600</v>
      </c>
      <c r="M32" s="1369">
        <v>0</v>
      </c>
      <c r="N32" s="1370">
        <v>0</v>
      </c>
      <c r="O32" s="1370">
        <v>0</v>
      </c>
      <c r="P32" s="1370">
        <v>0</v>
      </c>
      <c r="Q32" s="1370">
        <v>0</v>
      </c>
      <c r="R32" s="1370">
        <v>0</v>
      </c>
      <c r="S32" s="1371">
        <f t="shared" ref="S32:S38" si="15">M32+N32+O32+P32</f>
        <v>0</v>
      </c>
      <c r="T32" s="1372">
        <v>0</v>
      </c>
      <c r="U32" s="1373">
        <v>0</v>
      </c>
      <c r="V32" s="1369">
        <v>0</v>
      </c>
      <c r="W32" s="1374">
        <f t="shared" si="5"/>
        <v>0</v>
      </c>
      <c r="X32" s="1353"/>
      <c r="Y32" s="1375"/>
      <c r="Z32" s="1370"/>
      <c r="AA32" s="1356"/>
      <c r="AB32" s="1369"/>
      <c r="AC32" s="1370"/>
      <c r="AD32" s="1357"/>
      <c r="AE32" s="1375"/>
      <c r="AF32" s="1370"/>
      <c r="AG32" s="1357"/>
      <c r="AH32" s="1376">
        <f t="shared" si="1"/>
        <v>7200</v>
      </c>
      <c r="AI32" s="1338"/>
    </row>
    <row r="33" spans="1:35" s="1377" customFormat="1" ht="18" hidden="1" customHeight="1" x14ac:dyDescent="0.2">
      <c r="A33" s="1378">
        <v>51602</v>
      </c>
      <c r="B33" s="1379" t="s">
        <v>154</v>
      </c>
      <c r="C33" s="1383"/>
      <c r="D33" s="1362"/>
      <c r="E33" s="1362"/>
      <c r="F33" s="1362"/>
      <c r="G33" s="1384"/>
      <c r="H33" s="1382"/>
      <c r="I33" s="1366"/>
      <c r="J33" s="1366"/>
      <c r="K33" s="1366"/>
      <c r="L33" s="1368"/>
      <c r="M33" s="1369">
        <v>0</v>
      </c>
      <c r="N33" s="1370">
        <v>0</v>
      </c>
      <c r="O33" s="1370">
        <v>0</v>
      </c>
      <c r="P33" s="1370">
        <v>0</v>
      </c>
      <c r="Q33" s="1370">
        <v>0</v>
      </c>
      <c r="R33" s="1370">
        <v>0</v>
      </c>
      <c r="S33" s="1371">
        <f t="shared" si="15"/>
        <v>0</v>
      </c>
      <c r="T33" s="1372">
        <v>0</v>
      </c>
      <c r="U33" s="1373">
        <v>0</v>
      </c>
      <c r="V33" s="1369">
        <v>0</v>
      </c>
      <c r="W33" s="1374">
        <f t="shared" si="5"/>
        <v>0</v>
      </c>
      <c r="X33" s="1369"/>
      <c r="Y33" s="1375"/>
      <c r="Z33" s="1370"/>
      <c r="AA33" s="1356"/>
      <c r="AB33" s="1369"/>
      <c r="AC33" s="1370"/>
      <c r="AD33" s="1357"/>
      <c r="AE33" s="1375"/>
      <c r="AF33" s="1370"/>
      <c r="AG33" s="1357"/>
      <c r="AH33" s="1358">
        <f t="shared" si="1"/>
        <v>0</v>
      </c>
      <c r="AI33" s="1243"/>
    </row>
    <row r="34" spans="1:35" s="1377" customFormat="1" ht="18" customHeight="1" x14ac:dyDescent="0.2">
      <c r="A34" s="1340">
        <v>517</v>
      </c>
      <c r="B34" s="1389" t="s">
        <v>155</v>
      </c>
      <c r="C34" s="1342">
        <f t="shared" ref="C34:K34" si="16">SUM(C35:C36)</f>
        <v>0</v>
      </c>
      <c r="D34" s="1387">
        <f t="shared" si="16"/>
        <v>0</v>
      </c>
      <c r="E34" s="1387">
        <f t="shared" si="16"/>
        <v>328.57</v>
      </c>
      <c r="F34" s="1387">
        <f t="shared" si="16"/>
        <v>0</v>
      </c>
      <c r="G34" s="1388">
        <f t="shared" si="16"/>
        <v>328.57</v>
      </c>
      <c r="H34" s="1381">
        <f t="shared" si="16"/>
        <v>0</v>
      </c>
      <c r="I34" s="1346">
        <f t="shared" si="16"/>
        <v>0</v>
      </c>
      <c r="J34" s="1346">
        <f t="shared" si="16"/>
        <v>0</v>
      </c>
      <c r="K34" s="1346">
        <f t="shared" si="16"/>
        <v>0</v>
      </c>
      <c r="L34" s="1348">
        <f>SUM(L35:L36)</f>
        <v>0</v>
      </c>
      <c r="M34" s="1369">
        <v>0</v>
      </c>
      <c r="N34" s="1370">
        <v>0</v>
      </c>
      <c r="O34" s="1370">
        <v>0</v>
      </c>
      <c r="P34" s="1370">
        <v>0</v>
      </c>
      <c r="Q34" s="1370">
        <v>0</v>
      </c>
      <c r="R34" s="1370">
        <v>0</v>
      </c>
      <c r="S34" s="1371">
        <f t="shared" si="15"/>
        <v>0</v>
      </c>
      <c r="T34" s="1372">
        <v>0</v>
      </c>
      <c r="U34" s="1373">
        <v>0</v>
      </c>
      <c r="V34" s="1369">
        <v>0</v>
      </c>
      <c r="W34" s="1374">
        <f t="shared" si="5"/>
        <v>0</v>
      </c>
      <c r="X34" s="1369"/>
      <c r="Y34" s="1375"/>
      <c r="Z34" s="1370"/>
      <c r="AA34" s="1356"/>
      <c r="AB34" s="1369"/>
      <c r="AC34" s="1370"/>
      <c r="AD34" s="1357"/>
      <c r="AE34" s="1375"/>
      <c r="AF34" s="1370"/>
      <c r="AG34" s="1357"/>
      <c r="AH34" s="1358">
        <f t="shared" si="1"/>
        <v>328.57</v>
      </c>
      <c r="AI34" s="1243"/>
    </row>
    <row r="35" spans="1:35" s="1339" customFormat="1" ht="18" customHeight="1" x14ac:dyDescent="0.2">
      <c r="A35" s="1378">
        <v>51701</v>
      </c>
      <c r="B35" s="1379" t="s">
        <v>156</v>
      </c>
      <c r="C35" s="1383">
        <v>0</v>
      </c>
      <c r="D35" s="1362">
        <v>0</v>
      </c>
      <c r="E35" s="1362">
        <f>'AG1'!D38</f>
        <v>328.57</v>
      </c>
      <c r="F35" s="1362">
        <v>0</v>
      </c>
      <c r="G35" s="1384">
        <f>C35+D35+E35+F35</f>
        <v>328.57</v>
      </c>
      <c r="H35" s="1382">
        <v>0</v>
      </c>
      <c r="I35" s="1366">
        <v>0</v>
      </c>
      <c r="J35" s="1366">
        <v>0</v>
      </c>
      <c r="K35" s="1366">
        <f>'AG1'!C38</f>
        <v>0</v>
      </c>
      <c r="L35" s="1368">
        <f t="shared" ref="L35" si="17">SUM(H35:K35)</f>
        <v>0</v>
      </c>
      <c r="M35" s="1369">
        <v>0</v>
      </c>
      <c r="N35" s="1370">
        <v>0</v>
      </c>
      <c r="O35" s="1370">
        <v>0</v>
      </c>
      <c r="P35" s="1370">
        <v>0</v>
      </c>
      <c r="Q35" s="1370">
        <v>0</v>
      </c>
      <c r="R35" s="1370">
        <v>0</v>
      </c>
      <c r="S35" s="1371">
        <f t="shared" si="15"/>
        <v>0</v>
      </c>
      <c r="T35" s="1372">
        <v>0</v>
      </c>
      <c r="U35" s="1373">
        <v>0</v>
      </c>
      <c r="V35" s="1369">
        <v>0</v>
      </c>
      <c r="W35" s="1374">
        <f t="shared" si="5"/>
        <v>0</v>
      </c>
      <c r="X35" s="1369"/>
      <c r="Y35" s="1375"/>
      <c r="Z35" s="1370"/>
      <c r="AA35" s="1356"/>
      <c r="AB35" s="1369"/>
      <c r="AC35" s="1370"/>
      <c r="AD35" s="1357"/>
      <c r="AE35" s="1375"/>
      <c r="AF35" s="1370"/>
      <c r="AG35" s="1357"/>
      <c r="AH35" s="1376">
        <f t="shared" si="1"/>
        <v>328.57</v>
      </c>
      <c r="AI35" s="1338"/>
    </row>
    <row r="36" spans="1:35" s="1339" customFormat="1" ht="18" hidden="1" customHeight="1" x14ac:dyDescent="0.2">
      <c r="A36" s="1378">
        <v>51702</v>
      </c>
      <c r="B36" s="1379" t="s">
        <v>157</v>
      </c>
      <c r="C36" s="1383"/>
      <c r="D36" s="1362"/>
      <c r="E36" s="1362"/>
      <c r="F36" s="1362"/>
      <c r="G36" s="1384"/>
      <c r="H36" s="1382"/>
      <c r="I36" s="1366"/>
      <c r="J36" s="1366"/>
      <c r="K36" s="1366"/>
      <c r="L36" s="1368"/>
      <c r="M36" s="1353">
        <v>0</v>
      </c>
      <c r="N36" s="1349">
        <v>0</v>
      </c>
      <c r="O36" s="1349">
        <v>0</v>
      </c>
      <c r="P36" s="1349">
        <v>0</v>
      </c>
      <c r="Q36" s="1349">
        <v>0</v>
      </c>
      <c r="R36" s="1349">
        <v>0</v>
      </c>
      <c r="S36" s="1371">
        <f t="shared" si="15"/>
        <v>0</v>
      </c>
      <c r="T36" s="1351">
        <v>0</v>
      </c>
      <c r="U36" s="1352">
        <v>0</v>
      </c>
      <c r="V36" s="1353">
        <v>0</v>
      </c>
      <c r="W36" s="1374">
        <f t="shared" si="5"/>
        <v>0</v>
      </c>
      <c r="X36" s="1353"/>
      <c r="Y36" s="1375"/>
      <c r="Z36" s="1370"/>
      <c r="AA36" s="1356"/>
      <c r="AB36" s="1369"/>
      <c r="AC36" s="1370"/>
      <c r="AD36" s="1357"/>
      <c r="AE36" s="1375"/>
      <c r="AF36" s="1370"/>
      <c r="AG36" s="1357"/>
      <c r="AH36" s="1358">
        <f t="shared" si="1"/>
        <v>0</v>
      </c>
      <c r="AI36" s="1338"/>
    </row>
    <row r="37" spans="1:35" s="1377" customFormat="1" ht="18" hidden="1" customHeight="1" x14ac:dyDescent="0.2">
      <c r="A37" s="1340">
        <v>518</v>
      </c>
      <c r="B37" s="1389" t="s">
        <v>158</v>
      </c>
      <c r="C37" s="1342">
        <f>SUM(C38)</f>
        <v>0</v>
      </c>
      <c r="D37" s="1387">
        <f>SUM(D38)</f>
        <v>0</v>
      </c>
      <c r="E37" s="1387">
        <f>SUM(E38)</f>
        <v>0</v>
      </c>
      <c r="F37" s="1387">
        <f>SUM(F38)</f>
        <v>0</v>
      </c>
      <c r="G37" s="1388">
        <f>SUM(G38)</f>
        <v>0</v>
      </c>
      <c r="H37" s="1381">
        <f>SUM(H38:H38)</f>
        <v>0</v>
      </c>
      <c r="I37" s="1346">
        <f>SUM(I38:I39)</f>
        <v>0</v>
      </c>
      <c r="J37" s="1346">
        <f>SUM(J38:J39)</f>
        <v>0</v>
      </c>
      <c r="K37" s="1346">
        <f>SUM(K38:K39)</f>
        <v>0</v>
      </c>
      <c r="L37" s="1348">
        <f>SUM(L38:L38)</f>
        <v>0</v>
      </c>
      <c r="M37" s="1369">
        <v>0</v>
      </c>
      <c r="N37" s="1370">
        <v>0</v>
      </c>
      <c r="O37" s="1370">
        <v>0</v>
      </c>
      <c r="P37" s="1370">
        <v>0</v>
      </c>
      <c r="Q37" s="1370">
        <v>0</v>
      </c>
      <c r="R37" s="1370">
        <v>0</v>
      </c>
      <c r="S37" s="1371">
        <f t="shared" si="15"/>
        <v>0</v>
      </c>
      <c r="T37" s="1372">
        <v>0</v>
      </c>
      <c r="U37" s="1373">
        <v>0</v>
      </c>
      <c r="V37" s="1369">
        <v>0</v>
      </c>
      <c r="W37" s="1374">
        <f t="shared" si="5"/>
        <v>0</v>
      </c>
      <c r="X37" s="1369"/>
      <c r="Y37" s="1375"/>
      <c r="Z37" s="1370"/>
      <c r="AA37" s="1356"/>
      <c r="AB37" s="1369"/>
      <c r="AC37" s="1370"/>
      <c r="AD37" s="1357"/>
      <c r="AE37" s="1375"/>
      <c r="AF37" s="1370"/>
      <c r="AG37" s="1357"/>
      <c r="AH37" s="1358">
        <f t="shared" si="1"/>
        <v>0</v>
      </c>
      <c r="AI37" s="1243"/>
    </row>
    <row r="38" spans="1:35" s="1377" customFormat="1" ht="18" hidden="1" customHeight="1" x14ac:dyDescent="0.2">
      <c r="A38" s="1378">
        <v>51803</v>
      </c>
      <c r="B38" s="1379" t="s">
        <v>159</v>
      </c>
      <c r="C38" s="1383"/>
      <c r="D38" s="1362"/>
      <c r="E38" s="1362"/>
      <c r="F38" s="1362"/>
      <c r="G38" s="1384"/>
      <c r="H38" s="1382"/>
      <c r="I38" s="1366"/>
      <c r="J38" s="1366"/>
      <c r="K38" s="1366"/>
      <c r="L38" s="1368"/>
      <c r="M38" s="1369">
        <v>0</v>
      </c>
      <c r="N38" s="1370">
        <v>0</v>
      </c>
      <c r="O38" s="1370">
        <v>0</v>
      </c>
      <c r="P38" s="1370">
        <v>0</v>
      </c>
      <c r="Q38" s="1370">
        <v>0</v>
      </c>
      <c r="R38" s="1370">
        <v>0</v>
      </c>
      <c r="S38" s="1371">
        <f t="shared" si="15"/>
        <v>0</v>
      </c>
      <c r="T38" s="1372">
        <v>0</v>
      </c>
      <c r="U38" s="1373">
        <v>0</v>
      </c>
      <c r="V38" s="1369">
        <v>0</v>
      </c>
      <c r="W38" s="1374">
        <f t="shared" si="5"/>
        <v>0</v>
      </c>
      <c r="X38" s="1369"/>
      <c r="Y38" s="1375"/>
      <c r="Z38" s="1370"/>
      <c r="AA38" s="1356"/>
      <c r="AB38" s="1369"/>
      <c r="AC38" s="1370"/>
      <c r="AD38" s="1357"/>
      <c r="AE38" s="1375"/>
      <c r="AF38" s="1370"/>
      <c r="AG38" s="1357"/>
      <c r="AH38" s="1358">
        <f t="shared" si="1"/>
        <v>0</v>
      </c>
      <c r="AI38" s="1243"/>
    </row>
    <row r="39" spans="1:35" s="1339" customFormat="1" ht="18" customHeight="1" x14ac:dyDescent="0.2">
      <c r="A39" s="1340">
        <v>519</v>
      </c>
      <c r="B39" s="1389" t="s">
        <v>160</v>
      </c>
      <c r="C39" s="1342">
        <f t="shared" ref="C39:K39" si="18">SUM(C40:C41)</f>
        <v>3600</v>
      </c>
      <c r="D39" s="1387">
        <f t="shared" si="18"/>
        <v>0</v>
      </c>
      <c r="E39" s="1387">
        <f t="shared" si="18"/>
        <v>0</v>
      </c>
      <c r="F39" s="1387">
        <f t="shared" si="18"/>
        <v>0</v>
      </c>
      <c r="G39" s="1388">
        <f t="shared" si="18"/>
        <v>3600</v>
      </c>
      <c r="H39" s="1381">
        <f t="shared" si="18"/>
        <v>3600</v>
      </c>
      <c r="I39" s="1346">
        <f t="shared" si="18"/>
        <v>0</v>
      </c>
      <c r="J39" s="1346">
        <f t="shared" si="18"/>
        <v>0</v>
      </c>
      <c r="K39" s="1346">
        <f t="shared" si="18"/>
        <v>0</v>
      </c>
      <c r="L39" s="1348">
        <f>SUM(L40:L41)</f>
        <v>3600</v>
      </c>
      <c r="M39" s="1353">
        <f t="shared" ref="M39" si="19">SUM(M40:M41)</f>
        <v>0</v>
      </c>
      <c r="N39" s="1349">
        <f>SUM(N40:N41)</f>
        <v>0</v>
      </c>
      <c r="O39" s="1349">
        <v>0</v>
      </c>
      <c r="P39" s="1349">
        <v>0</v>
      </c>
      <c r="Q39" s="1349">
        <v>0</v>
      </c>
      <c r="R39" s="1349">
        <v>0</v>
      </c>
      <c r="S39" s="1350">
        <f>M39+N39+O39+P39+R39</f>
        <v>0</v>
      </c>
      <c r="T39" s="1351">
        <v>0</v>
      </c>
      <c r="U39" s="1352">
        <v>0</v>
      </c>
      <c r="V39" s="1353">
        <v>0</v>
      </c>
      <c r="W39" s="1374">
        <f t="shared" si="5"/>
        <v>0</v>
      </c>
      <c r="X39" s="1353"/>
      <c r="Y39" s="1375"/>
      <c r="Z39" s="1370"/>
      <c r="AA39" s="1356"/>
      <c r="AB39" s="1369"/>
      <c r="AC39" s="1370"/>
      <c r="AD39" s="1357"/>
      <c r="AE39" s="1375"/>
      <c r="AF39" s="1370"/>
      <c r="AG39" s="1357"/>
      <c r="AH39" s="1358">
        <f t="shared" si="1"/>
        <v>7200</v>
      </c>
      <c r="AI39" s="1338"/>
    </row>
    <row r="40" spans="1:35" s="1339" customFormat="1" ht="18" customHeight="1" x14ac:dyDescent="0.2">
      <c r="A40" s="1378">
        <v>51901</v>
      </c>
      <c r="B40" s="1379" t="s">
        <v>161</v>
      </c>
      <c r="C40" s="1383">
        <f>'AG1'!C43</f>
        <v>3600</v>
      </c>
      <c r="D40" s="1362">
        <v>0</v>
      </c>
      <c r="E40" s="1362">
        <v>0</v>
      </c>
      <c r="F40" s="1362">
        <f>'PLLA MUNICIPAL HONORARIOS'!I8</f>
        <v>0</v>
      </c>
      <c r="G40" s="1384">
        <f>C40+D40+E40+F40</f>
        <v>3600</v>
      </c>
      <c r="H40" s="1382">
        <f>'AG1'!C43</f>
        <v>3600</v>
      </c>
      <c r="I40" s="1366">
        <v>0</v>
      </c>
      <c r="J40" s="1366">
        <v>0</v>
      </c>
      <c r="K40" s="1366">
        <f>'PLLA MUNICIPAL HONORARIOS'!I8*2</f>
        <v>0</v>
      </c>
      <c r="L40" s="1368">
        <f t="shared" ref="L40" si="20">SUM(H40:K40)</f>
        <v>3600</v>
      </c>
      <c r="M40" s="1353">
        <v>0</v>
      </c>
      <c r="N40" s="1349">
        <v>0</v>
      </c>
      <c r="O40" s="1349">
        <v>0</v>
      </c>
      <c r="P40" s="1349">
        <v>0</v>
      </c>
      <c r="Q40" s="1349">
        <v>0</v>
      </c>
      <c r="R40" s="1349">
        <v>0</v>
      </c>
      <c r="S40" s="1371">
        <f>M40+N40+O40+P40+R40</f>
        <v>0</v>
      </c>
      <c r="T40" s="1372">
        <v>0</v>
      </c>
      <c r="U40" s="1373">
        <v>0</v>
      </c>
      <c r="V40" s="1369">
        <v>0</v>
      </c>
      <c r="W40" s="1374">
        <f t="shared" si="5"/>
        <v>0</v>
      </c>
      <c r="X40" s="1353"/>
      <c r="Y40" s="1375"/>
      <c r="Z40" s="1370"/>
      <c r="AA40" s="1356"/>
      <c r="AB40" s="1369"/>
      <c r="AC40" s="1370"/>
      <c r="AD40" s="1357"/>
      <c r="AE40" s="1375"/>
      <c r="AF40" s="1370"/>
      <c r="AG40" s="1357"/>
      <c r="AH40" s="1376">
        <f t="shared" si="1"/>
        <v>7200</v>
      </c>
      <c r="AI40" s="1338"/>
    </row>
    <row r="41" spans="1:35" s="1377" customFormat="1" ht="18" hidden="1" customHeight="1" x14ac:dyDescent="0.2">
      <c r="A41" s="1378">
        <v>51999</v>
      </c>
      <c r="B41" s="1379" t="s">
        <v>160</v>
      </c>
      <c r="C41" s="1383"/>
      <c r="D41" s="1362"/>
      <c r="E41" s="1362"/>
      <c r="F41" s="1362"/>
      <c r="G41" s="1384"/>
      <c r="H41" s="1382"/>
      <c r="I41" s="1366"/>
      <c r="J41" s="1366"/>
      <c r="K41" s="1366"/>
      <c r="L41" s="1368"/>
      <c r="M41" s="1369">
        <v>0</v>
      </c>
      <c r="N41" s="1370">
        <v>0</v>
      </c>
      <c r="O41" s="1370">
        <v>0</v>
      </c>
      <c r="P41" s="1370">
        <v>0</v>
      </c>
      <c r="Q41" s="1370">
        <v>0</v>
      </c>
      <c r="R41" s="1370">
        <v>0</v>
      </c>
      <c r="S41" s="1371">
        <f>M41+N41+O41+P41</f>
        <v>0</v>
      </c>
      <c r="T41" s="1372"/>
      <c r="U41" s="1373"/>
      <c r="V41" s="1369"/>
      <c r="W41" s="1374">
        <f t="shared" si="5"/>
        <v>0</v>
      </c>
      <c r="X41" s="1369"/>
      <c r="Y41" s="1375"/>
      <c r="Z41" s="1370"/>
      <c r="AA41" s="1356"/>
      <c r="AB41" s="1369"/>
      <c r="AC41" s="1370"/>
      <c r="AD41" s="1357"/>
      <c r="AE41" s="1375"/>
      <c r="AF41" s="1370"/>
      <c r="AG41" s="1357"/>
      <c r="AH41" s="1376">
        <f t="shared" ref="AH41:AH72" si="21">+L41+S41+G41+AA41+AD41+AG41+T41+W41+X41</f>
        <v>0</v>
      </c>
      <c r="AI41" s="1243"/>
    </row>
    <row r="42" spans="1:35" s="1339" customFormat="1" ht="18" hidden="1" customHeight="1" x14ac:dyDescent="0.2">
      <c r="A42" s="1378"/>
      <c r="B42" s="1390"/>
      <c r="C42" s="1383"/>
      <c r="D42" s="1362"/>
      <c r="E42" s="1362"/>
      <c r="F42" s="1362"/>
      <c r="G42" s="1388"/>
      <c r="H42" s="1382"/>
      <c r="I42" s="1366"/>
      <c r="J42" s="1366"/>
      <c r="K42" s="1366"/>
      <c r="L42" s="1348"/>
      <c r="M42" s="1353">
        <v>0</v>
      </c>
      <c r="N42" s="1349">
        <v>0</v>
      </c>
      <c r="O42" s="1349">
        <v>0</v>
      </c>
      <c r="P42" s="1349">
        <v>0</v>
      </c>
      <c r="Q42" s="1349">
        <v>0</v>
      </c>
      <c r="R42" s="1349">
        <v>0</v>
      </c>
      <c r="S42" s="1371">
        <f>M42+N42+O42+P42</f>
        <v>0</v>
      </c>
      <c r="T42" s="1351"/>
      <c r="U42" s="1352"/>
      <c r="V42" s="1353"/>
      <c r="W42" s="1374">
        <f t="shared" si="5"/>
        <v>0</v>
      </c>
      <c r="X42" s="1353"/>
      <c r="Y42" s="1375"/>
      <c r="Z42" s="1370"/>
      <c r="AA42" s="1356"/>
      <c r="AB42" s="1369"/>
      <c r="AC42" s="1370"/>
      <c r="AD42" s="1357"/>
      <c r="AE42" s="1375"/>
      <c r="AF42" s="1370"/>
      <c r="AG42" s="1357"/>
      <c r="AH42" s="1358">
        <f t="shared" si="21"/>
        <v>0</v>
      </c>
      <c r="AI42" s="1338"/>
    </row>
    <row r="43" spans="1:35" s="1377" customFormat="1" ht="18" customHeight="1" x14ac:dyDescent="0.2">
      <c r="A43" s="1340">
        <v>54</v>
      </c>
      <c r="B43" s="1391" t="s">
        <v>27</v>
      </c>
      <c r="C43" s="1342">
        <f t="shared" ref="C43:K43" si="22">C44+C64+C70+C86+C91</f>
        <v>18800</v>
      </c>
      <c r="D43" s="1387">
        <f t="shared" si="22"/>
        <v>1450</v>
      </c>
      <c r="E43" s="1387">
        <f t="shared" si="22"/>
        <v>550</v>
      </c>
      <c r="F43" s="1387">
        <f t="shared" si="22"/>
        <v>69363.839999999997</v>
      </c>
      <c r="G43" s="1388">
        <f>G44+G64+G70+G86+G91</f>
        <v>90163.839999999997</v>
      </c>
      <c r="H43" s="1381">
        <f>H44+H64+H70+H86+H91</f>
        <v>24876</v>
      </c>
      <c r="I43" s="1346">
        <f t="shared" si="22"/>
        <v>8600</v>
      </c>
      <c r="J43" s="1346">
        <f t="shared" si="22"/>
        <v>1200</v>
      </c>
      <c r="K43" s="1346">
        <f t="shared" si="22"/>
        <v>137781.43</v>
      </c>
      <c r="L43" s="1348">
        <f>SUM(H43:K43)</f>
        <v>172457.43</v>
      </c>
      <c r="M43" s="1353">
        <f t="shared" ref="M43:N43" si="23">M44+M64+M70+M86+M91</f>
        <v>0</v>
      </c>
      <c r="N43" s="1349">
        <f t="shared" si="23"/>
        <v>0</v>
      </c>
      <c r="O43" s="1370">
        <v>0</v>
      </c>
      <c r="P43" s="1370">
        <v>0</v>
      </c>
      <c r="Q43" s="1370">
        <v>0</v>
      </c>
      <c r="R43" s="1370">
        <v>0</v>
      </c>
      <c r="S43" s="1350">
        <f>M43+N43+O43+P43+R43</f>
        <v>0</v>
      </c>
      <c r="T43" s="1351">
        <f>+T91</f>
        <v>0</v>
      </c>
      <c r="U43" s="1373">
        <v>0</v>
      </c>
      <c r="V43" s="1369">
        <v>0</v>
      </c>
      <c r="W43" s="1354">
        <f t="shared" si="5"/>
        <v>0</v>
      </c>
      <c r="X43" s="1369"/>
      <c r="Y43" s="1375"/>
      <c r="Z43" s="1370"/>
      <c r="AA43" s="1356"/>
      <c r="AB43" s="1369"/>
      <c r="AC43" s="1370"/>
      <c r="AD43" s="1357"/>
      <c r="AE43" s="1375"/>
      <c r="AF43" s="1370"/>
      <c r="AG43" s="1357"/>
      <c r="AH43" s="1358">
        <f t="shared" si="21"/>
        <v>262621.27</v>
      </c>
      <c r="AI43" s="1243"/>
    </row>
    <row r="44" spans="1:35" s="1339" customFormat="1" ht="18" customHeight="1" x14ac:dyDescent="0.2">
      <c r="A44" s="1340">
        <v>541</v>
      </c>
      <c r="B44" s="1391" t="s">
        <v>28</v>
      </c>
      <c r="C44" s="1342">
        <f>SUM(C45:C63)</f>
        <v>7300</v>
      </c>
      <c r="D44" s="1387">
        <f t="shared" ref="D44:J44" si="24">SUM(D45:D63)</f>
        <v>750</v>
      </c>
      <c r="E44" s="1387">
        <f t="shared" si="24"/>
        <v>300</v>
      </c>
      <c r="F44" s="1387">
        <f t="shared" si="24"/>
        <v>5200</v>
      </c>
      <c r="G44" s="1388">
        <f>SUM(G45:G63)</f>
        <v>13550</v>
      </c>
      <c r="H44" s="1381">
        <f t="shared" si="24"/>
        <v>9196</v>
      </c>
      <c r="I44" s="1346">
        <f t="shared" si="24"/>
        <v>8300</v>
      </c>
      <c r="J44" s="1346">
        <f t="shared" si="24"/>
        <v>1100</v>
      </c>
      <c r="K44" s="1346">
        <f>SUM(K45:K63)</f>
        <v>5400</v>
      </c>
      <c r="L44" s="1348">
        <f>SUM(H44:K44)</f>
        <v>23996</v>
      </c>
      <c r="M44" s="1353">
        <f t="shared" ref="M44" si="25">SUM(M45:M63)</f>
        <v>0</v>
      </c>
      <c r="N44" s="1349">
        <f>SUM(N45:N63)</f>
        <v>0</v>
      </c>
      <c r="O44" s="1349">
        <v>0</v>
      </c>
      <c r="P44" s="1349">
        <v>0</v>
      </c>
      <c r="Q44" s="1349">
        <v>0</v>
      </c>
      <c r="R44" s="1349">
        <v>0</v>
      </c>
      <c r="S44" s="1350">
        <f>M44+N44+O44+P44</f>
        <v>0</v>
      </c>
      <c r="T44" s="1351">
        <v>0</v>
      </c>
      <c r="U44" s="1352">
        <v>0</v>
      </c>
      <c r="V44" s="1353">
        <v>0</v>
      </c>
      <c r="W44" s="1354">
        <f t="shared" si="5"/>
        <v>0</v>
      </c>
      <c r="X44" s="1353"/>
      <c r="Y44" s="1375"/>
      <c r="Z44" s="1370"/>
      <c r="AA44" s="1356"/>
      <c r="AB44" s="1369"/>
      <c r="AC44" s="1370"/>
      <c r="AD44" s="1357"/>
      <c r="AE44" s="1375"/>
      <c r="AF44" s="1370"/>
      <c r="AG44" s="1357"/>
      <c r="AH44" s="1358">
        <f t="shared" si="21"/>
        <v>37546</v>
      </c>
      <c r="AI44" s="1338"/>
    </row>
    <row r="45" spans="1:35" s="1377" customFormat="1" ht="18" customHeight="1" x14ac:dyDescent="0.2">
      <c r="A45" s="1378">
        <v>54101</v>
      </c>
      <c r="B45" s="1390" t="s">
        <v>29</v>
      </c>
      <c r="C45" s="1383">
        <f>'egresos 25% y F.P'!C122</f>
        <v>1500</v>
      </c>
      <c r="D45" s="1362">
        <v>0</v>
      </c>
      <c r="E45" s="1362">
        <v>0</v>
      </c>
      <c r="F45" s="1362">
        <v>0</v>
      </c>
      <c r="G45" s="1384">
        <f>SUM(C45:F45)</f>
        <v>1500</v>
      </c>
      <c r="H45" s="1382">
        <f>'egresos 25% y F.P'!C13</f>
        <v>200</v>
      </c>
      <c r="I45" s="1366">
        <f>'egresos 25% y F.P'!D13</f>
        <v>0</v>
      </c>
      <c r="J45" s="1366">
        <f>'egresos 25% y F.P'!E13</f>
        <v>0</v>
      </c>
      <c r="K45" s="1366">
        <f>'egresos 25% y F.P'!F13</f>
        <v>0</v>
      </c>
      <c r="L45" s="1368">
        <f>SUM(H45:K45)</f>
        <v>200</v>
      </c>
      <c r="M45" s="1369">
        <v>0</v>
      </c>
      <c r="N45" s="1370">
        <v>0</v>
      </c>
      <c r="O45" s="1370">
        <v>0</v>
      </c>
      <c r="P45" s="1370">
        <v>0</v>
      </c>
      <c r="Q45" s="1370">
        <v>0</v>
      </c>
      <c r="R45" s="1370">
        <v>0</v>
      </c>
      <c r="S45" s="1371">
        <f t="shared" ref="S45:S92" si="26">M45+N45+O45+P45+R45</f>
        <v>0</v>
      </c>
      <c r="T45" s="1372">
        <v>0</v>
      </c>
      <c r="U45" s="1373">
        <v>0</v>
      </c>
      <c r="V45" s="1369">
        <v>0</v>
      </c>
      <c r="W45" s="1374">
        <f t="shared" si="5"/>
        <v>0</v>
      </c>
      <c r="X45" s="1369"/>
      <c r="Y45" s="1375"/>
      <c r="Z45" s="1370"/>
      <c r="AA45" s="1356"/>
      <c r="AB45" s="1369"/>
      <c r="AC45" s="1370"/>
      <c r="AD45" s="1357"/>
      <c r="AE45" s="1375"/>
      <c r="AF45" s="1370"/>
      <c r="AG45" s="1357"/>
      <c r="AH45" s="1376">
        <f t="shared" si="21"/>
        <v>1700</v>
      </c>
      <c r="AI45" s="1243"/>
    </row>
    <row r="46" spans="1:35" s="1377" customFormat="1" ht="18" hidden="1" customHeight="1" x14ac:dyDescent="0.2">
      <c r="A46" s="1378">
        <v>54103</v>
      </c>
      <c r="B46" s="1390" t="s">
        <v>30</v>
      </c>
      <c r="C46" s="1383"/>
      <c r="D46" s="1362"/>
      <c r="E46" s="1362"/>
      <c r="F46" s="1362"/>
      <c r="G46" s="1384">
        <f t="shared" ref="G46:G63" si="27">SUM(C46:F46)</f>
        <v>0</v>
      </c>
      <c r="H46" s="1382"/>
      <c r="I46" s="1366">
        <f>'egresos 25% y F.P'!D14</f>
        <v>0</v>
      </c>
      <c r="J46" s="1366">
        <f>'egresos 25% y F.P'!E14</f>
        <v>0</v>
      </c>
      <c r="K46" s="1366">
        <f>'egresos 25% y F.P'!F14</f>
        <v>0</v>
      </c>
      <c r="L46" s="1368">
        <f>SUM(H46:J46)</f>
        <v>0</v>
      </c>
      <c r="M46" s="1369">
        <v>0</v>
      </c>
      <c r="N46" s="1370">
        <v>0</v>
      </c>
      <c r="O46" s="1370">
        <v>0</v>
      </c>
      <c r="P46" s="1370">
        <v>0</v>
      </c>
      <c r="Q46" s="1370">
        <v>0</v>
      </c>
      <c r="R46" s="1370">
        <v>0</v>
      </c>
      <c r="S46" s="1371">
        <f t="shared" si="26"/>
        <v>0</v>
      </c>
      <c r="T46" s="1372">
        <v>0</v>
      </c>
      <c r="U46" s="1373">
        <v>0</v>
      </c>
      <c r="V46" s="1369">
        <v>0</v>
      </c>
      <c r="W46" s="1374">
        <f t="shared" si="5"/>
        <v>0</v>
      </c>
      <c r="X46" s="1369"/>
      <c r="Y46" s="1375"/>
      <c r="Z46" s="1370"/>
      <c r="AA46" s="1356"/>
      <c r="AB46" s="1369"/>
      <c r="AC46" s="1370"/>
      <c r="AD46" s="1357"/>
      <c r="AE46" s="1375"/>
      <c r="AF46" s="1370"/>
      <c r="AG46" s="1357"/>
      <c r="AH46" s="1376">
        <f t="shared" si="21"/>
        <v>0</v>
      </c>
      <c r="AI46" s="1243"/>
    </row>
    <row r="47" spans="1:35" s="1377" customFormat="1" ht="18" customHeight="1" x14ac:dyDescent="0.2">
      <c r="A47" s="1378">
        <v>54104</v>
      </c>
      <c r="B47" s="1390" t="s">
        <v>31</v>
      </c>
      <c r="C47" s="1383">
        <f>'egresos 25% y F.P'!C124</f>
        <v>50</v>
      </c>
      <c r="D47" s="1363">
        <f>'egresos 25% y F.P'!D124</f>
        <v>0</v>
      </c>
      <c r="E47" s="1363">
        <f>'egresos 25% y F.P'!E124</f>
        <v>0</v>
      </c>
      <c r="F47" s="1363">
        <f>'egresos 25% y F.P'!F124</f>
        <v>0</v>
      </c>
      <c r="G47" s="1384">
        <f t="shared" si="27"/>
        <v>50</v>
      </c>
      <c r="H47" s="1382">
        <f>'egresos 25% y F.P'!C15</f>
        <v>2500</v>
      </c>
      <c r="I47" s="1366">
        <f>'egresos 25% y F.P'!D15</f>
        <v>0</v>
      </c>
      <c r="J47" s="1366">
        <f>'egresos 25% y F.P'!E15</f>
        <v>0</v>
      </c>
      <c r="K47" s="1366">
        <f>'egresos 25% y F.P'!F15</f>
        <v>0</v>
      </c>
      <c r="L47" s="1368">
        <f>SUM(H47:K47)</f>
        <v>2500</v>
      </c>
      <c r="M47" s="1369">
        <v>0</v>
      </c>
      <c r="N47" s="1370">
        <v>0</v>
      </c>
      <c r="O47" s="1370">
        <v>0</v>
      </c>
      <c r="P47" s="1370">
        <v>0</v>
      </c>
      <c r="Q47" s="1370">
        <v>0</v>
      </c>
      <c r="R47" s="1370">
        <v>0</v>
      </c>
      <c r="S47" s="1371">
        <f t="shared" si="26"/>
        <v>0</v>
      </c>
      <c r="T47" s="1372">
        <v>0</v>
      </c>
      <c r="U47" s="1373">
        <v>0</v>
      </c>
      <c r="V47" s="1369">
        <v>0</v>
      </c>
      <c r="W47" s="1374">
        <f t="shared" si="5"/>
        <v>0</v>
      </c>
      <c r="X47" s="1369"/>
      <c r="Y47" s="1375"/>
      <c r="Z47" s="1370"/>
      <c r="AA47" s="1356"/>
      <c r="AB47" s="1369"/>
      <c r="AC47" s="1370"/>
      <c r="AD47" s="1357"/>
      <c r="AE47" s="1375"/>
      <c r="AF47" s="1370"/>
      <c r="AG47" s="1357"/>
      <c r="AH47" s="1376">
        <f t="shared" si="21"/>
        <v>2550</v>
      </c>
      <c r="AI47" s="1243"/>
    </row>
    <row r="48" spans="1:35" s="1377" customFormat="1" ht="18" customHeight="1" x14ac:dyDescent="0.2">
      <c r="A48" s="1378">
        <v>54105</v>
      </c>
      <c r="B48" s="1390" t="s">
        <v>32</v>
      </c>
      <c r="C48" s="1383">
        <f>+'egresos 25% y F.P'!C125</f>
        <v>200</v>
      </c>
      <c r="D48" s="1362">
        <f>+'egresos 25% y F.P'!D125</f>
        <v>100</v>
      </c>
      <c r="E48" s="1362">
        <f>+'egresos 25% y F.P'!E125</f>
        <v>100</v>
      </c>
      <c r="F48" s="1362">
        <f>+'egresos 25% y F.P'!F125</f>
        <v>50</v>
      </c>
      <c r="G48" s="1384">
        <f t="shared" si="27"/>
        <v>450</v>
      </c>
      <c r="H48" s="1382">
        <f>'egresos 25% y F.P'!C16</f>
        <v>600</v>
      </c>
      <c r="I48" s="1366">
        <f>'egresos 25% y F.P'!D16</f>
        <v>2500</v>
      </c>
      <c r="J48" s="1366">
        <f>'egresos 25% y F.P'!E16</f>
        <v>500</v>
      </c>
      <c r="K48" s="1366">
        <f>'egresos 25% y F.P'!F16</f>
        <v>200</v>
      </c>
      <c r="L48" s="1368">
        <f>SUM(H48:K48)</f>
        <v>3800</v>
      </c>
      <c r="M48" s="1369">
        <v>0</v>
      </c>
      <c r="N48" s="1370">
        <v>0</v>
      </c>
      <c r="O48" s="1370">
        <v>0</v>
      </c>
      <c r="P48" s="1370">
        <v>0</v>
      </c>
      <c r="Q48" s="1370">
        <v>0</v>
      </c>
      <c r="R48" s="1370">
        <v>0</v>
      </c>
      <c r="S48" s="1371">
        <f t="shared" si="26"/>
        <v>0</v>
      </c>
      <c r="T48" s="1372">
        <v>0</v>
      </c>
      <c r="U48" s="1373">
        <v>0</v>
      </c>
      <c r="V48" s="1369">
        <v>0</v>
      </c>
      <c r="W48" s="1374">
        <f t="shared" si="5"/>
        <v>0</v>
      </c>
      <c r="X48" s="1369"/>
      <c r="Y48" s="1375"/>
      <c r="Z48" s="1370"/>
      <c r="AA48" s="1356"/>
      <c r="AB48" s="1369"/>
      <c r="AC48" s="1370"/>
      <c r="AD48" s="1357"/>
      <c r="AE48" s="1375"/>
      <c r="AF48" s="1370"/>
      <c r="AG48" s="1357"/>
      <c r="AH48" s="1376">
        <f t="shared" si="21"/>
        <v>4250</v>
      </c>
      <c r="AI48" s="1243"/>
    </row>
    <row r="49" spans="1:35" s="1339" customFormat="1" ht="18" hidden="1" customHeight="1" x14ac:dyDescent="0.2">
      <c r="A49" s="1378">
        <v>54106</v>
      </c>
      <c r="B49" s="1390" t="s">
        <v>33</v>
      </c>
      <c r="C49" s="1383">
        <v>0</v>
      </c>
      <c r="D49" s="1362">
        <v>0</v>
      </c>
      <c r="E49" s="1362">
        <v>0</v>
      </c>
      <c r="F49" s="1362">
        <f>'egresos 25% y F.P'!F126</f>
        <v>0</v>
      </c>
      <c r="G49" s="1384">
        <f t="shared" si="27"/>
        <v>0</v>
      </c>
      <c r="H49" s="1382">
        <f>'egresos 25% y F.P'!C17</f>
        <v>0</v>
      </c>
      <c r="I49" s="1366">
        <f>'egresos 25% y F.P'!D17</f>
        <v>0</v>
      </c>
      <c r="J49" s="1366">
        <f>'egresos 25% y F.P'!E17</f>
        <v>0</v>
      </c>
      <c r="K49" s="1366">
        <f>'egresos 25% y F.P'!F17</f>
        <v>0</v>
      </c>
      <c r="L49" s="1368">
        <f>SUM(H49:J49)</f>
        <v>0</v>
      </c>
      <c r="M49" s="1353">
        <v>0</v>
      </c>
      <c r="N49" s="1349">
        <v>0</v>
      </c>
      <c r="O49" s="1349">
        <v>0</v>
      </c>
      <c r="P49" s="1349">
        <v>0</v>
      </c>
      <c r="Q49" s="1349">
        <v>0</v>
      </c>
      <c r="R49" s="1349">
        <v>0</v>
      </c>
      <c r="S49" s="1371">
        <f t="shared" si="26"/>
        <v>0</v>
      </c>
      <c r="T49" s="1351">
        <v>0</v>
      </c>
      <c r="U49" s="1352">
        <v>0</v>
      </c>
      <c r="V49" s="1353">
        <v>0</v>
      </c>
      <c r="W49" s="1374">
        <f t="shared" si="5"/>
        <v>0</v>
      </c>
      <c r="X49" s="1353"/>
      <c r="Y49" s="1375"/>
      <c r="Z49" s="1370"/>
      <c r="AA49" s="1356"/>
      <c r="AB49" s="1369"/>
      <c r="AC49" s="1370"/>
      <c r="AD49" s="1357"/>
      <c r="AE49" s="1375"/>
      <c r="AF49" s="1370"/>
      <c r="AG49" s="1357"/>
      <c r="AH49" s="1376">
        <f t="shared" si="21"/>
        <v>0</v>
      </c>
      <c r="AI49" s="1338"/>
    </row>
    <row r="50" spans="1:35" s="1339" customFormat="1" ht="18" customHeight="1" x14ac:dyDescent="0.2">
      <c r="A50" s="1378">
        <v>54107</v>
      </c>
      <c r="B50" s="1390" t="s">
        <v>34</v>
      </c>
      <c r="C50" s="1383">
        <v>0</v>
      </c>
      <c r="D50" s="1362">
        <v>0</v>
      </c>
      <c r="E50" s="1362">
        <v>0</v>
      </c>
      <c r="F50" s="1362">
        <f>'egresos 25% y F.P'!F127</f>
        <v>1200</v>
      </c>
      <c r="G50" s="1384">
        <f t="shared" si="27"/>
        <v>1200</v>
      </c>
      <c r="H50" s="1382">
        <f>'egresos 25% y F.P'!C18</f>
        <v>0</v>
      </c>
      <c r="I50" s="1366">
        <f>'egresos 25% y F.P'!D18</f>
        <v>0</v>
      </c>
      <c r="J50" s="1366">
        <f>'egresos 25% y F.P'!E18</f>
        <v>0</v>
      </c>
      <c r="K50" s="1366">
        <f>'egresos 25% y F.P'!F18</f>
        <v>500</v>
      </c>
      <c r="L50" s="1368">
        <f>SUM(H50:K50)</f>
        <v>500</v>
      </c>
      <c r="M50" s="1369">
        <v>0</v>
      </c>
      <c r="N50" s="1370">
        <v>0</v>
      </c>
      <c r="O50" s="1370">
        <v>0</v>
      </c>
      <c r="P50" s="1370">
        <v>0</v>
      </c>
      <c r="Q50" s="1370">
        <v>0</v>
      </c>
      <c r="R50" s="1370">
        <v>0</v>
      </c>
      <c r="S50" s="1371">
        <f t="shared" si="26"/>
        <v>0</v>
      </c>
      <c r="T50" s="1372">
        <v>0</v>
      </c>
      <c r="U50" s="1373">
        <v>0</v>
      </c>
      <c r="V50" s="1369">
        <v>0</v>
      </c>
      <c r="W50" s="1374">
        <f t="shared" si="5"/>
        <v>0</v>
      </c>
      <c r="X50" s="1353"/>
      <c r="Y50" s="1375"/>
      <c r="Z50" s="1370"/>
      <c r="AA50" s="1356"/>
      <c r="AB50" s="1369"/>
      <c r="AC50" s="1370"/>
      <c r="AD50" s="1357"/>
      <c r="AE50" s="1375"/>
      <c r="AF50" s="1370"/>
      <c r="AG50" s="1357"/>
      <c r="AH50" s="1376">
        <f t="shared" si="21"/>
        <v>1700</v>
      </c>
      <c r="AI50" s="1338"/>
    </row>
    <row r="51" spans="1:35" s="1377" customFormat="1" ht="18" hidden="1" customHeight="1" x14ac:dyDescent="0.2">
      <c r="A51" s="1378">
        <v>54108</v>
      </c>
      <c r="B51" s="1390" t="s">
        <v>35</v>
      </c>
      <c r="C51" s="1383">
        <v>0</v>
      </c>
      <c r="D51" s="1362">
        <v>0</v>
      </c>
      <c r="E51" s="1362">
        <v>0</v>
      </c>
      <c r="F51" s="1362">
        <v>0</v>
      </c>
      <c r="G51" s="1384">
        <f t="shared" si="27"/>
        <v>0</v>
      </c>
      <c r="H51" s="1382">
        <f>'egresos 25% y F.P'!C19</f>
        <v>0</v>
      </c>
      <c r="I51" s="1366">
        <f>'egresos 25% y F.P'!D19</f>
        <v>0</v>
      </c>
      <c r="J51" s="1366">
        <f>'egresos 25% y F.P'!E19</f>
        <v>0</v>
      </c>
      <c r="K51" s="1366">
        <f>'egresos 25% y F.P'!F19</f>
        <v>0</v>
      </c>
      <c r="L51" s="1368">
        <f>SUM(H51:J51)</f>
        <v>0</v>
      </c>
      <c r="M51" s="1369">
        <v>0</v>
      </c>
      <c r="N51" s="1370">
        <v>0</v>
      </c>
      <c r="O51" s="1370">
        <v>0</v>
      </c>
      <c r="P51" s="1370">
        <v>0</v>
      </c>
      <c r="Q51" s="1370">
        <v>0</v>
      </c>
      <c r="R51" s="1370">
        <v>0</v>
      </c>
      <c r="S51" s="1371">
        <f t="shared" si="26"/>
        <v>0</v>
      </c>
      <c r="T51" s="1372">
        <v>0</v>
      </c>
      <c r="U51" s="1373">
        <v>0</v>
      </c>
      <c r="V51" s="1369">
        <v>0</v>
      </c>
      <c r="W51" s="1374">
        <f t="shared" si="5"/>
        <v>0</v>
      </c>
      <c r="X51" s="1369"/>
      <c r="Y51" s="1375"/>
      <c r="Z51" s="1370"/>
      <c r="AA51" s="1356"/>
      <c r="AB51" s="1369"/>
      <c r="AC51" s="1370"/>
      <c r="AD51" s="1357"/>
      <c r="AE51" s="1375"/>
      <c r="AF51" s="1370"/>
      <c r="AG51" s="1357"/>
      <c r="AH51" s="1376">
        <f t="shared" si="21"/>
        <v>0</v>
      </c>
      <c r="AI51" s="1243"/>
    </row>
    <row r="52" spans="1:35" s="1377" customFormat="1" ht="18" customHeight="1" x14ac:dyDescent="0.2">
      <c r="A52" s="1378">
        <v>54109</v>
      </c>
      <c r="B52" s="1390" t="s">
        <v>36</v>
      </c>
      <c r="C52" s="1383">
        <f>'egresos 25% y F.P'!C129</f>
        <v>500</v>
      </c>
      <c r="D52" s="1362">
        <f>'egresos 25% y F.P'!D129</f>
        <v>0</v>
      </c>
      <c r="E52" s="1362">
        <f>'egresos 25% y F.P'!E129</f>
        <v>0</v>
      </c>
      <c r="F52" s="1362">
        <f>'egresos 25% y F.P'!F129</f>
        <v>500</v>
      </c>
      <c r="G52" s="1384">
        <f t="shared" si="27"/>
        <v>1000</v>
      </c>
      <c r="H52" s="1382">
        <f>'egresos 25% y F.P'!C20</f>
        <v>1096</v>
      </c>
      <c r="I52" s="1366">
        <f>'egresos 25% y F.P'!D20</f>
        <v>0</v>
      </c>
      <c r="J52" s="1366">
        <f>'egresos 25% y F.P'!E20</f>
        <v>0</v>
      </c>
      <c r="K52" s="1366">
        <f>'egresos 25% y F.P'!F20</f>
        <v>1000</v>
      </c>
      <c r="L52" s="1368">
        <f>SUM(H52:K52)</f>
        <v>2096</v>
      </c>
      <c r="M52" s="1369">
        <v>0</v>
      </c>
      <c r="N52" s="1370">
        <v>0</v>
      </c>
      <c r="O52" s="1370">
        <v>0</v>
      </c>
      <c r="P52" s="1370">
        <v>0</v>
      </c>
      <c r="Q52" s="1370">
        <v>0</v>
      </c>
      <c r="R52" s="1370">
        <v>0</v>
      </c>
      <c r="S52" s="1371">
        <f t="shared" si="26"/>
        <v>0</v>
      </c>
      <c r="T52" s="1372">
        <v>0</v>
      </c>
      <c r="U52" s="1373">
        <v>0</v>
      </c>
      <c r="V52" s="1369">
        <v>0</v>
      </c>
      <c r="W52" s="1374">
        <f t="shared" si="5"/>
        <v>0</v>
      </c>
      <c r="X52" s="1369"/>
      <c r="Y52" s="1375"/>
      <c r="Z52" s="1370"/>
      <c r="AA52" s="1356"/>
      <c r="AB52" s="1369"/>
      <c r="AC52" s="1370"/>
      <c r="AD52" s="1357"/>
      <c r="AE52" s="1375"/>
      <c r="AF52" s="1370"/>
      <c r="AG52" s="1357"/>
      <c r="AH52" s="1376">
        <f t="shared" si="21"/>
        <v>3096</v>
      </c>
      <c r="AI52" s="1243"/>
    </row>
    <row r="53" spans="1:35" s="1339" customFormat="1" ht="18" customHeight="1" x14ac:dyDescent="0.2">
      <c r="A53" s="1378">
        <v>54110</v>
      </c>
      <c r="B53" s="1390" t="s">
        <v>37</v>
      </c>
      <c r="C53" s="1383">
        <f>'egresos 25% y F.P'!C130</f>
        <v>3000</v>
      </c>
      <c r="D53" s="1362">
        <f>'egresos 25% y F.P'!D130</f>
        <v>0</v>
      </c>
      <c r="E53" s="1362">
        <f>'egresos 25% y F.P'!E130</f>
        <v>0</v>
      </c>
      <c r="F53" s="1362">
        <f>'egresos 25% y F.P'!F130</f>
        <v>1200</v>
      </c>
      <c r="G53" s="1384">
        <f t="shared" si="27"/>
        <v>4200</v>
      </c>
      <c r="H53" s="1382">
        <f>'egresos 25% y F.P'!C21</f>
        <v>2300</v>
      </c>
      <c r="I53" s="1366">
        <f>'egresos 25% y F.P'!D21</f>
        <v>0</v>
      </c>
      <c r="J53" s="1366">
        <f>'egresos 25% y F.P'!E21</f>
        <v>0</v>
      </c>
      <c r="K53" s="1366">
        <f>'egresos 25% y F.P'!F21</f>
        <v>2000</v>
      </c>
      <c r="L53" s="1368">
        <f t="shared" ref="L53:L69" si="28">SUM(H53:K53)</f>
        <v>4300</v>
      </c>
      <c r="M53" s="1369">
        <v>0</v>
      </c>
      <c r="N53" s="1370">
        <v>0</v>
      </c>
      <c r="O53" s="1370">
        <v>0</v>
      </c>
      <c r="P53" s="1370">
        <v>0</v>
      </c>
      <c r="Q53" s="1370">
        <v>0</v>
      </c>
      <c r="R53" s="1370">
        <v>0</v>
      </c>
      <c r="S53" s="1371">
        <f t="shared" si="26"/>
        <v>0</v>
      </c>
      <c r="T53" s="1372">
        <v>0</v>
      </c>
      <c r="U53" s="1373">
        <v>0</v>
      </c>
      <c r="V53" s="1369">
        <v>0</v>
      </c>
      <c r="W53" s="1374">
        <f t="shared" si="5"/>
        <v>0</v>
      </c>
      <c r="X53" s="1353"/>
      <c r="Y53" s="1375"/>
      <c r="Z53" s="1370"/>
      <c r="AA53" s="1356"/>
      <c r="AB53" s="1369"/>
      <c r="AC53" s="1370"/>
      <c r="AD53" s="1357"/>
      <c r="AE53" s="1375"/>
      <c r="AF53" s="1370"/>
      <c r="AG53" s="1357"/>
      <c r="AH53" s="1376">
        <f t="shared" si="21"/>
        <v>8500</v>
      </c>
      <c r="AI53" s="1338"/>
    </row>
    <row r="54" spans="1:35" s="1339" customFormat="1" ht="18" customHeight="1" x14ac:dyDescent="0.2">
      <c r="A54" s="1378">
        <v>54111</v>
      </c>
      <c r="B54" s="1390" t="s">
        <v>38</v>
      </c>
      <c r="C54" s="1383">
        <v>0</v>
      </c>
      <c r="D54" s="1362">
        <v>0</v>
      </c>
      <c r="E54" s="1362">
        <v>0</v>
      </c>
      <c r="F54" s="1362">
        <f>'egresos 25% y F.P'!F131</f>
        <v>50</v>
      </c>
      <c r="G54" s="1384">
        <f t="shared" si="27"/>
        <v>50</v>
      </c>
      <c r="H54" s="1382">
        <f>'egresos 25% y F.P'!C22</f>
        <v>0</v>
      </c>
      <c r="I54" s="1366">
        <f>'egresos 25% y F.P'!D22</f>
        <v>0</v>
      </c>
      <c r="J54" s="1366">
        <f>'egresos 25% y F.P'!E22</f>
        <v>0</v>
      </c>
      <c r="K54" s="1366">
        <f>'egresos 25% y F.P'!F22</f>
        <v>0</v>
      </c>
      <c r="L54" s="1368">
        <f t="shared" si="28"/>
        <v>0</v>
      </c>
      <c r="M54" s="1369">
        <v>0</v>
      </c>
      <c r="N54" s="1370">
        <v>0</v>
      </c>
      <c r="O54" s="1370">
        <v>0</v>
      </c>
      <c r="P54" s="1370">
        <v>0</v>
      </c>
      <c r="Q54" s="1370">
        <v>0</v>
      </c>
      <c r="R54" s="1370">
        <v>0</v>
      </c>
      <c r="S54" s="1371">
        <f t="shared" si="26"/>
        <v>0</v>
      </c>
      <c r="T54" s="1372">
        <v>0</v>
      </c>
      <c r="U54" s="1373">
        <v>0</v>
      </c>
      <c r="V54" s="1369">
        <v>0</v>
      </c>
      <c r="W54" s="1374">
        <f t="shared" si="5"/>
        <v>0</v>
      </c>
      <c r="X54" s="1353"/>
      <c r="Y54" s="1375"/>
      <c r="Z54" s="1370"/>
      <c r="AA54" s="1356"/>
      <c r="AB54" s="1369"/>
      <c r="AC54" s="1370"/>
      <c r="AD54" s="1357"/>
      <c r="AE54" s="1375"/>
      <c r="AF54" s="1370"/>
      <c r="AG54" s="1357"/>
      <c r="AH54" s="1376">
        <f t="shared" si="21"/>
        <v>50</v>
      </c>
      <c r="AI54" s="1338"/>
    </row>
    <row r="55" spans="1:35" s="1377" customFormat="1" ht="18" customHeight="1" x14ac:dyDescent="0.2">
      <c r="A55" s="1378">
        <v>54112</v>
      </c>
      <c r="B55" s="1390" t="s">
        <v>39</v>
      </c>
      <c r="C55" s="1383">
        <v>0</v>
      </c>
      <c r="D55" s="1362">
        <v>0</v>
      </c>
      <c r="E55" s="1362">
        <v>0</v>
      </c>
      <c r="F55" s="1362">
        <f>'egresos 25% y F.P'!F132</f>
        <v>50</v>
      </c>
      <c r="G55" s="1384">
        <f t="shared" si="27"/>
        <v>50</v>
      </c>
      <c r="H55" s="1382">
        <f>'egresos 25% y F.P'!C23</f>
        <v>0</v>
      </c>
      <c r="I55" s="1366">
        <f>'egresos 25% y F.P'!D23</f>
        <v>0</v>
      </c>
      <c r="J55" s="1366">
        <f>'egresos 25% y F.P'!E23</f>
        <v>0</v>
      </c>
      <c r="K55" s="1366">
        <f>'egresos 25% y F.P'!F23</f>
        <v>0</v>
      </c>
      <c r="L55" s="1368">
        <f t="shared" si="28"/>
        <v>0</v>
      </c>
      <c r="M55" s="1369">
        <v>0</v>
      </c>
      <c r="N55" s="1370">
        <v>0</v>
      </c>
      <c r="O55" s="1370">
        <v>0</v>
      </c>
      <c r="P55" s="1370">
        <v>0</v>
      </c>
      <c r="Q55" s="1370">
        <v>0</v>
      </c>
      <c r="R55" s="1370">
        <v>0</v>
      </c>
      <c r="S55" s="1371">
        <f t="shared" si="26"/>
        <v>0</v>
      </c>
      <c r="T55" s="1372">
        <v>0</v>
      </c>
      <c r="U55" s="1373">
        <v>0</v>
      </c>
      <c r="V55" s="1369">
        <v>0</v>
      </c>
      <c r="W55" s="1374">
        <f t="shared" si="5"/>
        <v>0</v>
      </c>
      <c r="X55" s="1369"/>
      <c r="Y55" s="1375"/>
      <c r="Z55" s="1370"/>
      <c r="AA55" s="1356"/>
      <c r="AB55" s="1369"/>
      <c r="AC55" s="1370"/>
      <c r="AD55" s="1357"/>
      <c r="AE55" s="1375"/>
      <c r="AF55" s="1370"/>
      <c r="AG55" s="1357"/>
      <c r="AH55" s="1376">
        <f t="shared" si="21"/>
        <v>50</v>
      </c>
      <c r="AI55" s="1243"/>
    </row>
    <row r="56" spans="1:35" s="1339" customFormat="1" ht="18" customHeight="1" x14ac:dyDescent="0.2">
      <c r="A56" s="1378">
        <v>54114</v>
      </c>
      <c r="B56" s="1390" t="s">
        <v>40</v>
      </c>
      <c r="C56" s="1383">
        <f>'egresos 25% y F.P'!C133</f>
        <v>100</v>
      </c>
      <c r="D56" s="1362">
        <f>'egresos 25% y F.P'!D133</f>
        <v>500</v>
      </c>
      <c r="E56" s="1362">
        <f>'egresos 25% y F.P'!E133</f>
        <v>50</v>
      </c>
      <c r="F56" s="1362">
        <f>'egresos 25% y F.P'!F133</f>
        <v>100</v>
      </c>
      <c r="G56" s="1384">
        <f t="shared" si="27"/>
        <v>750</v>
      </c>
      <c r="H56" s="1382">
        <f>'egresos 25% y F.P'!C24</f>
        <v>200</v>
      </c>
      <c r="I56" s="1366">
        <f>'egresos 25% y F.P'!D24</f>
        <v>500</v>
      </c>
      <c r="J56" s="1366">
        <f>'egresos 25% y F.P'!E24</f>
        <v>200</v>
      </c>
      <c r="K56" s="1366">
        <f>'egresos 25% y F.P'!F24</f>
        <v>200</v>
      </c>
      <c r="L56" s="1368">
        <f t="shared" si="28"/>
        <v>1100</v>
      </c>
      <c r="M56" s="1392">
        <v>0</v>
      </c>
      <c r="N56" s="1393">
        <v>0</v>
      </c>
      <c r="O56" s="1393">
        <v>0</v>
      </c>
      <c r="P56" s="1393">
        <v>0</v>
      </c>
      <c r="Q56" s="1393">
        <v>0</v>
      </c>
      <c r="R56" s="1393">
        <v>0</v>
      </c>
      <c r="S56" s="1371">
        <f t="shared" si="26"/>
        <v>0</v>
      </c>
      <c r="T56" s="1394">
        <v>0</v>
      </c>
      <c r="U56" s="1395">
        <v>0</v>
      </c>
      <c r="V56" s="1392">
        <v>0</v>
      </c>
      <c r="W56" s="1374">
        <f t="shared" si="5"/>
        <v>0</v>
      </c>
      <c r="X56" s="1396"/>
      <c r="Y56" s="1375"/>
      <c r="Z56" s="1370"/>
      <c r="AA56" s="1356"/>
      <c r="AB56" s="1369"/>
      <c r="AC56" s="1370"/>
      <c r="AD56" s="1357"/>
      <c r="AE56" s="1375"/>
      <c r="AF56" s="1370"/>
      <c r="AG56" s="1357"/>
      <c r="AH56" s="1376">
        <f t="shared" si="21"/>
        <v>1850</v>
      </c>
      <c r="AI56" s="1338"/>
    </row>
    <row r="57" spans="1:35" s="1339" customFormat="1" ht="18" customHeight="1" x14ac:dyDescent="0.2">
      <c r="A57" s="1378">
        <v>54115</v>
      </c>
      <c r="B57" s="1390" t="s">
        <v>41</v>
      </c>
      <c r="C57" s="1383">
        <f>'egresos 25% y F.P'!C134</f>
        <v>100</v>
      </c>
      <c r="D57" s="1362">
        <f>'egresos 25% y F.P'!D134</f>
        <v>100</v>
      </c>
      <c r="E57" s="1362">
        <f>'egresos 25% y F.P'!E134</f>
        <v>100</v>
      </c>
      <c r="F57" s="1362">
        <f>'egresos 25% y F.P'!F134</f>
        <v>50</v>
      </c>
      <c r="G57" s="1384">
        <f t="shared" si="27"/>
        <v>350</v>
      </c>
      <c r="H57" s="1382">
        <f>'egresos 25% y F.P'!C25</f>
        <v>500</v>
      </c>
      <c r="I57" s="1366">
        <f>'egresos 25% y F.P'!D25</f>
        <v>1200</v>
      </c>
      <c r="J57" s="1366">
        <f>'egresos 25% y F.P'!E25</f>
        <v>300</v>
      </c>
      <c r="K57" s="1366">
        <f>'egresos 25% y F.P'!F25</f>
        <v>100</v>
      </c>
      <c r="L57" s="1368">
        <f t="shared" si="28"/>
        <v>2100</v>
      </c>
      <c r="M57" s="1392">
        <v>0</v>
      </c>
      <c r="N57" s="1393">
        <v>0</v>
      </c>
      <c r="O57" s="1393">
        <v>0</v>
      </c>
      <c r="P57" s="1393">
        <v>0</v>
      </c>
      <c r="Q57" s="1393">
        <v>0</v>
      </c>
      <c r="R57" s="1393">
        <v>0</v>
      </c>
      <c r="S57" s="1371">
        <f t="shared" si="26"/>
        <v>0</v>
      </c>
      <c r="T57" s="1394">
        <v>0</v>
      </c>
      <c r="U57" s="1395">
        <v>0</v>
      </c>
      <c r="V57" s="1392">
        <v>0</v>
      </c>
      <c r="W57" s="1374">
        <f t="shared" si="5"/>
        <v>0</v>
      </c>
      <c r="X57" s="1396"/>
      <c r="Y57" s="1375"/>
      <c r="Z57" s="1370"/>
      <c r="AA57" s="1356"/>
      <c r="AB57" s="1369"/>
      <c r="AC57" s="1370"/>
      <c r="AD57" s="1357"/>
      <c r="AE57" s="1375"/>
      <c r="AF57" s="1370"/>
      <c r="AG57" s="1357"/>
      <c r="AH57" s="1376">
        <f t="shared" si="21"/>
        <v>2450</v>
      </c>
      <c r="AI57" s="1338"/>
    </row>
    <row r="58" spans="1:35" s="1377" customFormat="1" ht="18" customHeight="1" x14ac:dyDescent="0.2">
      <c r="A58" s="1378">
        <v>54116</v>
      </c>
      <c r="B58" s="1390" t="s">
        <v>42</v>
      </c>
      <c r="C58" s="1383">
        <f>'egresos 25% y F.P'!C135</f>
        <v>250</v>
      </c>
      <c r="D58" s="1362">
        <v>0</v>
      </c>
      <c r="E58" s="1362">
        <v>0</v>
      </c>
      <c r="F58" s="1362">
        <v>0</v>
      </c>
      <c r="G58" s="1384">
        <f t="shared" si="27"/>
        <v>250</v>
      </c>
      <c r="H58" s="1382">
        <f>'egresos 25% y F.P'!C26</f>
        <v>100</v>
      </c>
      <c r="I58" s="1366">
        <f>'egresos 25% y F.P'!D26</f>
        <v>0</v>
      </c>
      <c r="J58" s="1366">
        <f>'egresos 25% y F.P'!E26</f>
        <v>0</v>
      </c>
      <c r="K58" s="1366">
        <f>'egresos 25% y F.P'!F26</f>
        <v>0</v>
      </c>
      <c r="L58" s="1368">
        <f t="shared" si="28"/>
        <v>100</v>
      </c>
      <c r="M58" s="1392">
        <v>0</v>
      </c>
      <c r="N58" s="1393">
        <v>0</v>
      </c>
      <c r="O58" s="1393">
        <v>0</v>
      </c>
      <c r="P58" s="1393">
        <v>0</v>
      </c>
      <c r="Q58" s="1393">
        <v>0</v>
      </c>
      <c r="R58" s="1393">
        <v>0</v>
      </c>
      <c r="S58" s="1371">
        <f t="shared" si="26"/>
        <v>0</v>
      </c>
      <c r="T58" s="1394">
        <v>0</v>
      </c>
      <c r="U58" s="1395">
        <v>0</v>
      </c>
      <c r="V58" s="1392">
        <v>0</v>
      </c>
      <c r="W58" s="1374">
        <f t="shared" si="5"/>
        <v>0</v>
      </c>
      <c r="X58" s="1396"/>
      <c r="Y58" s="1375"/>
      <c r="Z58" s="1370"/>
      <c r="AA58" s="1356"/>
      <c r="AB58" s="1369"/>
      <c r="AC58" s="1370"/>
      <c r="AD58" s="1357"/>
      <c r="AE58" s="1375"/>
      <c r="AF58" s="1370"/>
      <c r="AG58" s="1357"/>
      <c r="AH58" s="1376">
        <f t="shared" si="21"/>
        <v>350</v>
      </c>
      <c r="AI58" s="1243"/>
    </row>
    <row r="59" spans="1:35" s="1377" customFormat="1" ht="18" hidden="1" customHeight="1" x14ac:dyDescent="0.2">
      <c r="A59" s="1378">
        <v>54117</v>
      </c>
      <c r="B59" s="1390" t="s">
        <v>43</v>
      </c>
      <c r="C59" s="1383"/>
      <c r="D59" s="1362"/>
      <c r="E59" s="1362"/>
      <c r="F59" s="1362"/>
      <c r="G59" s="1384">
        <f t="shared" si="27"/>
        <v>0</v>
      </c>
      <c r="H59" s="1382">
        <f>'egresos 25% y F.P'!C27</f>
        <v>0</v>
      </c>
      <c r="I59" s="1366">
        <f>'egresos 25% y F.P'!D27</f>
        <v>0</v>
      </c>
      <c r="J59" s="1366">
        <f>'egresos 25% y F.P'!E27</f>
        <v>0</v>
      </c>
      <c r="K59" s="1366">
        <f>'egresos 25% y F.P'!F27</f>
        <v>0</v>
      </c>
      <c r="L59" s="1368">
        <f t="shared" si="28"/>
        <v>0</v>
      </c>
      <c r="M59" s="1369">
        <v>0</v>
      </c>
      <c r="N59" s="1370">
        <v>0</v>
      </c>
      <c r="O59" s="1370">
        <v>0</v>
      </c>
      <c r="P59" s="1370">
        <v>0</v>
      </c>
      <c r="Q59" s="1370">
        <v>0</v>
      </c>
      <c r="R59" s="1370">
        <v>0</v>
      </c>
      <c r="S59" s="1371">
        <f t="shared" si="26"/>
        <v>0</v>
      </c>
      <c r="T59" s="1372">
        <v>0</v>
      </c>
      <c r="U59" s="1373">
        <v>0</v>
      </c>
      <c r="V59" s="1369">
        <v>0</v>
      </c>
      <c r="W59" s="1374">
        <f t="shared" si="5"/>
        <v>0</v>
      </c>
      <c r="X59" s="1369"/>
      <c r="Y59" s="1375"/>
      <c r="Z59" s="1370"/>
      <c r="AA59" s="1356"/>
      <c r="AB59" s="1369"/>
      <c r="AC59" s="1370"/>
      <c r="AD59" s="1357"/>
      <c r="AE59" s="1375"/>
      <c r="AF59" s="1370"/>
      <c r="AG59" s="1357"/>
      <c r="AH59" s="1376">
        <f t="shared" si="21"/>
        <v>0</v>
      </c>
      <c r="AI59" s="1243"/>
    </row>
    <row r="60" spans="1:35" s="1377" customFormat="1" ht="18" customHeight="1" x14ac:dyDescent="0.2">
      <c r="A60" s="1378">
        <v>54118</v>
      </c>
      <c r="B60" s="1390" t="s">
        <v>44</v>
      </c>
      <c r="C60" s="1383">
        <f>'egresos 25% y F.P'!C137</f>
        <v>50</v>
      </c>
      <c r="D60" s="1363">
        <f>'egresos 25% y F.P'!D137</f>
        <v>0</v>
      </c>
      <c r="E60" s="1363">
        <f>'egresos 25% y F.P'!E137</f>
        <v>0</v>
      </c>
      <c r="F60" s="1363">
        <f>'egresos 25% y F.P'!F137</f>
        <v>1500</v>
      </c>
      <c r="G60" s="1384">
        <f t="shared" si="27"/>
        <v>1550</v>
      </c>
      <c r="H60" s="1382">
        <f>'egresos 25% y F.P'!C28</f>
        <v>100</v>
      </c>
      <c r="I60" s="1366">
        <f>'egresos 25% y F.P'!D28</f>
        <v>0</v>
      </c>
      <c r="J60" s="1366">
        <f>'egresos 25% y F.P'!E28</f>
        <v>0</v>
      </c>
      <c r="K60" s="1366">
        <f>'egresos 25% y F.P'!F28</f>
        <v>1000</v>
      </c>
      <c r="L60" s="1368">
        <f t="shared" si="28"/>
        <v>1100</v>
      </c>
      <c r="M60" s="1369">
        <v>0</v>
      </c>
      <c r="N60" s="1370">
        <v>0</v>
      </c>
      <c r="O60" s="1370">
        <v>0</v>
      </c>
      <c r="P60" s="1370">
        <v>0</v>
      </c>
      <c r="Q60" s="1370">
        <v>0</v>
      </c>
      <c r="R60" s="1370">
        <v>0</v>
      </c>
      <c r="S60" s="1371">
        <f t="shared" si="26"/>
        <v>0</v>
      </c>
      <c r="T60" s="1372">
        <v>0</v>
      </c>
      <c r="U60" s="1373">
        <v>0</v>
      </c>
      <c r="V60" s="1369">
        <v>0</v>
      </c>
      <c r="W60" s="1374">
        <f t="shared" si="5"/>
        <v>0</v>
      </c>
      <c r="X60" s="1369"/>
      <c r="Y60" s="1375"/>
      <c r="Z60" s="1370"/>
      <c r="AA60" s="1356"/>
      <c r="AB60" s="1369"/>
      <c r="AC60" s="1370"/>
      <c r="AD60" s="1357"/>
      <c r="AE60" s="1375"/>
      <c r="AF60" s="1370"/>
      <c r="AG60" s="1357"/>
      <c r="AH60" s="1376">
        <f t="shared" si="21"/>
        <v>2650</v>
      </c>
      <c r="AI60" s="1243"/>
    </row>
    <row r="61" spans="1:35" s="1377" customFormat="1" ht="18" customHeight="1" x14ac:dyDescent="0.2">
      <c r="A61" s="1378">
        <v>54119</v>
      </c>
      <c r="B61" s="1390" t="s">
        <v>45</v>
      </c>
      <c r="C61" s="1383">
        <f>'egresos 25% y F.P'!C138</f>
        <v>50</v>
      </c>
      <c r="D61" s="1362">
        <v>0</v>
      </c>
      <c r="E61" s="1362">
        <v>0</v>
      </c>
      <c r="F61" s="1362">
        <v>0</v>
      </c>
      <c r="G61" s="1384">
        <f t="shared" si="27"/>
        <v>50</v>
      </c>
      <c r="H61" s="1382">
        <f>'egresos 25% y F.P'!C29</f>
        <v>100</v>
      </c>
      <c r="I61" s="1366">
        <f>'egresos 25% y F.P'!D29</f>
        <v>0</v>
      </c>
      <c r="J61" s="1366">
        <f>'egresos 25% y F.P'!E29</f>
        <v>0</v>
      </c>
      <c r="K61" s="1366">
        <f>'egresos 25% y F.P'!F29</f>
        <v>300</v>
      </c>
      <c r="L61" s="1368">
        <f t="shared" si="28"/>
        <v>400</v>
      </c>
      <c r="M61" s="1369">
        <v>0</v>
      </c>
      <c r="N61" s="1370">
        <v>0</v>
      </c>
      <c r="O61" s="1370">
        <v>0</v>
      </c>
      <c r="P61" s="1370">
        <v>0</v>
      </c>
      <c r="Q61" s="1370">
        <v>0</v>
      </c>
      <c r="R61" s="1370">
        <v>0</v>
      </c>
      <c r="S61" s="1371">
        <f t="shared" si="26"/>
        <v>0</v>
      </c>
      <c r="T61" s="1372">
        <v>0</v>
      </c>
      <c r="U61" s="1373">
        <v>0</v>
      </c>
      <c r="V61" s="1369">
        <v>0</v>
      </c>
      <c r="W61" s="1374">
        <f t="shared" si="5"/>
        <v>0</v>
      </c>
      <c r="X61" s="1369"/>
      <c r="Y61" s="1375"/>
      <c r="Z61" s="1370"/>
      <c r="AA61" s="1356"/>
      <c r="AB61" s="1369"/>
      <c r="AC61" s="1370"/>
      <c r="AD61" s="1357"/>
      <c r="AE61" s="1375"/>
      <c r="AF61" s="1370"/>
      <c r="AG61" s="1357"/>
      <c r="AH61" s="1376">
        <f t="shared" si="21"/>
        <v>450</v>
      </c>
      <c r="AI61" s="1243"/>
    </row>
    <row r="62" spans="1:35" s="1377" customFormat="1" ht="18" customHeight="1" x14ac:dyDescent="0.2">
      <c r="A62" s="1378">
        <v>54121</v>
      </c>
      <c r="B62" s="1390" t="s">
        <v>46</v>
      </c>
      <c r="C62" s="1383">
        <v>0</v>
      </c>
      <c r="D62" s="1362">
        <v>0</v>
      </c>
      <c r="E62" s="1362">
        <v>0</v>
      </c>
      <c r="F62" s="1362">
        <v>0</v>
      </c>
      <c r="G62" s="1384">
        <f t="shared" si="27"/>
        <v>0</v>
      </c>
      <c r="H62" s="1382"/>
      <c r="I62" s="1366">
        <f>'egresos 25% y F.P'!D30</f>
        <v>4000</v>
      </c>
      <c r="J62" s="1366"/>
      <c r="K62" s="1366"/>
      <c r="L62" s="1368">
        <f t="shared" si="28"/>
        <v>4000</v>
      </c>
      <c r="M62" s="1369">
        <v>0</v>
      </c>
      <c r="N62" s="1370">
        <v>0</v>
      </c>
      <c r="O62" s="1370">
        <v>0</v>
      </c>
      <c r="P62" s="1370">
        <v>0</v>
      </c>
      <c r="Q62" s="1370">
        <v>0</v>
      </c>
      <c r="R62" s="1370">
        <v>0</v>
      </c>
      <c r="S62" s="1371">
        <f t="shared" si="26"/>
        <v>0</v>
      </c>
      <c r="T62" s="1372">
        <v>0</v>
      </c>
      <c r="U62" s="1373">
        <v>0</v>
      </c>
      <c r="V62" s="1369">
        <v>0</v>
      </c>
      <c r="W62" s="1374">
        <f t="shared" si="5"/>
        <v>0</v>
      </c>
      <c r="X62" s="1369"/>
      <c r="Y62" s="1375"/>
      <c r="Z62" s="1370"/>
      <c r="AA62" s="1356"/>
      <c r="AB62" s="1369"/>
      <c r="AC62" s="1370"/>
      <c r="AD62" s="1357"/>
      <c r="AE62" s="1375"/>
      <c r="AF62" s="1370"/>
      <c r="AG62" s="1357"/>
      <c r="AH62" s="1376">
        <f t="shared" si="21"/>
        <v>4000</v>
      </c>
      <c r="AI62" s="1243"/>
    </row>
    <row r="63" spans="1:35" s="1377" customFormat="1" ht="18" customHeight="1" x14ac:dyDescent="0.2">
      <c r="A63" s="1378">
        <v>54199</v>
      </c>
      <c r="B63" s="1390" t="s">
        <v>47</v>
      </c>
      <c r="C63" s="1383">
        <f>'egresos 25% y F.P'!C140</f>
        <v>1500</v>
      </c>
      <c r="D63" s="1363">
        <f>'egresos 25% y F.P'!D140</f>
        <v>50</v>
      </c>
      <c r="E63" s="1363">
        <f>'egresos 25% y F.P'!E140</f>
        <v>50</v>
      </c>
      <c r="F63" s="1363">
        <f>'egresos 25% y F.P'!F140</f>
        <v>500</v>
      </c>
      <c r="G63" s="1384">
        <f t="shared" si="27"/>
        <v>2100</v>
      </c>
      <c r="H63" s="1382">
        <f>'egresos 25% y F.P'!C31</f>
        <v>1500</v>
      </c>
      <c r="I63" s="1366">
        <f>'egresos 25% y F.P'!D31</f>
        <v>100</v>
      </c>
      <c r="J63" s="1366">
        <f>'egresos 25% y F.P'!E31</f>
        <v>100</v>
      </c>
      <c r="K63" s="1366">
        <f>'egresos 25% y F.P'!F31</f>
        <v>100</v>
      </c>
      <c r="L63" s="1368">
        <f t="shared" si="28"/>
        <v>1800</v>
      </c>
      <c r="M63" s="1369">
        <v>0</v>
      </c>
      <c r="N63" s="1370">
        <v>0</v>
      </c>
      <c r="O63" s="1370">
        <v>0</v>
      </c>
      <c r="P63" s="1370">
        <v>0</v>
      </c>
      <c r="Q63" s="1370">
        <v>0</v>
      </c>
      <c r="R63" s="1370">
        <v>0</v>
      </c>
      <c r="S63" s="1371">
        <f t="shared" si="26"/>
        <v>0</v>
      </c>
      <c r="T63" s="1372">
        <v>0</v>
      </c>
      <c r="U63" s="1373">
        <v>0</v>
      </c>
      <c r="V63" s="1369">
        <v>0</v>
      </c>
      <c r="W63" s="1374">
        <f t="shared" si="5"/>
        <v>0</v>
      </c>
      <c r="X63" s="1369"/>
      <c r="Y63" s="1375"/>
      <c r="Z63" s="1370"/>
      <c r="AA63" s="1356"/>
      <c r="AB63" s="1369"/>
      <c r="AC63" s="1370"/>
      <c r="AD63" s="1357"/>
      <c r="AE63" s="1375"/>
      <c r="AF63" s="1370"/>
      <c r="AG63" s="1357"/>
      <c r="AH63" s="1376">
        <f t="shared" si="21"/>
        <v>3900</v>
      </c>
      <c r="AI63" s="1243"/>
    </row>
    <row r="64" spans="1:35" s="1377" customFormat="1" ht="18" customHeight="1" x14ac:dyDescent="0.2">
      <c r="A64" s="1340">
        <v>542</v>
      </c>
      <c r="B64" s="1391" t="s">
        <v>48</v>
      </c>
      <c r="C64" s="1342">
        <f t="shared" ref="C64:K64" si="29">SUM(C65:C69)</f>
        <v>4200</v>
      </c>
      <c r="D64" s="1387">
        <f t="shared" si="29"/>
        <v>0</v>
      </c>
      <c r="E64" s="1387">
        <f t="shared" si="29"/>
        <v>0</v>
      </c>
      <c r="F64" s="1387">
        <f t="shared" si="29"/>
        <v>58363.840000000004</v>
      </c>
      <c r="G64" s="1388">
        <f>SUM(G65:G69)</f>
        <v>62563.840000000004</v>
      </c>
      <c r="H64" s="1381">
        <f t="shared" si="29"/>
        <v>10500</v>
      </c>
      <c r="I64" s="1346">
        <f t="shared" si="29"/>
        <v>0</v>
      </c>
      <c r="J64" s="1346">
        <f t="shared" si="29"/>
        <v>0</v>
      </c>
      <c r="K64" s="1346">
        <f t="shared" si="29"/>
        <v>130281.43</v>
      </c>
      <c r="L64" s="1348">
        <f>SUM(H64:K64)</f>
        <v>140781.43</v>
      </c>
      <c r="M64" s="1353">
        <v>0</v>
      </c>
      <c r="N64" s="1349">
        <v>0</v>
      </c>
      <c r="O64" s="1349">
        <v>0</v>
      </c>
      <c r="P64" s="1349">
        <v>0</v>
      </c>
      <c r="Q64" s="1349">
        <v>0</v>
      </c>
      <c r="R64" s="1349">
        <v>0</v>
      </c>
      <c r="S64" s="1350">
        <f t="shared" si="26"/>
        <v>0</v>
      </c>
      <c r="T64" s="1351">
        <v>0</v>
      </c>
      <c r="U64" s="1352">
        <v>0</v>
      </c>
      <c r="V64" s="1353">
        <v>0</v>
      </c>
      <c r="W64" s="1354">
        <f t="shared" si="5"/>
        <v>0</v>
      </c>
      <c r="X64" s="1369"/>
      <c r="Y64" s="1375"/>
      <c r="Z64" s="1370"/>
      <c r="AA64" s="1356"/>
      <c r="AB64" s="1369"/>
      <c r="AC64" s="1370"/>
      <c r="AD64" s="1357"/>
      <c r="AE64" s="1375"/>
      <c r="AF64" s="1370"/>
      <c r="AG64" s="1357"/>
      <c r="AH64" s="1358">
        <f t="shared" si="21"/>
        <v>203345.27</v>
      </c>
      <c r="AI64" s="1243"/>
    </row>
    <row r="65" spans="1:35" s="1377" customFormat="1" ht="18" customHeight="1" x14ac:dyDescent="0.2">
      <c r="A65" s="1378">
        <v>54201</v>
      </c>
      <c r="B65" s="1390" t="s">
        <v>49</v>
      </c>
      <c r="C65" s="1383">
        <f>'egresos 25% y F.P'!C142</f>
        <v>500</v>
      </c>
      <c r="D65" s="1362">
        <v>0</v>
      </c>
      <c r="E65" s="1362">
        <v>0</v>
      </c>
      <c r="F65" s="1362">
        <f>'egresos 25% y F.P'!F142</f>
        <v>54463.840000000004</v>
      </c>
      <c r="G65" s="1384">
        <f t="shared" ref="G65:G90" si="30">SUM(C65:F65)</f>
        <v>54963.840000000004</v>
      </c>
      <c r="H65" s="1382">
        <f>'egresos 25% y F.P'!C33</f>
        <v>2500</v>
      </c>
      <c r="I65" s="1366">
        <v>0</v>
      </c>
      <c r="J65" s="1366">
        <v>0</v>
      </c>
      <c r="K65" s="1366">
        <f>'egresos 25% y F.P'!F33</f>
        <v>114481.43</v>
      </c>
      <c r="L65" s="1368">
        <f t="shared" si="28"/>
        <v>116981.43</v>
      </c>
      <c r="M65" s="1369">
        <v>0</v>
      </c>
      <c r="N65" s="1370">
        <v>0</v>
      </c>
      <c r="O65" s="1370">
        <v>0</v>
      </c>
      <c r="P65" s="1370">
        <v>0</v>
      </c>
      <c r="Q65" s="1370">
        <v>0</v>
      </c>
      <c r="R65" s="1370">
        <v>0</v>
      </c>
      <c r="S65" s="1371">
        <f t="shared" si="26"/>
        <v>0</v>
      </c>
      <c r="T65" s="1372">
        <v>0</v>
      </c>
      <c r="U65" s="1373">
        <v>0</v>
      </c>
      <c r="V65" s="1369">
        <v>0</v>
      </c>
      <c r="W65" s="1374">
        <f t="shared" si="5"/>
        <v>0</v>
      </c>
      <c r="X65" s="1369"/>
      <c r="Y65" s="1375"/>
      <c r="Z65" s="1370"/>
      <c r="AA65" s="1356"/>
      <c r="AB65" s="1369"/>
      <c r="AC65" s="1370"/>
      <c r="AD65" s="1357"/>
      <c r="AE65" s="1375"/>
      <c r="AF65" s="1370"/>
      <c r="AG65" s="1357"/>
      <c r="AH65" s="1376">
        <f t="shared" si="21"/>
        <v>171945.27</v>
      </c>
      <c r="AI65" s="1243"/>
    </row>
    <row r="66" spans="1:35" s="1377" customFormat="1" ht="18" customHeight="1" x14ac:dyDescent="0.2">
      <c r="A66" s="1378">
        <v>54202</v>
      </c>
      <c r="B66" s="1390" t="s">
        <v>50</v>
      </c>
      <c r="C66" s="1383">
        <f>'egresos 25% y F.P'!C143</f>
        <v>200</v>
      </c>
      <c r="D66" s="1362">
        <v>0</v>
      </c>
      <c r="E66" s="1362">
        <v>0</v>
      </c>
      <c r="F66" s="1362">
        <f>'egresos 25% y F.P'!F143</f>
        <v>200</v>
      </c>
      <c r="G66" s="1384">
        <f t="shared" si="30"/>
        <v>400</v>
      </c>
      <c r="H66" s="1382">
        <f>'egresos 25% y F.P'!C34</f>
        <v>1000</v>
      </c>
      <c r="I66" s="1366">
        <v>0</v>
      </c>
      <c r="J66" s="1366">
        <v>0</v>
      </c>
      <c r="K66" s="1366">
        <f>'egresos 25% y F.P'!F34</f>
        <v>500</v>
      </c>
      <c r="L66" s="1368">
        <f t="shared" si="28"/>
        <v>1500</v>
      </c>
      <c r="M66" s="1369">
        <v>0</v>
      </c>
      <c r="N66" s="1370">
        <v>0</v>
      </c>
      <c r="O66" s="1370">
        <v>0</v>
      </c>
      <c r="P66" s="1370">
        <v>0</v>
      </c>
      <c r="Q66" s="1370">
        <v>0</v>
      </c>
      <c r="R66" s="1370">
        <v>0</v>
      </c>
      <c r="S66" s="1371">
        <f t="shared" si="26"/>
        <v>0</v>
      </c>
      <c r="T66" s="1372">
        <v>0</v>
      </c>
      <c r="U66" s="1373">
        <v>0</v>
      </c>
      <c r="V66" s="1369">
        <v>0</v>
      </c>
      <c r="W66" s="1374">
        <f t="shared" si="5"/>
        <v>0</v>
      </c>
      <c r="X66" s="1369"/>
      <c r="Y66" s="1375"/>
      <c r="Z66" s="1370"/>
      <c r="AA66" s="1356"/>
      <c r="AB66" s="1369"/>
      <c r="AC66" s="1370"/>
      <c r="AD66" s="1357"/>
      <c r="AE66" s="1375"/>
      <c r="AF66" s="1370"/>
      <c r="AG66" s="1357"/>
      <c r="AH66" s="1376">
        <f t="shared" si="21"/>
        <v>1900</v>
      </c>
      <c r="AI66" s="1243"/>
    </row>
    <row r="67" spans="1:35" s="1377" customFormat="1" ht="18" customHeight="1" x14ac:dyDescent="0.2">
      <c r="A67" s="1378">
        <v>54203</v>
      </c>
      <c r="B67" s="1390" t="s">
        <v>51</v>
      </c>
      <c r="C67" s="1383">
        <f>'egresos 25% y F.P'!C144</f>
        <v>3500</v>
      </c>
      <c r="D67" s="1362">
        <f>'egresos 25% y F.P'!D144</f>
        <v>0</v>
      </c>
      <c r="E67" s="1362">
        <f>'egresos 25% y F.P'!E144</f>
        <v>0</v>
      </c>
      <c r="F67" s="1362">
        <f>'egresos 25% y F.P'!F144</f>
        <v>200</v>
      </c>
      <c r="G67" s="1384">
        <f t="shared" si="30"/>
        <v>3700</v>
      </c>
      <c r="H67" s="1382">
        <f>'egresos 25% y F.P'!C35</f>
        <v>7000</v>
      </c>
      <c r="I67" s="1366">
        <v>0</v>
      </c>
      <c r="J67" s="1366">
        <v>0</v>
      </c>
      <c r="K67" s="1366">
        <f>'egresos 25% y F.P'!F35</f>
        <v>300</v>
      </c>
      <c r="L67" s="1368">
        <f t="shared" si="28"/>
        <v>7300</v>
      </c>
      <c r="M67" s="1369">
        <v>0</v>
      </c>
      <c r="N67" s="1370">
        <v>0</v>
      </c>
      <c r="O67" s="1370">
        <v>0</v>
      </c>
      <c r="P67" s="1370">
        <v>0</v>
      </c>
      <c r="Q67" s="1370">
        <v>0</v>
      </c>
      <c r="R67" s="1370">
        <v>0</v>
      </c>
      <c r="S67" s="1371">
        <f t="shared" si="26"/>
        <v>0</v>
      </c>
      <c r="T67" s="1397">
        <v>0</v>
      </c>
      <c r="U67" s="1373">
        <v>0</v>
      </c>
      <c r="V67" s="1398">
        <v>0</v>
      </c>
      <c r="W67" s="1374">
        <f t="shared" si="5"/>
        <v>0</v>
      </c>
      <c r="X67" s="1397"/>
      <c r="Y67" s="1375"/>
      <c r="Z67" s="1370"/>
      <c r="AA67" s="1356"/>
      <c r="AB67" s="1369"/>
      <c r="AC67" s="1370"/>
      <c r="AD67" s="1357"/>
      <c r="AE67" s="1375"/>
      <c r="AF67" s="1370"/>
      <c r="AG67" s="1357"/>
      <c r="AH67" s="1376">
        <f t="shared" si="21"/>
        <v>11000</v>
      </c>
      <c r="AI67" s="1243"/>
    </row>
    <row r="68" spans="1:35" s="1377" customFormat="1" ht="18" hidden="1" customHeight="1" x14ac:dyDescent="0.2">
      <c r="A68" s="1378">
        <v>54204</v>
      </c>
      <c r="B68" s="1390" t="s">
        <v>52</v>
      </c>
      <c r="C68" s="1383"/>
      <c r="D68" s="1362"/>
      <c r="E68" s="1362"/>
      <c r="F68" s="1362"/>
      <c r="G68" s="1384">
        <f t="shared" si="30"/>
        <v>0</v>
      </c>
      <c r="H68" s="1382"/>
      <c r="I68" s="1366">
        <v>0</v>
      </c>
      <c r="J68" s="1366">
        <v>0</v>
      </c>
      <c r="K68" s="1366"/>
      <c r="L68" s="1368">
        <f t="shared" si="28"/>
        <v>0</v>
      </c>
      <c r="M68" s="1369">
        <v>0</v>
      </c>
      <c r="N68" s="1370">
        <v>0</v>
      </c>
      <c r="O68" s="1370">
        <v>0</v>
      </c>
      <c r="P68" s="1370">
        <v>0</v>
      </c>
      <c r="Q68" s="1370">
        <v>0</v>
      </c>
      <c r="R68" s="1370">
        <v>0</v>
      </c>
      <c r="S68" s="1371">
        <f t="shared" si="26"/>
        <v>0</v>
      </c>
      <c r="T68" s="1372">
        <v>0</v>
      </c>
      <c r="U68" s="1373">
        <v>0</v>
      </c>
      <c r="V68" s="1369">
        <v>0</v>
      </c>
      <c r="W68" s="1374">
        <f t="shared" si="5"/>
        <v>0</v>
      </c>
      <c r="X68" s="1369"/>
      <c r="Y68" s="1375"/>
      <c r="Z68" s="1370"/>
      <c r="AA68" s="1356"/>
      <c r="AB68" s="1369"/>
      <c r="AC68" s="1370"/>
      <c r="AD68" s="1357"/>
      <c r="AE68" s="1375"/>
      <c r="AF68" s="1370"/>
      <c r="AG68" s="1357"/>
      <c r="AH68" s="1376">
        <f t="shared" si="21"/>
        <v>0</v>
      </c>
      <c r="AI68" s="1243"/>
    </row>
    <row r="69" spans="1:35" s="1377" customFormat="1" ht="18" customHeight="1" x14ac:dyDescent="0.2">
      <c r="A69" s="1378">
        <v>54205</v>
      </c>
      <c r="B69" s="1390" t="s">
        <v>53</v>
      </c>
      <c r="C69" s="1383">
        <v>0</v>
      </c>
      <c r="D69" s="1362">
        <v>0</v>
      </c>
      <c r="E69" s="1362">
        <v>0</v>
      </c>
      <c r="F69" s="1362">
        <f>'egresos 25% y F.P'!F146</f>
        <v>3500</v>
      </c>
      <c r="G69" s="1384">
        <f t="shared" si="30"/>
        <v>3500</v>
      </c>
      <c r="H69" s="1382">
        <v>0</v>
      </c>
      <c r="I69" s="1366">
        <v>0</v>
      </c>
      <c r="J69" s="1366">
        <v>0</v>
      </c>
      <c r="K69" s="1366">
        <f>'egresos 25% y F.P'!F37</f>
        <v>15000</v>
      </c>
      <c r="L69" s="1368">
        <f t="shared" si="28"/>
        <v>15000</v>
      </c>
      <c r="M69" s="1369">
        <v>0</v>
      </c>
      <c r="N69" s="1370">
        <v>0</v>
      </c>
      <c r="O69" s="1370">
        <v>0</v>
      </c>
      <c r="P69" s="1370">
        <v>0</v>
      </c>
      <c r="Q69" s="1370">
        <v>0</v>
      </c>
      <c r="R69" s="1370">
        <v>0</v>
      </c>
      <c r="S69" s="1371">
        <f t="shared" si="26"/>
        <v>0</v>
      </c>
      <c r="T69" s="1372">
        <v>0</v>
      </c>
      <c r="U69" s="1373">
        <v>0</v>
      </c>
      <c r="V69" s="1369">
        <v>0</v>
      </c>
      <c r="W69" s="1374">
        <f t="shared" si="5"/>
        <v>0</v>
      </c>
      <c r="X69" s="1369"/>
      <c r="Y69" s="1375"/>
      <c r="Z69" s="1370"/>
      <c r="AA69" s="1356"/>
      <c r="AB69" s="1369"/>
      <c r="AC69" s="1370"/>
      <c r="AD69" s="1357"/>
      <c r="AE69" s="1375"/>
      <c r="AF69" s="1370"/>
      <c r="AG69" s="1357"/>
      <c r="AH69" s="1376">
        <f t="shared" si="21"/>
        <v>18500</v>
      </c>
      <c r="AI69" s="1243"/>
    </row>
    <row r="70" spans="1:35" s="1377" customFormat="1" ht="18" customHeight="1" x14ac:dyDescent="0.2">
      <c r="A70" s="1340">
        <v>543</v>
      </c>
      <c r="B70" s="1391" t="s">
        <v>54</v>
      </c>
      <c r="C70" s="1342">
        <f t="shared" ref="C70:K70" si="31">SUM(C71:C85)</f>
        <v>6900</v>
      </c>
      <c r="D70" s="1387">
        <f t="shared" si="31"/>
        <v>500</v>
      </c>
      <c r="E70" s="1387">
        <f t="shared" si="31"/>
        <v>50</v>
      </c>
      <c r="F70" s="1387">
        <f>SUM(F71:F85)</f>
        <v>5650</v>
      </c>
      <c r="G70" s="1388">
        <f>SUM(G71:G85)</f>
        <v>13100</v>
      </c>
      <c r="H70" s="1381">
        <f t="shared" si="31"/>
        <v>5080</v>
      </c>
      <c r="I70" s="1346">
        <f t="shared" si="31"/>
        <v>300</v>
      </c>
      <c r="J70" s="1346">
        <f t="shared" si="31"/>
        <v>100</v>
      </c>
      <c r="K70" s="1346">
        <f t="shared" si="31"/>
        <v>2100</v>
      </c>
      <c r="L70" s="1348">
        <f>SUM(H70:K70)</f>
        <v>7580</v>
      </c>
      <c r="M70" s="1353">
        <v>0</v>
      </c>
      <c r="N70" s="1349">
        <v>0</v>
      </c>
      <c r="O70" s="1349">
        <v>0</v>
      </c>
      <c r="P70" s="1349">
        <v>0</v>
      </c>
      <c r="Q70" s="1349">
        <v>0</v>
      </c>
      <c r="R70" s="1349">
        <v>0</v>
      </c>
      <c r="S70" s="1350">
        <f t="shared" si="26"/>
        <v>0</v>
      </c>
      <c r="T70" s="1351">
        <v>0</v>
      </c>
      <c r="U70" s="1352">
        <v>0</v>
      </c>
      <c r="V70" s="1353">
        <v>0</v>
      </c>
      <c r="W70" s="1354">
        <f t="shared" si="5"/>
        <v>0</v>
      </c>
      <c r="X70" s="1369"/>
      <c r="Y70" s="1375"/>
      <c r="Z70" s="1370"/>
      <c r="AA70" s="1356"/>
      <c r="AB70" s="1369"/>
      <c r="AC70" s="1370"/>
      <c r="AD70" s="1357"/>
      <c r="AE70" s="1375"/>
      <c r="AF70" s="1370"/>
      <c r="AG70" s="1357"/>
      <c r="AH70" s="1358">
        <f t="shared" si="21"/>
        <v>20680</v>
      </c>
      <c r="AI70" s="1243"/>
    </row>
    <row r="71" spans="1:35" s="1377" customFormat="1" ht="18" customHeight="1" x14ac:dyDescent="0.2">
      <c r="A71" s="1378">
        <v>54301</v>
      </c>
      <c r="B71" s="1390" t="s">
        <v>55</v>
      </c>
      <c r="C71" s="1383">
        <f>'egresos 25% y F.P'!C148</f>
        <v>300</v>
      </c>
      <c r="D71" s="1362">
        <f>'egresos 25% y F.P'!D148</f>
        <v>500</v>
      </c>
      <c r="E71" s="1362">
        <f>'egresos 25% y F.P'!E148</f>
        <v>50</v>
      </c>
      <c r="F71" s="1362">
        <f>+'egresos 25% y F.P'!F148</f>
        <v>150</v>
      </c>
      <c r="G71" s="1384">
        <f t="shared" si="30"/>
        <v>1000</v>
      </c>
      <c r="H71" s="1382">
        <f>'egresos 25% y F.P'!C39</f>
        <v>700</v>
      </c>
      <c r="I71" s="1366">
        <f>'egresos 25% y F.P'!D39</f>
        <v>200</v>
      </c>
      <c r="J71" s="1366">
        <f>'egresos 25% y F.P'!E39</f>
        <v>100</v>
      </c>
      <c r="K71" s="1366">
        <f>'egresos 25% y F.P'!F39</f>
        <v>100</v>
      </c>
      <c r="L71" s="1368">
        <f t="shared" ref="L71:L85" si="32">SUM(H71:K71)</f>
        <v>1100</v>
      </c>
      <c r="M71" s="1369">
        <v>0</v>
      </c>
      <c r="N71" s="1370">
        <v>0</v>
      </c>
      <c r="O71" s="1370">
        <v>0</v>
      </c>
      <c r="P71" s="1370">
        <v>0</v>
      </c>
      <c r="Q71" s="1370">
        <v>0</v>
      </c>
      <c r="R71" s="1370">
        <v>0</v>
      </c>
      <c r="S71" s="1371">
        <f t="shared" si="26"/>
        <v>0</v>
      </c>
      <c r="T71" s="1372">
        <v>0</v>
      </c>
      <c r="U71" s="1373">
        <v>0</v>
      </c>
      <c r="V71" s="1369">
        <v>0</v>
      </c>
      <c r="W71" s="1374">
        <f t="shared" si="5"/>
        <v>0</v>
      </c>
      <c r="X71" s="1369"/>
      <c r="Y71" s="1375"/>
      <c r="Z71" s="1370"/>
      <c r="AA71" s="1356"/>
      <c r="AB71" s="1369"/>
      <c r="AC71" s="1370"/>
      <c r="AD71" s="1357"/>
      <c r="AE71" s="1375"/>
      <c r="AF71" s="1370"/>
      <c r="AG71" s="1357"/>
      <c r="AH71" s="1376">
        <f t="shared" si="21"/>
        <v>2100</v>
      </c>
      <c r="AI71" s="1243"/>
    </row>
    <row r="72" spans="1:35" s="1377" customFormat="1" ht="18" customHeight="1" x14ac:dyDescent="0.2">
      <c r="A72" s="1378">
        <v>54302</v>
      </c>
      <c r="B72" s="1390" t="s">
        <v>56</v>
      </c>
      <c r="C72" s="1383">
        <f>'egresos 25% y F.P'!C149</f>
        <v>500</v>
      </c>
      <c r="D72" s="1362">
        <v>0</v>
      </c>
      <c r="E72" s="1399">
        <v>0</v>
      </c>
      <c r="F72" s="1362">
        <f>'egresos 25% y F.P'!F149</f>
        <v>500</v>
      </c>
      <c r="G72" s="1400">
        <f t="shared" si="30"/>
        <v>1000</v>
      </c>
      <c r="H72" s="1382">
        <f>'egresos 25% y F.P'!C40</f>
        <v>3000</v>
      </c>
      <c r="I72" s="1366">
        <f>'egresos 25% y F.P'!D40</f>
        <v>0</v>
      </c>
      <c r="J72" s="1366">
        <f>'egresos 25% y F.P'!E40</f>
        <v>0</v>
      </c>
      <c r="K72" s="1366">
        <f>'egresos 25% y F.P'!F40</f>
        <v>2000</v>
      </c>
      <c r="L72" s="1368">
        <f t="shared" si="32"/>
        <v>5000</v>
      </c>
      <c r="M72" s="1369">
        <v>0</v>
      </c>
      <c r="N72" s="1370">
        <v>0</v>
      </c>
      <c r="O72" s="1370">
        <v>0</v>
      </c>
      <c r="P72" s="1370">
        <v>0</v>
      </c>
      <c r="Q72" s="1370">
        <v>0</v>
      </c>
      <c r="R72" s="1370">
        <v>0</v>
      </c>
      <c r="S72" s="1371">
        <f t="shared" si="26"/>
        <v>0</v>
      </c>
      <c r="T72" s="1372">
        <v>0</v>
      </c>
      <c r="U72" s="1373">
        <v>0</v>
      </c>
      <c r="V72" s="1369">
        <v>0</v>
      </c>
      <c r="W72" s="1374">
        <f t="shared" si="5"/>
        <v>0</v>
      </c>
      <c r="X72" s="1369"/>
      <c r="Y72" s="1375"/>
      <c r="Z72" s="1370"/>
      <c r="AA72" s="1356"/>
      <c r="AB72" s="1369"/>
      <c r="AC72" s="1370"/>
      <c r="AD72" s="1357"/>
      <c r="AE72" s="1375"/>
      <c r="AF72" s="1370"/>
      <c r="AG72" s="1357"/>
      <c r="AH72" s="1376">
        <f t="shared" si="21"/>
        <v>6000</v>
      </c>
      <c r="AI72" s="1243"/>
    </row>
    <row r="73" spans="1:35" s="1377" customFormat="1" ht="18" hidden="1" customHeight="1" x14ac:dyDescent="0.2">
      <c r="A73" s="1378">
        <v>54303</v>
      </c>
      <c r="B73" s="1390" t="s">
        <v>57</v>
      </c>
      <c r="C73" s="1383"/>
      <c r="D73" s="1362">
        <v>0</v>
      </c>
      <c r="E73" s="1362">
        <v>0</v>
      </c>
      <c r="F73" s="1362"/>
      <c r="G73" s="1384">
        <f t="shared" si="30"/>
        <v>0</v>
      </c>
      <c r="H73" s="1382"/>
      <c r="I73" s="1366"/>
      <c r="J73" s="1366"/>
      <c r="K73" s="1366"/>
      <c r="L73" s="1368">
        <f t="shared" si="32"/>
        <v>0</v>
      </c>
      <c r="M73" s="1369">
        <v>0</v>
      </c>
      <c r="N73" s="1370">
        <v>0</v>
      </c>
      <c r="O73" s="1370">
        <v>0</v>
      </c>
      <c r="P73" s="1370">
        <v>0</v>
      </c>
      <c r="Q73" s="1370">
        <v>0</v>
      </c>
      <c r="R73" s="1370">
        <v>0</v>
      </c>
      <c r="S73" s="1371">
        <f t="shared" si="26"/>
        <v>0</v>
      </c>
      <c r="T73" s="1372">
        <v>0</v>
      </c>
      <c r="U73" s="1373">
        <v>0</v>
      </c>
      <c r="V73" s="1369">
        <v>0</v>
      </c>
      <c r="W73" s="1374">
        <f t="shared" si="5"/>
        <v>0</v>
      </c>
      <c r="X73" s="1369"/>
      <c r="Y73" s="1375"/>
      <c r="Z73" s="1370"/>
      <c r="AA73" s="1356"/>
      <c r="AB73" s="1369"/>
      <c r="AC73" s="1370"/>
      <c r="AD73" s="1357"/>
      <c r="AE73" s="1375"/>
      <c r="AF73" s="1370"/>
      <c r="AG73" s="1357"/>
      <c r="AH73" s="1376">
        <f t="shared" ref="AH73:AH104" si="33">+L73+S73+G73+AA73+AD73+AG73+T73+W73+X73</f>
        <v>0</v>
      </c>
      <c r="AI73" s="1243"/>
    </row>
    <row r="74" spans="1:35" s="1377" customFormat="1" ht="18" customHeight="1" x14ac:dyDescent="0.2">
      <c r="A74" s="1378">
        <v>54304</v>
      </c>
      <c r="B74" s="1390" t="s">
        <v>58</v>
      </c>
      <c r="C74" s="1383">
        <f>'egresos 25% y F.P'!C151</f>
        <v>2000</v>
      </c>
      <c r="D74" s="1362">
        <v>0</v>
      </c>
      <c r="E74" s="1362">
        <v>0</v>
      </c>
      <c r="F74" s="1362">
        <v>0</v>
      </c>
      <c r="G74" s="1384">
        <f t="shared" si="30"/>
        <v>2000</v>
      </c>
      <c r="H74" s="1382">
        <f>'egresos 25% y F.P'!C42</f>
        <v>0</v>
      </c>
      <c r="I74" s="1366">
        <f>'egresos 25% y F.P'!D42</f>
        <v>0</v>
      </c>
      <c r="J74" s="1366">
        <f>'egresos 25% y F.P'!E42</f>
        <v>0</v>
      </c>
      <c r="K74" s="1366">
        <f>'egresos 25% y F.P'!F42</f>
        <v>0</v>
      </c>
      <c r="L74" s="1368">
        <f t="shared" si="32"/>
        <v>0</v>
      </c>
      <c r="M74" s="1369">
        <v>0</v>
      </c>
      <c r="N74" s="1370">
        <v>0</v>
      </c>
      <c r="O74" s="1370">
        <v>0</v>
      </c>
      <c r="P74" s="1370">
        <v>0</v>
      </c>
      <c r="Q74" s="1370">
        <v>0</v>
      </c>
      <c r="R74" s="1370">
        <v>0</v>
      </c>
      <c r="S74" s="1371">
        <f t="shared" si="26"/>
        <v>0</v>
      </c>
      <c r="T74" s="1372">
        <v>0</v>
      </c>
      <c r="U74" s="1373">
        <v>0</v>
      </c>
      <c r="V74" s="1369">
        <v>0</v>
      </c>
      <c r="W74" s="1374">
        <f t="shared" ref="W74:W141" si="34">+U74+V74</f>
        <v>0</v>
      </c>
      <c r="X74" s="1369"/>
      <c r="Y74" s="1375"/>
      <c r="Z74" s="1370"/>
      <c r="AA74" s="1356"/>
      <c r="AB74" s="1369"/>
      <c r="AC74" s="1370"/>
      <c r="AD74" s="1357"/>
      <c r="AE74" s="1375"/>
      <c r="AF74" s="1370"/>
      <c r="AG74" s="1357"/>
      <c r="AH74" s="1376">
        <f t="shared" si="33"/>
        <v>2000</v>
      </c>
      <c r="AI74" s="1243"/>
    </row>
    <row r="75" spans="1:35" s="1377" customFormat="1" ht="18" customHeight="1" x14ac:dyDescent="0.2">
      <c r="A75" s="1378">
        <v>54305</v>
      </c>
      <c r="B75" s="1390" t="s">
        <v>59</v>
      </c>
      <c r="C75" s="1383">
        <f>'egresos 25% y F.P'!C152</f>
        <v>100</v>
      </c>
      <c r="D75" s="1363">
        <f>'egresos 25% y F.P'!D152</f>
        <v>0</v>
      </c>
      <c r="E75" s="1362">
        <v>0</v>
      </c>
      <c r="F75" s="1362">
        <v>0</v>
      </c>
      <c r="G75" s="1384">
        <f t="shared" si="30"/>
        <v>100</v>
      </c>
      <c r="H75" s="1382">
        <f>'egresos 25% y F.P'!C43</f>
        <v>0</v>
      </c>
      <c r="I75" s="1366">
        <f>'egresos 25% y F.P'!D43</f>
        <v>0</v>
      </c>
      <c r="J75" s="1366">
        <f>'egresos 25% y F.P'!E43</f>
        <v>0</v>
      </c>
      <c r="K75" s="1366">
        <f>'egresos 25% y F.P'!F43</f>
        <v>0</v>
      </c>
      <c r="L75" s="1368">
        <f t="shared" si="32"/>
        <v>0</v>
      </c>
      <c r="M75" s="1369">
        <v>0</v>
      </c>
      <c r="N75" s="1370">
        <v>0</v>
      </c>
      <c r="O75" s="1370">
        <v>0</v>
      </c>
      <c r="P75" s="1370">
        <v>0</v>
      </c>
      <c r="Q75" s="1370">
        <v>0</v>
      </c>
      <c r="R75" s="1370">
        <v>0</v>
      </c>
      <c r="S75" s="1371">
        <f t="shared" si="26"/>
        <v>0</v>
      </c>
      <c r="T75" s="1372">
        <v>0</v>
      </c>
      <c r="U75" s="1373">
        <v>0</v>
      </c>
      <c r="V75" s="1369">
        <v>0</v>
      </c>
      <c r="W75" s="1374">
        <f t="shared" si="34"/>
        <v>0</v>
      </c>
      <c r="X75" s="1369"/>
      <c r="Y75" s="1375"/>
      <c r="Z75" s="1370"/>
      <c r="AA75" s="1356"/>
      <c r="AB75" s="1369"/>
      <c r="AC75" s="1370"/>
      <c r="AD75" s="1357"/>
      <c r="AE75" s="1375"/>
      <c r="AF75" s="1370"/>
      <c r="AG75" s="1357"/>
      <c r="AH75" s="1376">
        <f t="shared" si="33"/>
        <v>100</v>
      </c>
      <c r="AI75" s="1243"/>
    </row>
    <row r="76" spans="1:35" s="1377" customFormat="1" ht="18" hidden="1" customHeight="1" x14ac:dyDescent="0.2">
      <c r="A76" s="1378">
        <v>54306</v>
      </c>
      <c r="B76" s="1390" t="s">
        <v>60</v>
      </c>
      <c r="C76" s="1383">
        <f>'egresos 25% y F.P'!C153</f>
        <v>0</v>
      </c>
      <c r="D76" s="1362"/>
      <c r="E76" s="1362"/>
      <c r="F76" s="1362"/>
      <c r="G76" s="1384">
        <f t="shared" si="30"/>
        <v>0</v>
      </c>
      <c r="H76" s="1382">
        <f>'egresos 25% y F.P'!C44</f>
        <v>0</v>
      </c>
      <c r="I76" s="1366">
        <f>'egresos 25% y F.P'!D44</f>
        <v>0</v>
      </c>
      <c r="J76" s="1366">
        <f>'egresos 25% y F.P'!E44</f>
        <v>0</v>
      </c>
      <c r="K76" s="1366">
        <f>'egresos 25% y F.P'!F44</f>
        <v>0</v>
      </c>
      <c r="L76" s="1368">
        <f t="shared" si="32"/>
        <v>0</v>
      </c>
      <c r="M76" s="1369">
        <v>0</v>
      </c>
      <c r="N76" s="1370">
        <v>0</v>
      </c>
      <c r="O76" s="1370">
        <v>0</v>
      </c>
      <c r="P76" s="1370">
        <v>0</v>
      </c>
      <c r="Q76" s="1370">
        <v>0</v>
      </c>
      <c r="R76" s="1370">
        <v>0</v>
      </c>
      <c r="S76" s="1371">
        <f t="shared" si="26"/>
        <v>0</v>
      </c>
      <c r="T76" s="1372">
        <v>0</v>
      </c>
      <c r="U76" s="1373">
        <v>0</v>
      </c>
      <c r="V76" s="1369">
        <v>0</v>
      </c>
      <c r="W76" s="1374">
        <f t="shared" si="34"/>
        <v>0</v>
      </c>
      <c r="X76" s="1369"/>
      <c r="Y76" s="1375"/>
      <c r="Z76" s="1370"/>
      <c r="AA76" s="1356"/>
      <c r="AB76" s="1369"/>
      <c r="AC76" s="1370"/>
      <c r="AD76" s="1357"/>
      <c r="AE76" s="1375"/>
      <c r="AF76" s="1370"/>
      <c r="AG76" s="1357"/>
      <c r="AH76" s="1376">
        <f t="shared" si="33"/>
        <v>0</v>
      </c>
      <c r="AI76" s="1243"/>
    </row>
    <row r="77" spans="1:35" s="1377" customFormat="1" ht="18" customHeight="1" x14ac:dyDescent="0.2">
      <c r="A77" s="1378">
        <v>54307</v>
      </c>
      <c r="B77" s="1390" t="s">
        <v>61</v>
      </c>
      <c r="C77" s="1383">
        <f>'egresos 25% y F.P'!C154</f>
        <v>0</v>
      </c>
      <c r="D77" s="1362">
        <v>0</v>
      </c>
      <c r="E77" s="1362">
        <v>0</v>
      </c>
      <c r="F77" s="1362">
        <v>0</v>
      </c>
      <c r="G77" s="1384">
        <f t="shared" si="30"/>
        <v>0</v>
      </c>
      <c r="H77" s="1382">
        <f>'egresos 25% y F.P'!C45</f>
        <v>1280</v>
      </c>
      <c r="I77" s="1366">
        <f>'egresos 25% y F.P'!D45</f>
        <v>0</v>
      </c>
      <c r="J77" s="1366">
        <f>'egresos 25% y F.P'!E45</f>
        <v>0</v>
      </c>
      <c r="K77" s="1366">
        <f>'egresos 25% y F.P'!F45</f>
        <v>0</v>
      </c>
      <c r="L77" s="1368">
        <f t="shared" si="32"/>
        <v>1280</v>
      </c>
      <c r="M77" s="1369">
        <v>0</v>
      </c>
      <c r="N77" s="1370">
        <v>0</v>
      </c>
      <c r="O77" s="1370">
        <v>0</v>
      </c>
      <c r="P77" s="1370">
        <v>0</v>
      </c>
      <c r="Q77" s="1370">
        <v>0</v>
      </c>
      <c r="R77" s="1370">
        <v>0</v>
      </c>
      <c r="S77" s="1371">
        <f t="shared" si="26"/>
        <v>0</v>
      </c>
      <c r="T77" s="1372">
        <v>0</v>
      </c>
      <c r="U77" s="1373">
        <v>0</v>
      </c>
      <c r="V77" s="1369">
        <v>0</v>
      </c>
      <c r="W77" s="1374">
        <f t="shared" si="34"/>
        <v>0</v>
      </c>
      <c r="X77" s="1369"/>
      <c r="Y77" s="1375"/>
      <c r="Z77" s="1370"/>
      <c r="AA77" s="1356"/>
      <c r="AB77" s="1369"/>
      <c r="AC77" s="1370"/>
      <c r="AD77" s="1357"/>
      <c r="AE77" s="1375"/>
      <c r="AF77" s="1370"/>
      <c r="AG77" s="1357"/>
      <c r="AH77" s="1376">
        <f t="shared" si="33"/>
        <v>1280</v>
      </c>
      <c r="AI77" s="1243"/>
    </row>
    <row r="78" spans="1:35" s="1377" customFormat="1" ht="18" hidden="1" customHeight="1" x14ac:dyDescent="0.2">
      <c r="A78" s="1378">
        <v>54309</v>
      </c>
      <c r="B78" s="1390" t="s">
        <v>62</v>
      </c>
      <c r="C78" s="1383">
        <f>'egresos 25% y F.P'!C155</f>
        <v>0</v>
      </c>
      <c r="D78" s="1362">
        <v>0</v>
      </c>
      <c r="E78" s="1362">
        <v>0</v>
      </c>
      <c r="F78" s="1362">
        <v>0</v>
      </c>
      <c r="G78" s="1384">
        <f t="shared" si="30"/>
        <v>0</v>
      </c>
      <c r="H78" s="1382">
        <f>'egresos 25% y F.P'!C46</f>
        <v>0</v>
      </c>
      <c r="I78" s="1366">
        <f>'egresos 25% y F.P'!D46</f>
        <v>0</v>
      </c>
      <c r="J78" s="1366">
        <f>'egresos 25% y F.P'!E46</f>
        <v>0</v>
      </c>
      <c r="K78" s="1366">
        <f>'egresos 25% y F.P'!F46</f>
        <v>0</v>
      </c>
      <c r="L78" s="1368">
        <f t="shared" si="32"/>
        <v>0</v>
      </c>
      <c r="M78" s="1369">
        <v>0</v>
      </c>
      <c r="N78" s="1370">
        <v>0</v>
      </c>
      <c r="O78" s="1370">
        <v>0</v>
      </c>
      <c r="P78" s="1370">
        <v>0</v>
      </c>
      <c r="Q78" s="1370">
        <v>0</v>
      </c>
      <c r="R78" s="1370">
        <v>0</v>
      </c>
      <c r="S78" s="1371">
        <f t="shared" si="26"/>
        <v>0</v>
      </c>
      <c r="T78" s="1372">
        <v>0</v>
      </c>
      <c r="U78" s="1373">
        <v>0</v>
      </c>
      <c r="V78" s="1369">
        <v>0</v>
      </c>
      <c r="W78" s="1374">
        <f t="shared" si="34"/>
        <v>0</v>
      </c>
      <c r="X78" s="1369"/>
      <c r="Y78" s="1375"/>
      <c r="Z78" s="1370"/>
      <c r="AA78" s="1356"/>
      <c r="AB78" s="1369"/>
      <c r="AC78" s="1370"/>
      <c r="AD78" s="1357"/>
      <c r="AE78" s="1375"/>
      <c r="AF78" s="1370"/>
      <c r="AG78" s="1357"/>
      <c r="AH78" s="1376">
        <f t="shared" si="33"/>
        <v>0</v>
      </c>
      <c r="AI78" s="1243"/>
    </row>
    <row r="79" spans="1:35" s="1377" customFormat="1" ht="18" hidden="1" customHeight="1" x14ac:dyDescent="0.2">
      <c r="A79" s="1378">
        <v>54310</v>
      </c>
      <c r="B79" s="1390" t="s">
        <v>63</v>
      </c>
      <c r="C79" s="1383">
        <f>'egresos 25% y F.P'!C156</f>
        <v>0</v>
      </c>
      <c r="D79" s="1362">
        <v>0</v>
      </c>
      <c r="E79" s="1362">
        <v>0</v>
      </c>
      <c r="F79" s="1362">
        <v>0</v>
      </c>
      <c r="G79" s="1384">
        <f t="shared" si="30"/>
        <v>0</v>
      </c>
      <c r="H79" s="1382">
        <f>'egresos 25% y F.P'!C47</f>
        <v>0</v>
      </c>
      <c r="I79" s="1366">
        <f>'egresos 25% y F.P'!D47</f>
        <v>0</v>
      </c>
      <c r="J79" s="1366">
        <f>'egresos 25% y F.P'!E47</f>
        <v>0</v>
      </c>
      <c r="K79" s="1366">
        <f>'egresos 25% y F.P'!F47</f>
        <v>0</v>
      </c>
      <c r="L79" s="1368">
        <f t="shared" si="32"/>
        <v>0</v>
      </c>
      <c r="M79" s="1369">
        <v>0</v>
      </c>
      <c r="N79" s="1370">
        <v>0</v>
      </c>
      <c r="O79" s="1370">
        <v>0</v>
      </c>
      <c r="P79" s="1370">
        <v>0</v>
      </c>
      <c r="Q79" s="1370">
        <v>0</v>
      </c>
      <c r="R79" s="1370">
        <v>0</v>
      </c>
      <c r="S79" s="1371">
        <f t="shared" si="26"/>
        <v>0</v>
      </c>
      <c r="T79" s="1372">
        <v>0</v>
      </c>
      <c r="U79" s="1373">
        <v>0</v>
      </c>
      <c r="V79" s="1369">
        <v>0</v>
      </c>
      <c r="W79" s="1374">
        <f t="shared" si="34"/>
        <v>0</v>
      </c>
      <c r="X79" s="1369"/>
      <c r="Y79" s="1375"/>
      <c r="Z79" s="1370"/>
      <c r="AA79" s="1356"/>
      <c r="AB79" s="1369"/>
      <c r="AC79" s="1370"/>
      <c r="AD79" s="1357"/>
      <c r="AE79" s="1375"/>
      <c r="AF79" s="1370"/>
      <c r="AG79" s="1357"/>
      <c r="AH79" s="1376">
        <f t="shared" si="33"/>
        <v>0</v>
      </c>
      <c r="AI79" s="1243"/>
    </row>
    <row r="80" spans="1:35" s="1377" customFormat="1" ht="18" hidden="1" customHeight="1" x14ac:dyDescent="0.2">
      <c r="A80" s="1378">
        <v>54311</v>
      </c>
      <c r="B80" s="1390" t="s">
        <v>64</v>
      </c>
      <c r="C80" s="1383">
        <f>'egresos 25% y F.P'!C157</f>
        <v>0</v>
      </c>
      <c r="D80" s="1362">
        <v>0</v>
      </c>
      <c r="E80" s="1362">
        <v>0</v>
      </c>
      <c r="F80" s="1362">
        <v>0</v>
      </c>
      <c r="G80" s="1384">
        <f t="shared" si="30"/>
        <v>0</v>
      </c>
      <c r="H80" s="1382">
        <f>'egresos 25% y F.P'!C48</f>
        <v>0</v>
      </c>
      <c r="I80" s="1366">
        <f>'egresos 25% y F.P'!D48</f>
        <v>0</v>
      </c>
      <c r="J80" s="1366">
        <f>'egresos 25% y F.P'!E48</f>
        <v>0</v>
      </c>
      <c r="K80" s="1366">
        <f>'egresos 25% y F.P'!F48</f>
        <v>0</v>
      </c>
      <c r="L80" s="1368">
        <f t="shared" si="32"/>
        <v>0</v>
      </c>
      <c r="M80" s="1369">
        <v>0</v>
      </c>
      <c r="N80" s="1370">
        <v>0</v>
      </c>
      <c r="O80" s="1370">
        <v>0</v>
      </c>
      <c r="P80" s="1370">
        <v>0</v>
      </c>
      <c r="Q80" s="1370">
        <v>0</v>
      </c>
      <c r="R80" s="1370">
        <v>0</v>
      </c>
      <c r="S80" s="1371">
        <f t="shared" si="26"/>
        <v>0</v>
      </c>
      <c r="T80" s="1372">
        <v>0</v>
      </c>
      <c r="U80" s="1373">
        <v>0</v>
      </c>
      <c r="V80" s="1369">
        <v>0</v>
      </c>
      <c r="W80" s="1374">
        <f t="shared" si="34"/>
        <v>0</v>
      </c>
      <c r="X80" s="1369"/>
      <c r="Y80" s="1375"/>
      <c r="Z80" s="1370"/>
      <c r="AA80" s="1356"/>
      <c r="AB80" s="1369"/>
      <c r="AC80" s="1370"/>
      <c r="AD80" s="1357"/>
      <c r="AE80" s="1375"/>
      <c r="AF80" s="1370"/>
      <c r="AG80" s="1357"/>
      <c r="AH80" s="1376">
        <f t="shared" si="33"/>
        <v>0</v>
      </c>
      <c r="AI80" s="1243"/>
    </row>
    <row r="81" spans="1:35" s="1377" customFormat="1" ht="18" hidden="1" customHeight="1" x14ac:dyDescent="0.2">
      <c r="A81" s="1378">
        <v>54313</v>
      </c>
      <c r="B81" s="1390" t="s">
        <v>65</v>
      </c>
      <c r="C81" s="1383">
        <f>'egresos 25% y F.P'!C158</f>
        <v>0</v>
      </c>
      <c r="D81" s="1362">
        <v>0</v>
      </c>
      <c r="E81" s="1362">
        <v>0</v>
      </c>
      <c r="F81" s="1362">
        <v>0</v>
      </c>
      <c r="G81" s="1384">
        <f t="shared" si="30"/>
        <v>0</v>
      </c>
      <c r="H81" s="1382">
        <f>'egresos 25% y F.P'!C49</f>
        <v>0</v>
      </c>
      <c r="I81" s="1366">
        <f>'egresos 25% y F.P'!D49</f>
        <v>0</v>
      </c>
      <c r="J81" s="1366">
        <f>'egresos 25% y F.P'!E49</f>
        <v>0</v>
      </c>
      <c r="K81" s="1366">
        <f>'egresos 25% y F.P'!F49</f>
        <v>0</v>
      </c>
      <c r="L81" s="1368">
        <f t="shared" si="32"/>
        <v>0</v>
      </c>
      <c r="M81" s="1369">
        <v>0</v>
      </c>
      <c r="N81" s="1370">
        <v>0</v>
      </c>
      <c r="O81" s="1370">
        <v>0</v>
      </c>
      <c r="P81" s="1370">
        <v>0</v>
      </c>
      <c r="Q81" s="1370">
        <v>0</v>
      </c>
      <c r="R81" s="1370">
        <v>0</v>
      </c>
      <c r="S81" s="1371">
        <f t="shared" si="26"/>
        <v>0</v>
      </c>
      <c r="T81" s="1372">
        <v>0</v>
      </c>
      <c r="U81" s="1373">
        <v>0</v>
      </c>
      <c r="V81" s="1369">
        <v>0</v>
      </c>
      <c r="W81" s="1374">
        <f t="shared" si="34"/>
        <v>0</v>
      </c>
      <c r="X81" s="1369"/>
      <c r="Y81" s="1375"/>
      <c r="Z81" s="1370"/>
      <c r="AA81" s="1356"/>
      <c r="AB81" s="1369"/>
      <c r="AC81" s="1370"/>
      <c r="AD81" s="1357"/>
      <c r="AE81" s="1375"/>
      <c r="AF81" s="1370"/>
      <c r="AG81" s="1357"/>
      <c r="AH81" s="1376">
        <f t="shared" si="33"/>
        <v>0</v>
      </c>
      <c r="AI81" s="1243"/>
    </row>
    <row r="82" spans="1:35" s="1377" customFormat="1" ht="18" customHeight="1" x14ac:dyDescent="0.2">
      <c r="A82" s="1378">
        <v>54314</v>
      </c>
      <c r="B82" s="1390" t="s">
        <v>66</v>
      </c>
      <c r="C82" s="1383">
        <f>'egresos 25% y F.P'!C160</f>
        <v>3500</v>
      </c>
      <c r="D82" s="1362">
        <v>0</v>
      </c>
      <c r="E82" s="1362">
        <v>0</v>
      </c>
      <c r="F82" s="1362">
        <v>0</v>
      </c>
      <c r="G82" s="1384">
        <f t="shared" si="30"/>
        <v>3500</v>
      </c>
      <c r="H82" s="1382">
        <f>'egresos 25% y F.P'!C50</f>
        <v>0</v>
      </c>
      <c r="I82" s="1366">
        <f>'egresos 25% y F.P'!D50</f>
        <v>0</v>
      </c>
      <c r="J82" s="1366">
        <f>'egresos 25% y F.P'!E50</f>
        <v>0</v>
      </c>
      <c r="K82" s="1366">
        <f>'egresos 25% y F.P'!F50</f>
        <v>0</v>
      </c>
      <c r="L82" s="1368">
        <f t="shared" si="32"/>
        <v>0</v>
      </c>
      <c r="M82" s="1369">
        <v>0</v>
      </c>
      <c r="N82" s="1370">
        <v>0</v>
      </c>
      <c r="O82" s="1370">
        <v>0</v>
      </c>
      <c r="P82" s="1370">
        <v>0</v>
      </c>
      <c r="Q82" s="1370">
        <v>0</v>
      </c>
      <c r="R82" s="1370">
        <v>0</v>
      </c>
      <c r="S82" s="1371">
        <f t="shared" si="26"/>
        <v>0</v>
      </c>
      <c r="T82" s="1372">
        <v>0</v>
      </c>
      <c r="U82" s="1373">
        <v>0</v>
      </c>
      <c r="V82" s="1369">
        <v>0</v>
      </c>
      <c r="W82" s="1374">
        <f t="shared" si="34"/>
        <v>0</v>
      </c>
      <c r="X82" s="1369"/>
      <c r="Y82" s="1375"/>
      <c r="Z82" s="1370"/>
      <c r="AA82" s="1356"/>
      <c r="AB82" s="1369"/>
      <c r="AC82" s="1370"/>
      <c r="AD82" s="1357"/>
      <c r="AE82" s="1375"/>
      <c r="AF82" s="1370"/>
      <c r="AG82" s="1357"/>
      <c r="AH82" s="1376">
        <f t="shared" si="33"/>
        <v>3500</v>
      </c>
      <c r="AI82" s="1243"/>
    </row>
    <row r="83" spans="1:35" s="1377" customFormat="1" ht="18" hidden="1" customHeight="1" x14ac:dyDescent="0.2">
      <c r="A83" s="1378">
        <v>54316</v>
      </c>
      <c r="B83" s="1390" t="s">
        <v>67</v>
      </c>
      <c r="C83" s="1383"/>
      <c r="D83" s="1362"/>
      <c r="E83" s="1362"/>
      <c r="F83" s="1399"/>
      <c r="G83" s="1400">
        <f t="shared" si="30"/>
        <v>0</v>
      </c>
      <c r="H83" s="1382">
        <f>'egresos 25% y F.P'!C51</f>
        <v>0</v>
      </c>
      <c r="I83" s="1366">
        <f>'egresos 25% y F.P'!D51</f>
        <v>0</v>
      </c>
      <c r="J83" s="1366">
        <f>'egresos 25% y F.P'!E51</f>
        <v>0</v>
      </c>
      <c r="K83" s="1366">
        <f>'egresos 25% y F.P'!F51</f>
        <v>0</v>
      </c>
      <c r="L83" s="1368">
        <f t="shared" si="32"/>
        <v>0</v>
      </c>
      <c r="M83" s="1369">
        <v>0</v>
      </c>
      <c r="N83" s="1370">
        <v>0</v>
      </c>
      <c r="O83" s="1370">
        <v>0</v>
      </c>
      <c r="P83" s="1370">
        <v>0</v>
      </c>
      <c r="Q83" s="1370">
        <v>0</v>
      </c>
      <c r="R83" s="1370">
        <v>0</v>
      </c>
      <c r="S83" s="1371">
        <f t="shared" si="26"/>
        <v>0</v>
      </c>
      <c r="T83" s="1372">
        <v>0</v>
      </c>
      <c r="U83" s="1373">
        <v>0</v>
      </c>
      <c r="V83" s="1369">
        <v>0</v>
      </c>
      <c r="W83" s="1374">
        <f t="shared" si="34"/>
        <v>0</v>
      </c>
      <c r="X83" s="1369"/>
      <c r="Y83" s="1375"/>
      <c r="Z83" s="1370"/>
      <c r="AA83" s="1356"/>
      <c r="AB83" s="1369"/>
      <c r="AC83" s="1370"/>
      <c r="AD83" s="1357"/>
      <c r="AE83" s="1375"/>
      <c r="AF83" s="1370"/>
      <c r="AG83" s="1357"/>
      <c r="AH83" s="1376">
        <f t="shared" si="33"/>
        <v>0</v>
      </c>
      <c r="AI83" s="1243"/>
    </row>
    <row r="84" spans="1:35" s="1377" customFormat="1" ht="18" customHeight="1" x14ac:dyDescent="0.2">
      <c r="A84" s="1378">
        <v>54317</v>
      </c>
      <c r="B84" s="1390" t="s">
        <v>68</v>
      </c>
      <c r="C84" s="1383">
        <f>'egresos 25% y F.P'!C161</f>
        <v>0</v>
      </c>
      <c r="D84" s="1362">
        <v>0</v>
      </c>
      <c r="E84" s="1362">
        <v>0</v>
      </c>
      <c r="F84" s="1399">
        <f>'egresos 25% y F.P'!F162</f>
        <v>4500</v>
      </c>
      <c r="G84" s="1364">
        <f t="shared" si="30"/>
        <v>4500</v>
      </c>
      <c r="H84" s="1382">
        <f>'egresos 25% y F.P'!C52</f>
        <v>0</v>
      </c>
      <c r="I84" s="1366">
        <f>'egresos 25% y F.P'!D52</f>
        <v>0</v>
      </c>
      <c r="J84" s="1366">
        <f>'egresos 25% y F.P'!E52</f>
        <v>0</v>
      </c>
      <c r="K84" s="1366">
        <f>'egresos 25% y F.P'!F52</f>
        <v>0</v>
      </c>
      <c r="L84" s="1368">
        <f t="shared" si="32"/>
        <v>0</v>
      </c>
      <c r="M84" s="1369">
        <v>0</v>
      </c>
      <c r="N84" s="1370">
        <v>0</v>
      </c>
      <c r="O84" s="1370">
        <v>0</v>
      </c>
      <c r="P84" s="1370">
        <v>0</v>
      </c>
      <c r="Q84" s="1370">
        <v>0</v>
      </c>
      <c r="R84" s="1370">
        <v>0</v>
      </c>
      <c r="S84" s="1371">
        <f t="shared" si="26"/>
        <v>0</v>
      </c>
      <c r="T84" s="1372">
        <v>0</v>
      </c>
      <c r="U84" s="1373">
        <v>0</v>
      </c>
      <c r="V84" s="1369">
        <v>0</v>
      </c>
      <c r="W84" s="1374">
        <f t="shared" si="34"/>
        <v>0</v>
      </c>
      <c r="X84" s="1369"/>
      <c r="Y84" s="1375"/>
      <c r="Z84" s="1370"/>
      <c r="AA84" s="1356"/>
      <c r="AB84" s="1369"/>
      <c r="AC84" s="1370"/>
      <c r="AD84" s="1357"/>
      <c r="AE84" s="1375"/>
      <c r="AF84" s="1370"/>
      <c r="AG84" s="1357"/>
      <c r="AH84" s="1376">
        <f t="shared" si="33"/>
        <v>4500</v>
      </c>
      <c r="AI84" s="1243"/>
    </row>
    <row r="85" spans="1:35" s="1377" customFormat="1" ht="18" customHeight="1" x14ac:dyDescent="0.2">
      <c r="A85" s="1378">
        <v>54399</v>
      </c>
      <c r="B85" s="1390" t="s">
        <v>69</v>
      </c>
      <c r="C85" s="1383">
        <f>'egresos 25% y F.P'!C163</f>
        <v>500</v>
      </c>
      <c r="D85" s="1362">
        <v>0</v>
      </c>
      <c r="E85" s="1362">
        <v>0</v>
      </c>
      <c r="F85" s="1399">
        <f>+'egresos 25% y F.P'!F163</f>
        <v>500</v>
      </c>
      <c r="G85" s="1364">
        <f t="shared" si="30"/>
        <v>1000</v>
      </c>
      <c r="H85" s="1382">
        <f>'egresos 25% y F.P'!C53</f>
        <v>100</v>
      </c>
      <c r="I85" s="1366">
        <f>'egresos 25% y F.P'!D53</f>
        <v>100</v>
      </c>
      <c r="J85" s="1366">
        <f>'egresos 25% y F.P'!E53</f>
        <v>0</v>
      </c>
      <c r="K85" s="1366">
        <f>'egresos 25% y F.P'!F53</f>
        <v>0</v>
      </c>
      <c r="L85" s="1368">
        <f t="shared" si="32"/>
        <v>200</v>
      </c>
      <c r="M85" s="1369">
        <v>0</v>
      </c>
      <c r="N85" s="1370">
        <v>0</v>
      </c>
      <c r="O85" s="1370">
        <v>0</v>
      </c>
      <c r="P85" s="1370">
        <v>0</v>
      </c>
      <c r="Q85" s="1370">
        <v>0</v>
      </c>
      <c r="R85" s="1370">
        <v>0</v>
      </c>
      <c r="S85" s="1371">
        <f t="shared" si="26"/>
        <v>0</v>
      </c>
      <c r="T85" s="1372">
        <v>0</v>
      </c>
      <c r="U85" s="1373">
        <v>0</v>
      </c>
      <c r="V85" s="1369">
        <v>0</v>
      </c>
      <c r="W85" s="1374">
        <f t="shared" si="34"/>
        <v>0</v>
      </c>
      <c r="X85" s="1369"/>
      <c r="Y85" s="1375"/>
      <c r="Z85" s="1370"/>
      <c r="AA85" s="1356"/>
      <c r="AB85" s="1369"/>
      <c r="AC85" s="1370"/>
      <c r="AD85" s="1357"/>
      <c r="AE85" s="1375"/>
      <c r="AF85" s="1370"/>
      <c r="AG85" s="1357"/>
      <c r="AH85" s="1376">
        <f t="shared" si="33"/>
        <v>1200</v>
      </c>
      <c r="AI85" s="1243"/>
    </row>
    <row r="86" spans="1:35" s="1377" customFormat="1" ht="18" customHeight="1" x14ac:dyDescent="0.2">
      <c r="A86" s="1340">
        <v>544</v>
      </c>
      <c r="B86" s="1391" t="s">
        <v>70</v>
      </c>
      <c r="C86" s="1342">
        <f>SUM(C87:C90)</f>
        <v>250</v>
      </c>
      <c r="D86" s="1343">
        <f>SUM(D87:D90)</f>
        <v>200</v>
      </c>
      <c r="E86" s="1343">
        <f>SUM(E87:E90)</f>
        <v>200</v>
      </c>
      <c r="F86" s="1401">
        <f>SUM(F87:F90)</f>
        <v>150</v>
      </c>
      <c r="G86" s="1344">
        <f>SUM(C86:F86)</f>
        <v>800</v>
      </c>
      <c r="H86" s="1381">
        <f>SUM(H87:H90)</f>
        <v>0</v>
      </c>
      <c r="I86" s="1346">
        <f>SUM(I87:I89)</f>
        <v>0</v>
      </c>
      <c r="J86" s="1346">
        <f>SUM(J87:J89)</f>
        <v>0</v>
      </c>
      <c r="K86" s="1346">
        <f>SUM(K87:K89)</f>
        <v>0</v>
      </c>
      <c r="L86" s="1348">
        <f>SUM(H86:K86)</f>
        <v>0</v>
      </c>
      <c r="M86" s="1369">
        <v>0</v>
      </c>
      <c r="N86" s="1370">
        <v>0</v>
      </c>
      <c r="O86" s="1370">
        <v>0</v>
      </c>
      <c r="P86" s="1370">
        <v>0</v>
      </c>
      <c r="Q86" s="1370">
        <v>0</v>
      </c>
      <c r="R86" s="1370">
        <v>0</v>
      </c>
      <c r="S86" s="1350">
        <f t="shared" si="26"/>
        <v>0</v>
      </c>
      <c r="T86" s="1372">
        <v>0</v>
      </c>
      <c r="U86" s="1373">
        <v>0</v>
      </c>
      <c r="V86" s="1369">
        <v>0</v>
      </c>
      <c r="W86" s="1354">
        <f t="shared" si="34"/>
        <v>0</v>
      </c>
      <c r="X86" s="1369"/>
      <c r="Y86" s="1375"/>
      <c r="Z86" s="1370"/>
      <c r="AA86" s="1356"/>
      <c r="AB86" s="1369"/>
      <c r="AC86" s="1370"/>
      <c r="AD86" s="1357"/>
      <c r="AE86" s="1375"/>
      <c r="AF86" s="1370"/>
      <c r="AG86" s="1357"/>
      <c r="AH86" s="1358">
        <f t="shared" si="33"/>
        <v>800</v>
      </c>
      <c r="AI86" s="1243"/>
    </row>
    <row r="87" spans="1:35" s="1377" customFormat="1" ht="18" customHeight="1" x14ac:dyDescent="0.2">
      <c r="A87" s="1378">
        <v>54401</v>
      </c>
      <c r="B87" s="1390" t="s">
        <v>71</v>
      </c>
      <c r="C87" s="1383">
        <f>'egresos 25% y F.P'!C165</f>
        <v>50</v>
      </c>
      <c r="D87" s="1362">
        <f>'egresos 25% y F.P'!D165</f>
        <v>50</v>
      </c>
      <c r="E87" s="1362">
        <f>'egresos 25% y F.P'!E165</f>
        <v>50</v>
      </c>
      <c r="F87" s="1362">
        <f>'egresos 25% y F.P'!F165</f>
        <v>50</v>
      </c>
      <c r="G87" s="1384">
        <f t="shared" si="30"/>
        <v>200</v>
      </c>
      <c r="H87" s="1382">
        <f>'egresos 25% y F.P'!C55</f>
        <v>0</v>
      </c>
      <c r="I87" s="1366">
        <f>'egresos 25% y F.P'!D55</f>
        <v>0</v>
      </c>
      <c r="J87" s="1366">
        <f>'egresos 25% y F.P'!E55</f>
        <v>0</v>
      </c>
      <c r="K87" s="1366">
        <f>'egresos 25% y F.P'!F55</f>
        <v>0</v>
      </c>
      <c r="L87" s="1368">
        <f>SUM(H87:K87)</f>
        <v>0</v>
      </c>
      <c r="M87" s="1369">
        <v>0</v>
      </c>
      <c r="N87" s="1370">
        <v>0</v>
      </c>
      <c r="O87" s="1370">
        <v>0</v>
      </c>
      <c r="P87" s="1370">
        <v>0</v>
      </c>
      <c r="Q87" s="1370">
        <v>0</v>
      </c>
      <c r="R87" s="1370">
        <v>0</v>
      </c>
      <c r="S87" s="1371">
        <f t="shared" si="26"/>
        <v>0</v>
      </c>
      <c r="T87" s="1372">
        <v>0</v>
      </c>
      <c r="U87" s="1373">
        <v>0</v>
      </c>
      <c r="V87" s="1369">
        <v>0</v>
      </c>
      <c r="W87" s="1374">
        <f t="shared" si="34"/>
        <v>0</v>
      </c>
      <c r="X87" s="1369"/>
      <c r="Y87" s="1375"/>
      <c r="Z87" s="1370"/>
      <c r="AA87" s="1356"/>
      <c r="AB87" s="1369"/>
      <c r="AC87" s="1370"/>
      <c r="AD87" s="1357"/>
      <c r="AE87" s="1375"/>
      <c r="AF87" s="1370"/>
      <c r="AG87" s="1357"/>
      <c r="AH87" s="1376">
        <f t="shared" si="33"/>
        <v>200</v>
      </c>
      <c r="AI87" s="1243"/>
    </row>
    <row r="88" spans="1:35" s="1377" customFormat="1" ht="18" hidden="1" customHeight="1" x14ac:dyDescent="0.2">
      <c r="A88" s="1378">
        <v>54402</v>
      </c>
      <c r="B88" s="1390" t="s">
        <v>72</v>
      </c>
      <c r="C88" s="1383"/>
      <c r="D88" s="1362"/>
      <c r="E88" s="1399"/>
      <c r="F88" s="1399"/>
      <c r="G88" s="1364">
        <f t="shared" si="30"/>
        <v>0</v>
      </c>
      <c r="H88" s="1382"/>
      <c r="I88" s="1366"/>
      <c r="J88" s="1366"/>
      <c r="K88" s="1366"/>
      <c r="L88" s="1368">
        <f>SUM(H88:J88)</f>
        <v>0</v>
      </c>
      <c r="M88" s="1369">
        <v>0</v>
      </c>
      <c r="N88" s="1370">
        <v>0</v>
      </c>
      <c r="O88" s="1370">
        <v>0</v>
      </c>
      <c r="P88" s="1370">
        <v>0</v>
      </c>
      <c r="Q88" s="1370">
        <v>0</v>
      </c>
      <c r="R88" s="1370">
        <v>0</v>
      </c>
      <c r="S88" s="1371">
        <f t="shared" si="26"/>
        <v>0</v>
      </c>
      <c r="T88" s="1372">
        <v>0</v>
      </c>
      <c r="U88" s="1373">
        <v>0</v>
      </c>
      <c r="V88" s="1369">
        <v>0</v>
      </c>
      <c r="W88" s="1374">
        <f t="shared" si="34"/>
        <v>0</v>
      </c>
      <c r="X88" s="1369"/>
      <c r="Y88" s="1375"/>
      <c r="Z88" s="1370"/>
      <c r="AA88" s="1356"/>
      <c r="AB88" s="1369"/>
      <c r="AC88" s="1370"/>
      <c r="AD88" s="1357"/>
      <c r="AE88" s="1375"/>
      <c r="AF88" s="1370"/>
      <c r="AG88" s="1357"/>
      <c r="AH88" s="1376">
        <f t="shared" si="33"/>
        <v>0</v>
      </c>
      <c r="AI88" s="1243"/>
    </row>
    <row r="89" spans="1:35" s="1377" customFormat="1" ht="18" customHeight="1" x14ac:dyDescent="0.2">
      <c r="A89" s="1378">
        <v>54403</v>
      </c>
      <c r="B89" s="1390" t="s">
        <v>73</v>
      </c>
      <c r="C89" s="1383">
        <f>'egresos 25% y F.P'!C167</f>
        <v>200</v>
      </c>
      <c r="D89" s="1362">
        <f>'egresos 25% y F.P'!D167</f>
        <v>150</v>
      </c>
      <c r="E89" s="1399">
        <f>'egresos 25% y F.P'!E167</f>
        <v>150</v>
      </c>
      <c r="F89" s="1399">
        <f>'egresos 25% y F.P'!F167</f>
        <v>100</v>
      </c>
      <c r="G89" s="1364">
        <f>SUM(C89:F89)</f>
        <v>600</v>
      </c>
      <c r="H89" s="1382">
        <f>'egresos 25% y F.P'!C57</f>
        <v>0</v>
      </c>
      <c r="I89" s="1366">
        <f>'egresos 25% y F.P'!D57</f>
        <v>0</v>
      </c>
      <c r="J89" s="1366">
        <f>'egresos 25% y F.P'!E57</f>
        <v>0</v>
      </c>
      <c r="K89" s="1366">
        <f>'egresos 25% y F.P'!F57</f>
        <v>0</v>
      </c>
      <c r="L89" s="1368">
        <f>SUM(H89:K89)</f>
        <v>0</v>
      </c>
      <c r="M89" s="1369">
        <v>0</v>
      </c>
      <c r="N89" s="1370">
        <v>0</v>
      </c>
      <c r="O89" s="1370">
        <v>0</v>
      </c>
      <c r="P89" s="1370">
        <v>0</v>
      </c>
      <c r="Q89" s="1370">
        <v>0</v>
      </c>
      <c r="R89" s="1370">
        <v>0</v>
      </c>
      <c r="S89" s="1371">
        <f t="shared" si="26"/>
        <v>0</v>
      </c>
      <c r="T89" s="1372">
        <v>0</v>
      </c>
      <c r="U89" s="1373">
        <v>0</v>
      </c>
      <c r="V89" s="1369">
        <v>0</v>
      </c>
      <c r="W89" s="1374">
        <f t="shared" si="34"/>
        <v>0</v>
      </c>
      <c r="X89" s="1369"/>
      <c r="Y89" s="1375"/>
      <c r="Z89" s="1370"/>
      <c r="AA89" s="1356"/>
      <c r="AB89" s="1369"/>
      <c r="AC89" s="1370"/>
      <c r="AD89" s="1357"/>
      <c r="AE89" s="1375"/>
      <c r="AF89" s="1370"/>
      <c r="AG89" s="1357"/>
      <c r="AH89" s="1376">
        <f t="shared" si="33"/>
        <v>600</v>
      </c>
      <c r="AI89" s="1243"/>
    </row>
    <row r="90" spans="1:35" s="1377" customFormat="1" ht="18" hidden="1" customHeight="1" x14ac:dyDescent="0.2">
      <c r="A90" s="1378">
        <v>54404</v>
      </c>
      <c r="B90" s="1390" t="s">
        <v>74</v>
      </c>
      <c r="C90" s="1383">
        <f>'egresos 25% y F.P'!C168</f>
        <v>0</v>
      </c>
      <c r="D90" s="1362">
        <f>'egresos 25% y F.P'!D168</f>
        <v>0</v>
      </c>
      <c r="E90" s="1399">
        <f>'egresos 25% y F.P'!E168</f>
        <v>0</v>
      </c>
      <c r="F90" s="1399">
        <f>'egresos 25% y F.P'!F168</f>
        <v>0</v>
      </c>
      <c r="G90" s="1364">
        <f t="shared" si="30"/>
        <v>0</v>
      </c>
      <c r="H90" s="1382">
        <f>'egresos 25% y F.P'!C58</f>
        <v>0</v>
      </c>
      <c r="I90" s="1366">
        <f>'egresos 25% y F.P'!D42</f>
        <v>0</v>
      </c>
      <c r="J90" s="1366">
        <f>'egresos 25% y F.P'!E42</f>
        <v>0</v>
      </c>
      <c r="K90" s="1366">
        <f>'egresos 25% y F.P'!F42</f>
        <v>0</v>
      </c>
      <c r="L90" s="1368">
        <f t="shared" ref="L90:L99" si="35">SUM(H90:J90)</f>
        <v>0</v>
      </c>
      <c r="M90" s="1369">
        <v>0</v>
      </c>
      <c r="N90" s="1370">
        <v>0</v>
      </c>
      <c r="O90" s="1370">
        <v>0</v>
      </c>
      <c r="P90" s="1370">
        <v>0</v>
      </c>
      <c r="Q90" s="1370">
        <v>0</v>
      </c>
      <c r="R90" s="1370">
        <v>0</v>
      </c>
      <c r="S90" s="1371">
        <f t="shared" si="26"/>
        <v>0</v>
      </c>
      <c r="T90" s="1372">
        <v>0</v>
      </c>
      <c r="U90" s="1373">
        <v>0</v>
      </c>
      <c r="V90" s="1369">
        <v>0</v>
      </c>
      <c r="W90" s="1374">
        <f t="shared" si="34"/>
        <v>0</v>
      </c>
      <c r="X90" s="1369"/>
      <c r="Y90" s="1375"/>
      <c r="Z90" s="1370"/>
      <c r="AA90" s="1356"/>
      <c r="AB90" s="1369"/>
      <c r="AC90" s="1370"/>
      <c r="AD90" s="1357"/>
      <c r="AE90" s="1375"/>
      <c r="AF90" s="1370"/>
      <c r="AG90" s="1357"/>
      <c r="AH90" s="1376">
        <f t="shared" si="33"/>
        <v>0</v>
      </c>
      <c r="AI90" s="1243"/>
    </row>
    <row r="91" spans="1:35" s="1339" customFormat="1" ht="18" customHeight="1" x14ac:dyDescent="0.2">
      <c r="A91" s="1402">
        <v>545</v>
      </c>
      <c r="B91" s="1403" t="s">
        <v>75</v>
      </c>
      <c r="C91" s="1342">
        <f>SUM(C92)</f>
        <v>150</v>
      </c>
      <c r="D91" s="1387">
        <v>0</v>
      </c>
      <c r="E91" s="1404">
        <v>0</v>
      </c>
      <c r="F91" s="1404">
        <v>0</v>
      </c>
      <c r="G91" s="1344">
        <f>SUM(C91:F91)</f>
        <v>150</v>
      </c>
      <c r="H91" s="1381">
        <f>SUM(H92)</f>
        <v>100</v>
      </c>
      <c r="I91" s="1346">
        <v>0</v>
      </c>
      <c r="J91" s="1346">
        <v>0</v>
      </c>
      <c r="K91" s="1346">
        <v>0</v>
      </c>
      <c r="L91" s="1348">
        <f>SUM(L92)</f>
        <v>100</v>
      </c>
      <c r="M91" s="1353">
        <v>0</v>
      </c>
      <c r="N91" s="1349">
        <v>0</v>
      </c>
      <c r="O91" s="1349">
        <v>0</v>
      </c>
      <c r="P91" s="1349">
        <v>0</v>
      </c>
      <c r="Q91" s="1349">
        <v>0</v>
      </c>
      <c r="R91" s="1349">
        <v>0</v>
      </c>
      <c r="S91" s="1371">
        <f t="shared" si="26"/>
        <v>0</v>
      </c>
      <c r="T91" s="1351">
        <f>+T93</f>
        <v>0</v>
      </c>
      <c r="U91" s="1352">
        <v>0</v>
      </c>
      <c r="V91" s="1353">
        <v>0</v>
      </c>
      <c r="W91" s="1354">
        <f t="shared" si="34"/>
        <v>0</v>
      </c>
      <c r="X91" s="1353"/>
      <c r="Y91" s="1355"/>
      <c r="Z91" s="1349"/>
      <c r="AA91" s="1405"/>
      <c r="AB91" s="1353"/>
      <c r="AC91" s="1349"/>
      <c r="AD91" s="1406"/>
      <c r="AE91" s="1355"/>
      <c r="AF91" s="1349"/>
      <c r="AG91" s="1406"/>
      <c r="AH91" s="1358">
        <f t="shared" si="33"/>
        <v>250</v>
      </c>
      <c r="AI91" s="1338"/>
    </row>
    <row r="92" spans="1:35" s="1377" customFormat="1" ht="18" customHeight="1" x14ac:dyDescent="0.2">
      <c r="A92" s="1407">
        <v>54503</v>
      </c>
      <c r="B92" s="1408" t="s">
        <v>77</v>
      </c>
      <c r="C92" s="1383">
        <f>+'egresos 25% y F.P'!C171</f>
        <v>150</v>
      </c>
      <c r="D92" s="1362">
        <v>0</v>
      </c>
      <c r="E92" s="1399">
        <v>0</v>
      </c>
      <c r="F92" s="1399">
        <v>0</v>
      </c>
      <c r="G92" s="1364">
        <f>SUM(C92:F92)</f>
        <v>150</v>
      </c>
      <c r="H92" s="1382">
        <f>+'egresos 25% y F.P'!C61</f>
        <v>100</v>
      </c>
      <c r="I92" s="1366">
        <v>0</v>
      </c>
      <c r="J92" s="1366">
        <v>0</v>
      </c>
      <c r="K92" s="1366">
        <v>0</v>
      </c>
      <c r="L92" s="1368">
        <f>+'egresos 25% y F.P'!G61</f>
        <v>100</v>
      </c>
      <c r="M92" s="1369">
        <v>0</v>
      </c>
      <c r="N92" s="1370">
        <v>0</v>
      </c>
      <c r="O92" s="1370">
        <v>0</v>
      </c>
      <c r="P92" s="1370">
        <v>0</v>
      </c>
      <c r="Q92" s="1370">
        <v>0</v>
      </c>
      <c r="R92" s="1370">
        <v>0</v>
      </c>
      <c r="S92" s="1371">
        <f t="shared" si="26"/>
        <v>0</v>
      </c>
      <c r="T92" s="1372">
        <v>0</v>
      </c>
      <c r="U92" s="1373">
        <v>0</v>
      </c>
      <c r="V92" s="1369">
        <v>0</v>
      </c>
      <c r="W92" s="1374">
        <f t="shared" si="34"/>
        <v>0</v>
      </c>
      <c r="X92" s="1369"/>
      <c r="Y92" s="1375"/>
      <c r="Z92" s="1370"/>
      <c r="AA92" s="1356"/>
      <c r="AB92" s="1369"/>
      <c r="AC92" s="1370"/>
      <c r="AD92" s="1357"/>
      <c r="AE92" s="1375"/>
      <c r="AF92" s="1370"/>
      <c r="AG92" s="1357"/>
      <c r="AH92" s="1376">
        <f t="shared" si="33"/>
        <v>250</v>
      </c>
      <c r="AI92" s="1243"/>
    </row>
    <row r="93" spans="1:35" s="1377" customFormat="1" ht="18" hidden="1" customHeight="1" x14ac:dyDescent="0.2">
      <c r="A93" s="1378">
        <v>54599</v>
      </c>
      <c r="B93" s="1390" t="s">
        <v>502</v>
      </c>
      <c r="C93" s="1383">
        <v>0</v>
      </c>
      <c r="D93" s="1362">
        <v>0</v>
      </c>
      <c r="E93" s="1399">
        <v>0</v>
      </c>
      <c r="F93" s="1399">
        <v>0</v>
      </c>
      <c r="G93" s="1364">
        <v>0</v>
      </c>
      <c r="H93" s="1382">
        <v>0</v>
      </c>
      <c r="I93" s="1366">
        <v>0</v>
      </c>
      <c r="J93" s="1366">
        <v>0</v>
      </c>
      <c r="K93" s="1366">
        <v>0</v>
      </c>
      <c r="L93" s="1368">
        <v>0</v>
      </c>
      <c r="M93" s="1369">
        <v>0</v>
      </c>
      <c r="N93" s="1370">
        <v>0</v>
      </c>
      <c r="O93" s="1370">
        <v>0</v>
      </c>
      <c r="P93" s="1370">
        <v>0</v>
      </c>
      <c r="Q93" s="1370">
        <v>0</v>
      </c>
      <c r="R93" s="1370">
        <v>0</v>
      </c>
      <c r="S93" s="1371">
        <v>0</v>
      </c>
      <c r="T93" s="1372">
        <f>+'AG4'!F18</f>
        <v>0</v>
      </c>
      <c r="U93" s="1373">
        <v>0</v>
      </c>
      <c r="V93" s="1369">
        <v>0</v>
      </c>
      <c r="W93" s="1374">
        <v>0</v>
      </c>
      <c r="X93" s="1369"/>
      <c r="Y93" s="1375"/>
      <c r="Z93" s="1370"/>
      <c r="AA93" s="1356"/>
      <c r="AB93" s="1369"/>
      <c r="AC93" s="1370"/>
      <c r="AD93" s="1357"/>
      <c r="AE93" s="1375"/>
      <c r="AF93" s="1370"/>
      <c r="AG93" s="1357"/>
      <c r="AH93" s="1376">
        <f t="shared" si="33"/>
        <v>0</v>
      </c>
      <c r="AI93" s="1243"/>
    </row>
    <row r="94" spans="1:35" s="1377" customFormat="1" ht="18" customHeight="1" x14ac:dyDescent="0.2">
      <c r="A94" s="1340">
        <v>55</v>
      </c>
      <c r="B94" s="1391" t="s">
        <v>83</v>
      </c>
      <c r="C94" s="1409">
        <f>+C95+C101+C103</f>
        <v>0</v>
      </c>
      <c r="D94" s="1343">
        <f>D95+D103+D107</f>
        <v>100</v>
      </c>
      <c r="E94" s="1401">
        <f>E95+E103+E107</f>
        <v>0</v>
      </c>
      <c r="F94" s="1401">
        <f>F95+F103+F107</f>
        <v>0</v>
      </c>
      <c r="G94" s="1344">
        <f>F94+D94+C94</f>
        <v>100</v>
      </c>
      <c r="H94" s="1381">
        <f>H95+H101+H103</f>
        <v>3407.33</v>
      </c>
      <c r="I94" s="1347">
        <f t="shared" ref="I94:J94" si="36">I95+I101+I103</f>
        <v>134.75</v>
      </c>
      <c r="J94" s="1346">
        <f t="shared" si="36"/>
        <v>0</v>
      </c>
      <c r="K94" s="1346">
        <f>K95+K101+K103</f>
        <v>120.01</v>
      </c>
      <c r="L94" s="1348">
        <f>SUM(H94:K94)</f>
        <v>3662.09</v>
      </c>
      <c r="M94" s="1369">
        <v>0</v>
      </c>
      <c r="N94" s="1370">
        <v>0</v>
      </c>
      <c r="O94" s="1370">
        <v>0</v>
      </c>
      <c r="P94" s="1349">
        <f>P95+P103</f>
        <v>0</v>
      </c>
      <c r="Q94" s="1349">
        <f>Q95+Q103</f>
        <v>116117.97</v>
      </c>
      <c r="R94" s="1349">
        <f>R95+R103</f>
        <v>8538.5299999999988</v>
      </c>
      <c r="S94" s="1350">
        <f>M94+N94+O94+P94+Q94+R94</f>
        <v>124656.5</v>
      </c>
      <c r="T94" s="1351">
        <v>0</v>
      </c>
      <c r="U94" s="1352">
        <v>0</v>
      </c>
      <c r="V94" s="1353">
        <v>0</v>
      </c>
      <c r="W94" s="1354">
        <f t="shared" si="34"/>
        <v>0</v>
      </c>
      <c r="X94" s="1369"/>
      <c r="Y94" s="1375"/>
      <c r="Z94" s="1370"/>
      <c r="AA94" s="1356"/>
      <c r="AB94" s="1369"/>
      <c r="AC94" s="1370"/>
      <c r="AD94" s="1357"/>
      <c r="AE94" s="1375"/>
      <c r="AF94" s="1370"/>
      <c r="AG94" s="1357"/>
      <c r="AH94" s="1358">
        <f t="shared" si="33"/>
        <v>128418.59</v>
      </c>
      <c r="AI94" s="1243"/>
    </row>
    <row r="95" spans="1:35" s="1377" customFormat="1" ht="18" customHeight="1" x14ac:dyDescent="0.2">
      <c r="A95" s="1340">
        <v>553</v>
      </c>
      <c r="B95" s="1391" t="s">
        <v>84</v>
      </c>
      <c r="C95" s="1409">
        <f>C97+C98+C99</f>
        <v>0</v>
      </c>
      <c r="D95" s="1343">
        <f>D97+D98+D99</f>
        <v>0</v>
      </c>
      <c r="E95" s="1343">
        <f>E97+E98+E99</f>
        <v>0</v>
      </c>
      <c r="F95" s="1401">
        <f>F97+F98+F99</f>
        <v>0</v>
      </c>
      <c r="G95" s="1344">
        <v>0</v>
      </c>
      <c r="H95" s="1381">
        <f>SUM(H97:H99)</f>
        <v>0</v>
      </c>
      <c r="I95" s="1346">
        <f>SUM(I97:I99)</f>
        <v>0</v>
      </c>
      <c r="J95" s="1346">
        <f>SUM(J97:J99)</f>
        <v>0</v>
      </c>
      <c r="K95" s="1346">
        <f>SUM(K97:K99)</f>
        <v>0</v>
      </c>
      <c r="L95" s="1348">
        <f t="shared" si="35"/>
        <v>0</v>
      </c>
      <c r="M95" s="1369">
        <v>0</v>
      </c>
      <c r="N95" s="1370">
        <v>0</v>
      </c>
      <c r="O95" s="1370">
        <v>0</v>
      </c>
      <c r="P95" s="1349">
        <f>SUM(P96:P102)</f>
        <v>0</v>
      </c>
      <c r="Q95" s="1349">
        <f>SUM(Q96:Q100)</f>
        <v>116117.97</v>
      </c>
      <c r="R95" s="1349">
        <f>SUM(R96:R102)</f>
        <v>8538.5299999999988</v>
      </c>
      <c r="S95" s="1350">
        <f>M95+N95+O95+P95+Q95+R95</f>
        <v>124656.5</v>
      </c>
      <c r="T95" s="1351">
        <v>0</v>
      </c>
      <c r="U95" s="1352">
        <v>0</v>
      </c>
      <c r="V95" s="1353">
        <v>0</v>
      </c>
      <c r="W95" s="1354">
        <f t="shared" si="34"/>
        <v>0</v>
      </c>
      <c r="X95" s="1369"/>
      <c r="Y95" s="1375"/>
      <c r="Z95" s="1370"/>
      <c r="AA95" s="1356"/>
      <c r="AB95" s="1369"/>
      <c r="AC95" s="1370"/>
      <c r="AD95" s="1357"/>
      <c r="AE95" s="1375"/>
      <c r="AF95" s="1370"/>
      <c r="AG95" s="1357"/>
      <c r="AH95" s="1358">
        <f t="shared" si="33"/>
        <v>124656.5</v>
      </c>
      <c r="AI95" s="1243"/>
    </row>
    <row r="96" spans="1:35" s="1377" customFormat="1" ht="18" customHeight="1" x14ac:dyDescent="0.2">
      <c r="A96" s="1378">
        <v>55302</v>
      </c>
      <c r="B96" s="1390" t="s">
        <v>516</v>
      </c>
      <c r="C96" s="1410">
        <v>0</v>
      </c>
      <c r="D96" s="1363">
        <v>0</v>
      </c>
      <c r="E96" s="1362">
        <v>0</v>
      </c>
      <c r="F96" s="1362">
        <v>0</v>
      </c>
      <c r="G96" s="1384">
        <v>0</v>
      </c>
      <c r="H96" s="1382">
        <v>0</v>
      </c>
      <c r="I96" s="1366">
        <v>0</v>
      </c>
      <c r="J96" s="1366">
        <v>0</v>
      </c>
      <c r="K96" s="1366">
        <v>0</v>
      </c>
      <c r="L96" s="1368">
        <f t="shared" si="35"/>
        <v>0</v>
      </c>
      <c r="M96" s="1369">
        <v>0</v>
      </c>
      <c r="N96" s="1370">
        <v>0</v>
      </c>
      <c r="O96" s="1370">
        <v>0</v>
      </c>
      <c r="P96" s="1370">
        <v>0</v>
      </c>
      <c r="Q96" s="1370">
        <v>0</v>
      </c>
      <c r="R96" s="1370">
        <f>'AG5'!C19</f>
        <v>8538.5299999999988</v>
      </c>
      <c r="S96" s="1371">
        <f>M96+N96+O96+P96+Q96+R96</f>
        <v>8538.5299999999988</v>
      </c>
      <c r="T96" s="1372">
        <v>0</v>
      </c>
      <c r="U96" s="1373">
        <v>0</v>
      </c>
      <c r="V96" s="1369"/>
      <c r="W96" s="1374"/>
      <c r="X96" s="1369"/>
      <c r="Y96" s="1375"/>
      <c r="Z96" s="1370"/>
      <c r="AA96" s="1356"/>
      <c r="AB96" s="1369"/>
      <c r="AC96" s="1370"/>
      <c r="AD96" s="1357"/>
      <c r="AE96" s="1375"/>
      <c r="AF96" s="1370"/>
      <c r="AG96" s="1357"/>
      <c r="AH96" s="1376">
        <f t="shared" si="33"/>
        <v>8538.5299999999988</v>
      </c>
      <c r="AI96" s="1243"/>
    </row>
    <row r="97" spans="1:35" s="1377" customFormat="1" ht="18" hidden="1" customHeight="1" x14ac:dyDescent="0.2">
      <c r="A97" s="1378">
        <v>55303</v>
      </c>
      <c r="B97" s="1390" t="s">
        <v>85</v>
      </c>
      <c r="C97" s="1410"/>
      <c r="D97" s="1363"/>
      <c r="E97" s="1362"/>
      <c r="F97" s="1362">
        <v>0</v>
      </c>
      <c r="G97" s="1384">
        <v>0</v>
      </c>
      <c r="H97" s="1382"/>
      <c r="I97" s="1366"/>
      <c r="J97" s="1366"/>
      <c r="K97" s="1366"/>
      <c r="L97" s="1368">
        <f t="shared" si="35"/>
        <v>0</v>
      </c>
      <c r="M97" s="1369">
        <v>0</v>
      </c>
      <c r="N97" s="1370">
        <v>0</v>
      </c>
      <c r="O97" s="1370">
        <v>0</v>
      </c>
      <c r="P97" s="1370">
        <f>+'AG5'!C20</f>
        <v>0</v>
      </c>
      <c r="Q97" s="1370"/>
      <c r="R97" s="1370"/>
      <c r="S97" s="1371">
        <f>M97+N97+O97+P97+Q97+R97</f>
        <v>0</v>
      </c>
      <c r="T97" s="1372"/>
      <c r="U97" s="1373"/>
      <c r="V97" s="1369"/>
      <c r="W97" s="1374">
        <f t="shared" si="34"/>
        <v>0</v>
      </c>
      <c r="X97" s="1369"/>
      <c r="Y97" s="1375"/>
      <c r="Z97" s="1370"/>
      <c r="AA97" s="1356"/>
      <c r="AB97" s="1369"/>
      <c r="AC97" s="1370"/>
      <c r="AD97" s="1357"/>
      <c r="AE97" s="1375"/>
      <c r="AF97" s="1370"/>
      <c r="AG97" s="1357"/>
      <c r="AH97" s="1376">
        <f t="shared" si="33"/>
        <v>0</v>
      </c>
      <c r="AI97" s="1243"/>
    </row>
    <row r="98" spans="1:35" s="1377" customFormat="1" ht="18" customHeight="1" x14ac:dyDescent="0.2">
      <c r="A98" s="1378">
        <v>55304</v>
      </c>
      <c r="B98" s="1390" t="s">
        <v>86</v>
      </c>
      <c r="C98" s="1410">
        <v>0</v>
      </c>
      <c r="D98" s="1363">
        <v>0</v>
      </c>
      <c r="E98" s="1362">
        <v>0</v>
      </c>
      <c r="F98" s="1362">
        <v>0</v>
      </c>
      <c r="G98" s="1384">
        <v>0</v>
      </c>
      <c r="H98" s="1382">
        <v>0</v>
      </c>
      <c r="I98" s="1366">
        <v>0</v>
      </c>
      <c r="J98" s="1366">
        <v>0</v>
      </c>
      <c r="K98" s="1366">
        <v>0</v>
      </c>
      <c r="L98" s="1368">
        <f t="shared" si="35"/>
        <v>0</v>
      </c>
      <c r="M98" s="1369">
        <v>0</v>
      </c>
      <c r="N98" s="1370">
        <v>0</v>
      </c>
      <c r="O98" s="1370">
        <v>0</v>
      </c>
      <c r="P98" s="1370">
        <v>0</v>
      </c>
      <c r="Q98" s="1370">
        <f>+'AG5'!C21</f>
        <v>116117.97</v>
      </c>
      <c r="R98" s="1370">
        <v>0</v>
      </c>
      <c r="S98" s="1371">
        <f>M98+N98+O98+P98+Q98+R98</f>
        <v>116117.97</v>
      </c>
      <c r="T98" s="1372">
        <v>0</v>
      </c>
      <c r="U98" s="1373">
        <v>0</v>
      </c>
      <c r="V98" s="1369">
        <v>0</v>
      </c>
      <c r="W98" s="1374">
        <v>0</v>
      </c>
      <c r="X98" s="1369"/>
      <c r="Y98" s="1375"/>
      <c r="Z98" s="1370"/>
      <c r="AA98" s="1356"/>
      <c r="AB98" s="1369"/>
      <c r="AC98" s="1370"/>
      <c r="AD98" s="1357"/>
      <c r="AE98" s="1375"/>
      <c r="AF98" s="1370"/>
      <c r="AG98" s="1357"/>
      <c r="AH98" s="1376">
        <f t="shared" si="33"/>
        <v>116117.97</v>
      </c>
      <c r="AI98" s="1243"/>
    </row>
    <row r="99" spans="1:35" s="1377" customFormat="1" ht="18" hidden="1" customHeight="1" x14ac:dyDescent="0.2">
      <c r="A99" s="1378">
        <v>55306</v>
      </c>
      <c r="B99" s="1390" t="s">
        <v>259</v>
      </c>
      <c r="C99" s="1410"/>
      <c r="D99" s="1363"/>
      <c r="E99" s="1362"/>
      <c r="F99" s="1362"/>
      <c r="G99" s="1384"/>
      <c r="H99" s="1382">
        <v>0</v>
      </c>
      <c r="I99" s="1366">
        <v>0</v>
      </c>
      <c r="J99" s="1366">
        <v>0</v>
      </c>
      <c r="K99" s="1366">
        <v>0</v>
      </c>
      <c r="L99" s="1368">
        <f t="shared" si="35"/>
        <v>0</v>
      </c>
      <c r="M99" s="1369">
        <v>0</v>
      </c>
      <c r="N99" s="1370">
        <v>0</v>
      </c>
      <c r="O99" s="1370">
        <v>0</v>
      </c>
      <c r="P99" s="1370"/>
      <c r="Q99" s="1370"/>
      <c r="R99" s="1370"/>
      <c r="S99" s="1371">
        <f>M99+N99+O99+P99</f>
        <v>0</v>
      </c>
      <c r="T99" s="1372">
        <v>0</v>
      </c>
      <c r="U99" s="1373">
        <v>0</v>
      </c>
      <c r="V99" s="1369">
        <v>0</v>
      </c>
      <c r="W99" s="1374">
        <v>0</v>
      </c>
      <c r="X99" s="1369"/>
      <c r="Y99" s="1375"/>
      <c r="Z99" s="1370"/>
      <c r="AA99" s="1356"/>
      <c r="AB99" s="1369"/>
      <c r="AC99" s="1370"/>
      <c r="AD99" s="1357"/>
      <c r="AE99" s="1375"/>
      <c r="AF99" s="1370"/>
      <c r="AG99" s="1357"/>
      <c r="AH99" s="1376">
        <f t="shared" si="33"/>
        <v>0</v>
      </c>
      <c r="AI99" s="1243"/>
    </row>
    <row r="100" spans="1:35" s="1377" customFormat="1" ht="18" hidden="1" customHeight="1" x14ac:dyDescent="0.2">
      <c r="A100" s="1378">
        <v>55308</v>
      </c>
      <c r="B100" s="1390" t="s">
        <v>239</v>
      </c>
      <c r="C100" s="1410"/>
      <c r="D100" s="1363"/>
      <c r="E100" s="1362"/>
      <c r="F100" s="1362"/>
      <c r="G100" s="1384"/>
      <c r="H100" s="1382">
        <v>0</v>
      </c>
      <c r="I100" s="1366">
        <v>0</v>
      </c>
      <c r="J100" s="1366">
        <v>0</v>
      </c>
      <c r="K100" s="1366">
        <v>0</v>
      </c>
      <c r="L100" s="1368"/>
      <c r="M100" s="1369">
        <v>0</v>
      </c>
      <c r="N100" s="1370">
        <v>0</v>
      </c>
      <c r="O100" s="1370">
        <v>0</v>
      </c>
      <c r="P100" s="1370"/>
      <c r="Q100" s="1370"/>
      <c r="R100" s="1370"/>
      <c r="S100" s="1371"/>
      <c r="T100" s="1372">
        <v>0</v>
      </c>
      <c r="U100" s="1373">
        <v>0</v>
      </c>
      <c r="V100" s="1369">
        <v>0</v>
      </c>
      <c r="W100" s="1374">
        <v>0</v>
      </c>
      <c r="X100" s="1369"/>
      <c r="Y100" s="1375"/>
      <c r="Z100" s="1370"/>
      <c r="AA100" s="1356"/>
      <c r="AB100" s="1369"/>
      <c r="AC100" s="1370"/>
      <c r="AD100" s="1357"/>
      <c r="AE100" s="1375"/>
      <c r="AF100" s="1370"/>
      <c r="AG100" s="1357"/>
      <c r="AH100" s="1376">
        <f t="shared" si="33"/>
        <v>0</v>
      </c>
      <c r="AI100" s="1243"/>
    </row>
    <row r="101" spans="1:35" s="1339" customFormat="1" ht="18" customHeight="1" x14ac:dyDescent="0.2">
      <c r="A101" s="1340">
        <v>555</v>
      </c>
      <c r="B101" s="1391" t="s">
        <v>494</v>
      </c>
      <c r="C101" s="1409">
        <f>SUM(C102)</f>
        <v>0</v>
      </c>
      <c r="D101" s="1343">
        <v>0</v>
      </c>
      <c r="E101" s="1387">
        <v>0</v>
      </c>
      <c r="F101" s="1387">
        <v>0</v>
      </c>
      <c r="G101" s="1388">
        <f>+C101+D101+E101+F101</f>
        <v>0</v>
      </c>
      <c r="H101" s="1346">
        <f t="shared" ref="H101:J101" si="37">H102</f>
        <v>28.86</v>
      </c>
      <c r="I101" s="1346">
        <f t="shared" si="37"/>
        <v>0</v>
      </c>
      <c r="J101" s="1346">
        <f t="shared" si="37"/>
        <v>0</v>
      </c>
      <c r="K101" s="1346">
        <f>K102</f>
        <v>120.01</v>
      </c>
      <c r="L101" s="1348">
        <f>L102</f>
        <v>148.87</v>
      </c>
      <c r="M101" s="1353">
        <v>0</v>
      </c>
      <c r="N101" s="1349">
        <v>0</v>
      </c>
      <c r="O101" s="1349">
        <v>0</v>
      </c>
      <c r="P101" s="1349">
        <v>0</v>
      </c>
      <c r="Q101" s="1349">
        <v>0</v>
      </c>
      <c r="R101" s="1349">
        <v>0</v>
      </c>
      <c r="S101" s="1350">
        <v>0</v>
      </c>
      <c r="T101" s="1351">
        <v>0</v>
      </c>
      <c r="U101" s="1352">
        <v>0</v>
      </c>
      <c r="V101" s="1353">
        <v>0</v>
      </c>
      <c r="W101" s="1354">
        <v>0</v>
      </c>
      <c r="X101" s="1353"/>
      <c r="Y101" s="1355"/>
      <c r="Z101" s="1349"/>
      <c r="AA101" s="1405"/>
      <c r="AB101" s="1353"/>
      <c r="AC101" s="1349"/>
      <c r="AD101" s="1406"/>
      <c r="AE101" s="1355"/>
      <c r="AF101" s="1349"/>
      <c r="AG101" s="1406"/>
      <c r="AH101" s="1358">
        <f t="shared" si="33"/>
        <v>148.87</v>
      </c>
      <c r="AI101" s="1338"/>
    </row>
    <row r="102" spans="1:35" s="1377" customFormat="1" ht="18" customHeight="1" x14ac:dyDescent="0.2">
      <c r="A102" s="1378">
        <v>55508</v>
      </c>
      <c r="B102" s="1390" t="s">
        <v>340</v>
      </c>
      <c r="C102" s="1410">
        <f>+'egresos 25% y F.P'!C184</f>
        <v>0</v>
      </c>
      <c r="D102" s="1363">
        <v>0</v>
      </c>
      <c r="E102" s="1362">
        <v>0</v>
      </c>
      <c r="F102" s="1362">
        <v>0</v>
      </c>
      <c r="G102" s="1384">
        <f>SUM(C102:F102)</f>
        <v>0</v>
      </c>
      <c r="H102" s="1382">
        <f>'egresos 25% y F.P'!C74</f>
        <v>28.86</v>
      </c>
      <c r="I102" s="1366">
        <f>'egresos 25% y F.P'!D74</f>
        <v>0</v>
      </c>
      <c r="J102" s="1366">
        <f>'egresos 25% y F.P'!E74</f>
        <v>0</v>
      </c>
      <c r="K102" s="1366">
        <f>'egresos 25% y F.P'!F74</f>
        <v>120.01</v>
      </c>
      <c r="L102" s="1368">
        <f>+K102+J102+I102+H102</f>
        <v>148.87</v>
      </c>
      <c r="M102" s="1369">
        <v>0</v>
      </c>
      <c r="N102" s="1370">
        <v>0</v>
      </c>
      <c r="O102" s="1370">
        <v>0</v>
      </c>
      <c r="P102" s="1370">
        <v>0</v>
      </c>
      <c r="Q102" s="1370">
        <v>0</v>
      </c>
      <c r="R102" s="1370">
        <v>0</v>
      </c>
      <c r="S102" s="1371">
        <f>M102+N102+O102+P102+Q102+R102</f>
        <v>0</v>
      </c>
      <c r="T102" s="1372">
        <v>0</v>
      </c>
      <c r="U102" s="1373">
        <v>0</v>
      </c>
      <c r="V102" s="1369">
        <v>0</v>
      </c>
      <c r="W102" s="1374">
        <v>0</v>
      </c>
      <c r="X102" s="1369"/>
      <c r="Y102" s="1375"/>
      <c r="Z102" s="1370"/>
      <c r="AA102" s="1356"/>
      <c r="AB102" s="1369"/>
      <c r="AC102" s="1370"/>
      <c r="AD102" s="1357"/>
      <c r="AE102" s="1375"/>
      <c r="AF102" s="1370"/>
      <c r="AG102" s="1357"/>
      <c r="AH102" s="1376">
        <f t="shared" si="33"/>
        <v>148.87</v>
      </c>
      <c r="AI102" s="1243"/>
    </row>
    <row r="103" spans="1:35" s="1377" customFormat="1" ht="18" customHeight="1" x14ac:dyDescent="0.2">
      <c r="A103" s="1340">
        <v>556</v>
      </c>
      <c r="B103" s="1391" t="s">
        <v>88</v>
      </c>
      <c r="C103" s="1409">
        <f>C104+C105+C106</f>
        <v>0</v>
      </c>
      <c r="D103" s="1343">
        <f>D104+D105+D106</f>
        <v>100</v>
      </c>
      <c r="E103" s="1343">
        <f>E104+E105+E106</f>
        <v>0</v>
      </c>
      <c r="F103" s="1343">
        <f>F104+F105+F106</f>
        <v>0</v>
      </c>
      <c r="G103" s="1388">
        <f>SUM(G105:G106)</f>
        <v>100</v>
      </c>
      <c r="H103" s="1381">
        <f>SUM(H104:H106)</f>
        <v>3378.47</v>
      </c>
      <c r="I103" s="1346">
        <f>SUM(I104:I106)</f>
        <v>134.75</v>
      </c>
      <c r="J103" s="1346">
        <f>SUM(J104:J106)</f>
        <v>0</v>
      </c>
      <c r="K103" s="1346">
        <f>SUM(K104:K106)</f>
        <v>0</v>
      </c>
      <c r="L103" s="1348">
        <f>SUM(H103:K103)</f>
        <v>3513.22</v>
      </c>
      <c r="M103" s="1353">
        <v>0</v>
      </c>
      <c r="N103" s="1349">
        <v>0</v>
      </c>
      <c r="O103" s="1349">
        <v>0</v>
      </c>
      <c r="P103" s="1349">
        <v>0</v>
      </c>
      <c r="Q103" s="1349">
        <f>Q106</f>
        <v>0</v>
      </c>
      <c r="R103" s="1349">
        <f>R106</f>
        <v>0</v>
      </c>
      <c r="S103" s="1350">
        <f>M103+N103+O103+P103+R103</f>
        <v>0</v>
      </c>
      <c r="T103" s="1351">
        <v>0</v>
      </c>
      <c r="U103" s="1352">
        <v>0</v>
      </c>
      <c r="V103" s="1353">
        <v>0</v>
      </c>
      <c r="W103" s="1354">
        <f t="shared" si="34"/>
        <v>0</v>
      </c>
      <c r="X103" s="1369"/>
      <c r="Y103" s="1375"/>
      <c r="Z103" s="1370"/>
      <c r="AA103" s="1356"/>
      <c r="AB103" s="1369"/>
      <c r="AC103" s="1370"/>
      <c r="AD103" s="1357"/>
      <c r="AE103" s="1375"/>
      <c r="AF103" s="1370"/>
      <c r="AG103" s="1357"/>
      <c r="AH103" s="1358">
        <f t="shared" si="33"/>
        <v>3613.22</v>
      </c>
      <c r="AI103" s="1243"/>
    </row>
    <row r="104" spans="1:35" s="1377" customFormat="1" ht="18" customHeight="1" x14ac:dyDescent="0.2">
      <c r="A104" s="1378">
        <v>55601</v>
      </c>
      <c r="B104" s="1390" t="s">
        <v>89</v>
      </c>
      <c r="C104" s="1410">
        <v>0</v>
      </c>
      <c r="D104" s="1363">
        <v>0</v>
      </c>
      <c r="E104" s="1362">
        <v>0</v>
      </c>
      <c r="F104" s="1362">
        <v>0</v>
      </c>
      <c r="G104" s="1384">
        <v>0</v>
      </c>
      <c r="H104" s="1382">
        <f>'egresos 25% y F.P'!C76</f>
        <v>0</v>
      </c>
      <c r="I104" s="1366">
        <f>'egresos 25% y F.P'!D76</f>
        <v>84.75</v>
      </c>
      <c r="J104" s="1366">
        <f>'egresos 25% y F.P'!E76</f>
        <v>0</v>
      </c>
      <c r="K104" s="1366">
        <f>'egresos 25% y F.P'!F76</f>
        <v>0</v>
      </c>
      <c r="L104" s="1368">
        <f t="shared" ref="L104:L115" si="38">SUM(H104:J104)</f>
        <v>84.75</v>
      </c>
      <c r="M104" s="1369">
        <v>0</v>
      </c>
      <c r="N104" s="1370">
        <v>0</v>
      </c>
      <c r="O104" s="1370">
        <v>0</v>
      </c>
      <c r="P104" s="1370">
        <v>0</v>
      </c>
      <c r="Q104" s="1370">
        <v>0</v>
      </c>
      <c r="R104" s="1370">
        <v>0</v>
      </c>
      <c r="S104" s="1371">
        <f>M104+N104+O104+P104</f>
        <v>0</v>
      </c>
      <c r="T104" s="1372">
        <v>0</v>
      </c>
      <c r="U104" s="1373">
        <v>0</v>
      </c>
      <c r="V104" s="1369">
        <v>0</v>
      </c>
      <c r="W104" s="1374">
        <f t="shared" si="34"/>
        <v>0</v>
      </c>
      <c r="X104" s="1369"/>
      <c r="Y104" s="1375"/>
      <c r="Z104" s="1370"/>
      <c r="AA104" s="1356"/>
      <c r="AB104" s="1369"/>
      <c r="AC104" s="1370"/>
      <c r="AD104" s="1357"/>
      <c r="AE104" s="1375"/>
      <c r="AF104" s="1370"/>
      <c r="AG104" s="1357"/>
      <c r="AH104" s="1376">
        <f t="shared" si="33"/>
        <v>84.75</v>
      </c>
      <c r="AI104" s="1243"/>
    </row>
    <row r="105" spans="1:35" s="1377" customFormat="1" ht="18" customHeight="1" x14ac:dyDescent="0.2">
      <c r="A105" s="1378">
        <v>55602</v>
      </c>
      <c r="B105" s="1390" t="s">
        <v>90</v>
      </c>
      <c r="C105" s="1410">
        <v>0</v>
      </c>
      <c r="D105" s="1363">
        <v>0</v>
      </c>
      <c r="E105" s="1362">
        <v>0</v>
      </c>
      <c r="F105" s="1362">
        <v>0</v>
      </c>
      <c r="G105" s="1384">
        <f>C105</f>
        <v>0</v>
      </c>
      <c r="H105" s="1382">
        <f>'egresos 25% y F.P'!C77</f>
        <v>3378.47</v>
      </c>
      <c r="I105" s="1366">
        <f>'egresos 25% y F.P'!D77</f>
        <v>0</v>
      </c>
      <c r="J105" s="1366">
        <f>'egresos 25% y F.P'!E77</f>
        <v>0</v>
      </c>
      <c r="K105" s="1366">
        <f>'egresos 25% y F.P'!F77</f>
        <v>0</v>
      </c>
      <c r="L105" s="1368">
        <f t="shared" si="38"/>
        <v>3378.47</v>
      </c>
      <c r="M105" s="1369">
        <v>0</v>
      </c>
      <c r="N105" s="1370">
        <v>0</v>
      </c>
      <c r="O105" s="1370">
        <v>0</v>
      </c>
      <c r="P105" s="1370">
        <v>0</v>
      </c>
      <c r="Q105" s="1370">
        <v>0</v>
      </c>
      <c r="R105" s="1370">
        <v>0</v>
      </c>
      <c r="S105" s="1371">
        <f>M105+N105+O105+P105</f>
        <v>0</v>
      </c>
      <c r="T105" s="1372">
        <v>0</v>
      </c>
      <c r="U105" s="1373">
        <v>0</v>
      </c>
      <c r="V105" s="1369">
        <v>0</v>
      </c>
      <c r="W105" s="1374">
        <f t="shared" si="34"/>
        <v>0</v>
      </c>
      <c r="X105" s="1369"/>
      <c r="Y105" s="1375"/>
      <c r="Z105" s="1370"/>
      <c r="AA105" s="1356"/>
      <c r="AB105" s="1369"/>
      <c r="AC105" s="1370"/>
      <c r="AD105" s="1357"/>
      <c r="AE105" s="1375"/>
      <c r="AF105" s="1370"/>
      <c r="AG105" s="1357"/>
      <c r="AH105" s="1376">
        <f t="shared" ref="AH105:AH136" si="39">+L105+S105+G105+AA105+AD105+AG105+T105+W105+X105</f>
        <v>3378.47</v>
      </c>
      <c r="AI105" s="1243"/>
    </row>
    <row r="106" spans="1:35" s="1377" customFormat="1" ht="18" customHeight="1" x14ac:dyDescent="0.2">
      <c r="A106" s="1378">
        <v>55603</v>
      </c>
      <c r="B106" s="1390" t="s">
        <v>91</v>
      </c>
      <c r="C106" s="1410">
        <v>0</v>
      </c>
      <c r="D106" s="1363">
        <f>'egresos 25% y F.P'!D188</f>
        <v>100</v>
      </c>
      <c r="E106" s="1362">
        <v>0</v>
      </c>
      <c r="F106" s="1362">
        <v>0</v>
      </c>
      <c r="G106" s="1384">
        <f>D106</f>
        <v>100</v>
      </c>
      <c r="H106" s="1382">
        <f>'egresos 25% y F.P'!C78</f>
        <v>0</v>
      </c>
      <c r="I106" s="1366">
        <f>'egresos 25% y F.P'!D78</f>
        <v>50</v>
      </c>
      <c r="J106" s="1366">
        <f>'egresos 25% y F.P'!E78</f>
        <v>0</v>
      </c>
      <c r="K106" s="1366">
        <f>'egresos 25% y F.P'!F78</f>
        <v>0</v>
      </c>
      <c r="L106" s="1368">
        <f t="shared" si="38"/>
        <v>50</v>
      </c>
      <c r="M106" s="1369">
        <v>0</v>
      </c>
      <c r="N106" s="1370">
        <v>0</v>
      </c>
      <c r="O106" s="1370">
        <v>0</v>
      </c>
      <c r="P106" s="1370">
        <v>0</v>
      </c>
      <c r="Q106" s="1370">
        <v>0</v>
      </c>
      <c r="R106" s="1370">
        <f>'AG5'!C24</f>
        <v>0</v>
      </c>
      <c r="S106" s="1371">
        <f>M106+N106+O106+P106+Q106+R106</f>
        <v>0</v>
      </c>
      <c r="T106" s="1372">
        <v>0</v>
      </c>
      <c r="U106" s="1373">
        <v>0</v>
      </c>
      <c r="V106" s="1369">
        <v>0</v>
      </c>
      <c r="W106" s="1374">
        <f t="shared" si="34"/>
        <v>0</v>
      </c>
      <c r="X106" s="1369"/>
      <c r="Y106" s="1375"/>
      <c r="Z106" s="1370"/>
      <c r="AA106" s="1356"/>
      <c r="AB106" s="1369"/>
      <c r="AC106" s="1370"/>
      <c r="AD106" s="1357"/>
      <c r="AE106" s="1375"/>
      <c r="AF106" s="1370"/>
      <c r="AG106" s="1357"/>
      <c r="AH106" s="1376">
        <f>+L106+S106+G106+AA106+AD106+AG106+T106+W106+X106</f>
        <v>150</v>
      </c>
      <c r="AI106" s="1243"/>
    </row>
    <row r="107" spans="1:35" s="1377" customFormat="1" ht="18" hidden="1" customHeight="1" x14ac:dyDescent="0.2">
      <c r="A107" s="1340">
        <v>557</v>
      </c>
      <c r="B107" s="1391" t="s">
        <v>92</v>
      </c>
      <c r="C107" s="1409">
        <f>C108+C109+C110</f>
        <v>0</v>
      </c>
      <c r="D107" s="1343">
        <f>D108+D109+D110</f>
        <v>0</v>
      </c>
      <c r="E107" s="1362"/>
      <c r="F107" s="1362"/>
      <c r="G107" s="1384"/>
      <c r="H107" s="1381">
        <f>SUM(H108:H110)</f>
        <v>0</v>
      </c>
      <c r="I107" s="1346">
        <f>SUM(I108:I110)</f>
        <v>0</v>
      </c>
      <c r="J107" s="1346">
        <f>SUM(J108:J110)</f>
        <v>0</v>
      </c>
      <c r="K107" s="1346">
        <f>SUM(K108:K110)</f>
        <v>0</v>
      </c>
      <c r="L107" s="1348">
        <f t="shared" si="38"/>
        <v>0</v>
      </c>
      <c r="M107" s="1369">
        <v>0</v>
      </c>
      <c r="N107" s="1370">
        <v>0</v>
      </c>
      <c r="O107" s="1370">
        <v>0</v>
      </c>
      <c r="P107" s="1370">
        <v>0</v>
      </c>
      <c r="Q107" s="1370"/>
      <c r="R107" s="1370"/>
      <c r="S107" s="1371">
        <f>M107+N107+O107+P107</f>
        <v>0</v>
      </c>
      <c r="T107" s="1372"/>
      <c r="U107" s="1373"/>
      <c r="V107" s="1369"/>
      <c r="W107" s="1374">
        <f t="shared" si="34"/>
        <v>0</v>
      </c>
      <c r="X107" s="1369"/>
      <c r="Y107" s="1375"/>
      <c r="Z107" s="1370"/>
      <c r="AA107" s="1356"/>
      <c r="AB107" s="1369"/>
      <c r="AC107" s="1370"/>
      <c r="AD107" s="1357"/>
      <c r="AE107" s="1375"/>
      <c r="AF107" s="1370"/>
      <c r="AG107" s="1357"/>
      <c r="AH107" s="1358">
        <f t="shared" si="39"/>
        <v>0</v>
      </c>
      <c r="AI107" s="1243"/>
    </row>
    <row r="108" spans="1:35" s="1377" customFormat="1" ht="18" hidden="1" customHeight="1" x14ac:dyDescent="0.2">
      <c r="A108" s="1378">
        <v>55701</v>
      </c>
      <c r="B108" s="1390" t="s">
        <v>93</v>
      </c>
      <c r="C108" s="1410"/>
      <c r="D108" s="1363"/>
      <c r="E108" s="1362"/>
      <c r="F108" s="1362"/>
      <c r="G108" s="1384"/>
      <c r="H108" s="1382"/>
      <c r="I108" s="1366"/>
      <c r="J108" s="1366"/>
      <c r="K108" s="1366"/>
      <c r="L108" s="1348">
        <f t="shared" si="38"/>
        <v>0</v>
      </c>
      <c r="M108" s="1369">
        <v>0</v>
      </c>
      <c r="N108" s="1370">
        <v>0</v>
      </c>
      <c r="O108" s="1370">
        <v>0</v>
      </c>
      <c r="P108" s="1370">
        <v>0</v>
      </c>
      <c r="Q108" s="1370"/>
      <c r="R108" s="1370"/>
      <c r="S108" s="1371">
        <f>M108+N108+O108+P108</f>
        <v>0</v>
      </c>
      <c r="T108" s="1372"/>
      <c r="U108" s="1373"/>
      <c r="V108" s="1369"/>
      <c r="W108" s="1374">
        <f t="shared" si="34"/>
        <v>0</v>
      </c>
      <c r="X108" s="1369"/>
      <c r="Y108" s="1375"/>
      <c r="Z108" s="1370"/>
      <c r="AA108" s="1356"/>
      <c r="AB108" s="1369"/>
      <c r="AC108" s="1370"/>
      <c r="AD108" s="1357"/>
      <c r="AE108" s="1375"/>
      <c r="AF108" s="1370"/>
      <c r="AG108" s="1357"/>
      <c r="AH108" s="1358">
        <f t="shared" si="39"/>
        <v>0</v>
      </c>
      <c r="AI108" s="1243"/>
    </row>
    <row r="109" spans="1:35" s="1377" customFormat="1" ht="18" hidden="1" customHeight="1" x14ac:dyDescent="0.2">
      <c r="A109" s="1378">
        <v>55702</v>
      </c>
      <c r="B109" s="1390" t="s">
        <v>94</v>
      </c>
      <c r="C109" s="1410"/>
      <c r="D109" s="1363"/>
      <c r="E109" s="1362"/>
      <c r="F109" s="1362"/>
      <c r="G109" s="1384"/>
      <c r="H109" s="1382"/>
      <c r="I109" s="1366"/>
      <c r="J109" s="1366"/>
      <c r="K109" s="1366"/>
      <c r="L109" s="1348">
        <f t="shared" si="38"/>
        <v>0</v>
      </c>
      <c r="M109" s="1353">
        <v>0</v>
      </c>
      <c r="N109" s="1349">
        <v>0</v>
      </c>
      <c r="O109" s="1349">
        <v>0</v>
      </c>
      <c r="P109" s="1349">
        <v>0</v>
      </c>
      <c r="Q109" s="1349"/>
      <c r="R109" s="1349"/>
      <c r="S109" s="1371">
        <f>M109+N109+O109+P109</f>
        <v>0</v>
      </c>
      <c r="T109" s="1351"/>
      <c r="U109" s="1352"/>
      <c r="V109" s="1353"/>
      <c r="W109" s="1374">
        <f t="shared" si="34"/>
        <v>0</v>
      </c>
      <c r="X109" s="1353"/>
      <c r="Y109" s="1355"/>
      <c r="Z109" s="1349"/>
      <c r="AA109" s="1405"/>
      <c r="AB109" s="1353"/>
      <c r="AC109" s="1349"/>
      <c r="AD109" s="1406"/>
      <c r="AE109" s="1355"/>
      <c r="AF109" s="1349"/>
      <c r="AG109" s="1406"/>
      <c r="AH109" s="1358">
        <f t="shared" si="39"/>
        <v>0</v>
      </c>
      <c r="AI109" s="1243"/>
    </row>
    <row r="110" spans="1:35" s="1377" customFormat="1" ht="18" hidden="1" customHeight="1" x14ac:dyDescent="0.2">
      <c r="A110" s="1378">
        <v>55799</v>
      </c>
      <c r="B110" s="1390" t="s">
        <v>95</v>
      </c>
      <c r="C110" s="1410"/>
      <c r="D110" s="1363"/>
      <c r="E110" s="1362"/>
      <c r="F110" s="1362"/>
      <c r="G110" s="1384">
        <f>C110</f>
        <v>0</v>
      </c>
      <c r="H110" s="1382"/>
      <c r="I110" s="1366"/>
      <c r="J110" s="1366"/>
      <c r="K110" s="1366"/>
      <c r="L110" s="1348">
        <f t="shared" si="38"/>
        <v>0</v>
      </c>
      <c r="M110" s="1369">
        <v>0</v>
      </c>
      <c r="N110" s="1370">
        <v>0</v>
      </c>
      <c r="O110" s="1370">
        <v>0</v>
      </c>
      <c r="P110" s="1370">
        <v>0</v>
      </c>
      <c r="Q110" s="1370"/>
      <c r="R110" s="1370"/>
      <c r="S110" s="1371">
        <f>M110+N110+O110+P110</f>
        <v>0</v>
      </c>
      <c r="T110" s="1372"/>
      <c r="U110" s="1373"/>
      <c r="V110" s="1369"/>
      <c r="W110" s="1374">
        <f t="shared" si="34"/>
        <v>0</v>
      </c>
      <c r="X110" s="1369"/>
      <c r="Y110" s="1375"/>
      <c r="Z110" s="1370"/>
      <c r="AA110" s="1356"/>
      <c r="AB110" s="1369"/>
      <c r="AC110" s="1370"/>
      <c r="AD110" s="1357"/>
      <c r="AE110" s="1375"/>
      <c r="AF110" s="1370"/>
      <c r="AG110" s="1357"/>
      <c r="AH110" s="1358">
        <f t="shared" si="39"/>
        <v>0</v>
      </c>
      <c r="AI110" s="1243"/>
    </row>
    <row r="111" spans="1:35" s="1377" customFormat="1" ht="18" hidden="1" customHeight="1" x14ac:dyDescent="0.2">
      <c r="A111" s="1378"/>
      <c r="B111" s="1390"/>
      <c r="C111" s="1410"/>
      <c r="D111" s="1363"/>
      <c r="E111" s="1363"/>
      <c r="F111" s="1363"/>
      <c r="G111" s="1411"/>
      <c r="H111" s="1382"/>
      <c r="I111" s="1366"/>
      <c r="J111" s="1366"/>
      <c r="K111" s="1366"/>
      <c r="L111" s="1348">
        <f t="shared" si="38"/>
        <v>0</v>
      </c>
      <c r="M111" s="1369">
        <v>0</v>
      </c>
      <c r="N111" s="1370">
        <v>0</v>
      </c>
      <c r="O111" s="1370">
        <v>0</v>
      </c>
      <c r="P111" s="1370">
        <v>0</v>
      </c>
      <c r="Q111" s="1370"/>
      <c r="R111" s="1370"/>
      <c r="S111" s="1371">
        <f>M111+N111+O111+P111</f>
        <v>0</v>
      </c>
      <c r="T111" s="1372"/>
      <c r="U111" s="1373"/>
      <c r="V111" s="1369"/>
      <c r="W111" s="1374">
        <f t="shared" si="34"/>
        <v>0</v>
      </c>
      <c r="X111" s="1369"/>
      <c r="Y111" s="1375"/>
      <c r="Z111" s="1370"/>
      <c r="AA111" s="1356"/>
      <c r="AB111" s="1369"/>
      <c r="AC111" s="1370"/>
      <c r="AD111" s="1357"/>
      <c r="AE111" s="1375"/>
      <c r="AF111" s="1370"/>
      <c r="AG111" s="1357"/>
      <c r="AH111" s="1358">
        <f t="shared" si="39"/>
        <v>0</v>
      </c>
      <c r="AI111" s="1243"/>
    </row>
    <row r="112" spans="1:35" s="1377" customFormat="1" ht="18" customHeight="1" x14ac:dyDescent="0.2">
      <c r="A112" s="1340">
        <v>56</v>
      </c>
      <c r="B112" s="1391" t="s">
        <v>96</v>
      </c>
      <c r="C112" s="1409">
        <f>C113+C116</f>
        <v>5000</v>
      </c>
      <c r="D112" s="1343">
        <f>D113+D116</f>
        <v>0</v>
      </c>
      <c r="E112" s="1343">
        <f>E113+E116</f>
        <v>0</v>
      </c>
      <c r="F112" s="1343">
        <f>F113+F116</f>
        <v>0</v>
      </c>
      <c r="G112" s="1412">
        <f>F112+D112+C112</f>
        <v>5000</v>
      </c>
      <c r="H112" s="1381">
        <f>H113+H116</f>
        <v>15125.16</v>
      </c>
      <c r="I112" s="1346">
        <f>I113+I116</f>
        <v>0</v>
      </c>
      <c r="J112" s="1346">
        <f>J113+J116</f>
        <v>0</v>
      </c>
      <c r="K112" s="1346">
        <f>K113+K116</f>
        <v>0</v>
      </c>
      <c r="L112" s="1348">
        <f t="shared" si="38"/>
        <v>15125.16</v>
      </c>
      <c r="M112" s="1369">
        <f t="shared" ref="M112:N112" si="40">M113+M116</f>
        <v>0</v>
      </c>
      <c r="N112" s="1349">
        <f t="shared" si="40"/>
        <v>0</v>
      </c>
      <c r="O112" s="1370">
        <v>0</v>
      </c>
      <c r="P112" s="1370">
        <v>0</v>
      </c>
      <c r="Q112" s="1370">
        <v>0</v>
      </c>
      <c r="R112" s="1370">
        <v>0</v>
      </c>
      <c r="S112" s="1350">
        <f>M112+N112+O112+P112+R112</f>
        <v>0</v>
      </c>
      <c r="T112" s="1351">
        <v>0</v>
      </c>
      <c r="U112" s="1352">
        <v>0</v>
      </c>
      <c r="V112" s="1353">
        <v>0</v>
      </c>
      <c r="W112" s="1354">
        <f t="shared" si="34"/>
        <v>0</v>
      </c>
      <c r="X112" s="1369"/>
      <c r="Y112" s="1375"/>
      <c r="Z112" s="1370"/>
      <c r="AA112" s="1356"/>
      <c r="AB112" s="1369"/>
      <c r="AC112" s="1370"/>
      <c r="AD112" s="1357"/>
      <c r="AE112" s="1375"/>
      <c r="AF112" s="1370"/>
      <c r="AG112" s="1357"/>
      <c r="AH112" s="1358">
        <f t="shared" si="39"/>
        <v>20125.16</v>
      </c>
      <c r="AI112" s="1243"/>
    </row>
    <row r="113" spans="1:35" s="1377" customFormat="1" ht="18" customHeight="1" x14ac:dyDescent="0.2">
      <c r="A113" s="1340">
        <v>562</v>
      </c>
      <c r="B113" s="1391" t="s">
        <v>97</v>
      </c>
      <c r="C113" s="1409">
        <f>C114+C115</f>
        <v>0</v>
      </c>
      <c r="D113" s="1343">
        <f>D114+D115</f>
        <v>0</v>
      </c>
      <c r="E113" s="1363">
        <v>0</v>
      </c>
      <c r="F113" s="1363">
        <v>0</v>
      </c>
      <c r="G113" s="1412">
        <f t="shared" ref="G113:G119" si="41">F113+D113+C113</f>
        <v>0</v>
      </c>
      <c r="H113" s="1381">
        <f>H114+H115</f>
        <v>15125.16</v>
      </c>
      <c r="I113" s="1346">
        <f>I114+I115</f>
        <v>0</v>
      </c>
      <c r="J113" s="1346">
        <f>J114+J115</f>
        <v>0</v>
      </c>
      <c r="K113" s="1346">
        <f>K114+K115</f>
        <v>0</v>
      </c>
      <c r="L113" s="1348">
        <f t="shared" si="38"/>
        <v>15125.16</v>
      </c>
      <c r="M113" s="1369">
        <v>0</v>
      </c>
      <c r="N113" s="1370">
        <v>0</v>
      </c>
      <c r="O113" s="1370">
        <v>0</v>
      </c>
      <c r="P113" s="1370">
        <v>0</v>
      </c>
      <c r="Q113" s="1370">
        <v>0</v>
      </c>
      <c r="R113" s="1370">
        <v>0</v>
      </c>
      <c r="S113" s="1350">
        <f>M113+N113+O113+P113+R113</f>
        <v>0</v>
      </c>
      <c r="T113" s="1351">
        <v>0</v>
      </c>
      <c r="U113" s="1352">
        <v>0</v>
      </c>
      <c r="V113" s="1353">
        <v>0</v>
      </c>
      <c r="W113" s="1354">
        <f t="shared" si="34"/>
        <v>0</v>
      </c>
      <c r="X113" s="1369"/>
      <c r="Y113" s="1375"/>
      <c r="Z113" s="1370"/>
      <c r="AA113" s="1356"/>
      <c r="AB113" s="1369"/>
      <c r="AC113" s="1370"/>
      <c r="AD113" s="1357"/>
      <c r="AE113" s="1375"/>
      <c r="AF113" s="1370"/>
      <c r="AG113" s="1357"/>
      <c r="AH113" s="1358">
        <f t="shared" si="39"/>
        <v>15125.16</v>
      </c>
      <c r="AI113" s="1243"/>
    </row>
    <row r="114" spans="1:35" s="1377" customFormat="1" ht="18" customHeight="1" x14ac:dyDescent="0.2">
      <c r="A114" s="1378">
        <v>56201</v>
      </c>
      <c r="B114" s="1390" t="s">
        <v>603</v>
      </c>
      <c r="C114" s="1383">
        <f>'egresos 25% y F.P'!C197</f>
        <v>0</v>
      </c>
      <c r="D114" s="1363"/>
      <c r="E114" s="1363">
        <v>0</v>
      </c>
      <c r="F114" s="1363">
        <v>0</v>
      </c>
      <c r="G114" s="1411">
        <f>F114+D114+C114</f>
        <v>0</v>
      </c>
      <c r="H114" s="1382">
        <f>'egresos 25% y F.P'!C88</f>
        <v>15125.16</v>
      </c>
      <c r="I114" s="1366">
        <v>0</v>
      </c>
      <c r="J114" s="1366">
        <v>0</v>
      </c>
      <c r="K114" s="1366">
        <v>0</v>
      </c>
      <c r="L114" s="1348">
        <f t="shared" si="38"/>
        <v>15125.16</v>
      </c>
      <c r="M114" s="1369">
        <v>0</v>
      </c>
      <c r="N114" s="1370">
        <v>0</v>
      </c>
      <c r="O114" s="1370">
        <v>0</v>
      </c>
      <c r="P114" s="1370">
        <v>0</v>
      </c>
      <c r="Q114" s="1370">
        <v>0</v>
      </c>
      <c r="R114" s="1370">
        <v>0</v>
      </c>
      <c r="S114" s="1371">
        <f>M114+N114+O114+P114+Q114+R114</f>
        <v>0</v>
      </c>
      <c r="T114" s="1372">
        <v>0</v>
      </c>
      <c r="U114" s="1373">
        <v>0</v>
      </c>
      <c r="V114" s="1369">
        <v>0</v>
      </c>
      <c r="W114" s="1374">
        <f t="shared" si="34"/>
        <v>0</v>
      </c>
      <c r="X114" s="1369"/>
      <c r="Y114" s="1375"/>
      <c r="Z114" s="1370"/>
      <c r="AA114" s="1356"/>
      <c r="AB114" s="1369"/>
      <c r="AC114" s="1370"/>
      <c r="AD114" s="1357"/>
      <c r="AE114" s="1375"/>
      <c r="AF114" s="1370"/>
      <c r="AG114" s="1357"/>
      <c r="AH114" s="1376">
        <f t="shared" si="39"/>
        <v>15125.16</v>
      </c>
      <c r="AI114" s="1243"/>
    </row>
    <row r="115" spans="1:35" s="1377" customFormat="1" ht="18" hidden="1" customHeight="1" x14ac:dyDescent="0.2">
      <c r="A115" s="1378">
        <v>56202</v>
      </c>
      <c r="B115" s="1390" t="s">
        <v>240</v>
      </c>
      <c r="C115" s="1410"/>
      <c r="D115" s="1363"/>
      <c r="E115" s="1363">
        <v>0</v>
      </c>
      <c r="F115" s="1363">
        <v>0</v>
      </c>
      <c r="G115" s="1411">
        <f t="shared" si="41"/>
        <v>0</v>
      </c>
      <c r="H115" s="1382"/>
      <c r="I115" s="1366"/>
      <c r="J115" s="1366"/>
      <c r="K115" s="1366"/>
      <c r="L115" s="1348">
        <f t="shared" si="38"/>
        <v>0</v>
      </c>
      <c r="M115" s="1369">
        <v>0</v>
      </c>
      <c r="N115" s="1370">
        <v>0</v>
      </c>
      <c r="O115" s="1370">
        <v>0</v>
      </c>
      <c r="P115" s="1370">
        <v>0</v>
      </c>
      <c r="Q115" s="1370">
        <v>0</v>
      </c>
      <c r="R115" s="1370">
        <v>0</v>
      </c>
      <c r="S115" s="1371">
        <f>M115+N115+O115+P115+Q115+R115</f>
        <v>0</v>
      </c>
      <c r="T115" s="1372"/>
      <c r="U115" s="1373"/>
      <c r="V115" s="1369"/>
      <c r="W115" s="1374">
        <f t="shared" si="34"/>
        <v>0</v>
      </c>
      <c r="X115" s="1369"/>
      <c r="Y115" s="1375"/>
      <c r="Z115" s="1370"/>
      <c r="AA115" s="1356"/>
      <c r="AB115" s="1369"/>
      <c r="AC115" s="1370"/>
      <c r="AD115" s="1357"/>
      <c r="AE115" s="1375"/>
      <c r="AF115" s="1370"/>
      <c r="AG115" s="1357"/>
      <c r="AH115" s="1358">
        <f t="shared" si="39"/>
        <v>0</v>
      </c>
      <c r="AI115" s="1243"/>
    </row>
    <row r="116" spans="1:35" s="1377" customFormat="1" ht="18" customHeight="1" x14ac:dyDescent="0.2">
      <c r="A116" s="1340">
        <v>563</v>
      </c>
      <c r="B116" s="1391" t="s">
        <v>99</v>
      </c>
      <c r="C116" s="1409">
        <f>C117+C118</f>
        <v>5000</v>
      </c>
      <c r="D116" s="1343">
        <f>D117+D118</f>
        <v>0</v>
      </c>
      <c r="E116" s="1363">
        <v>0</v>
      </c>
      <c r="F116" s="1363">
        <v>0</v>
      </c>
      <c r="G116" s="1412">
        <f t="shared" si="41"/>
        <v>5000</v>
      </c>
      <c r="H116" s="1381">
        <f>H117+H118</f>
        <v>0</v>
      </c>
      <c r="I116" s="1346">
        <f>I117+I118</f>
        <v>0</v>
      </c>
      <c r="J116" s="1346">
        <f>J117+J118</f>
        <v>0</v>
      </c>
      <c r="K116" s="1346">
        <f>K117+K118</f>
        <v>0</v>
      </c>
      <c r="L116" s="1348">
        <f>SUM(H116:J116)</f>
        <v>0</v>
      </c>
      <c r="M116" s="1353">
        <f>SUM(M117:M119)</f>
        <v>0</v>
      </c>
      <c r="N116" s="1349">
        <f t="shared" ref="N116:O116" si="42">SUM(N117:N119)</f>
        <v>0</v>
      </c>
      <c r="O116" s="1349">
        <f t="shared" si="42"/>
        <v>0</v>
      </c>
      <c r="P116" s="1349">
        <v>0</v>
      </c>
      <c r="Q116" s="1349">
        <v>0</v>
      </c>
      <c r="R116" s="1349">
        <v>0</v>
      </c>
      <c r="S116" s="1350">
        <f>M116+N116+O116+P116+R116</f>
        <v>0</v>
      </c>
      <c r="T116" s="1351">
        <v>0</v>
      </c>
      <c r="U116" s="1352">
        <v>0</v>
      </c>
      <c r="V116" s="1353">
        <v>0</v>
      </c>
      <c r="W116" s="1354">
        <f t="shared" si="34"/>
        <v>0</v>
      </c>
      <c r="X116" s="1369"/>
      <c r="Y116" s="1375"/>
      <c r="Z116" s="1370"/>
      <c r="AA116" s="1356"/>
      <c r="AB116" s="1369"/>
      <c r="AC116" s="1370"/>
      <c r="AD116" s="1357"/>
      <c r="AE116" s="1375"/>
      <c r="AF116" s="1370"/>
      <c r="AG116" s="1357"/>
      <c r="AH116" s="1358">
        <f t="shared" si="39"/>
        <v>5000</v>
      </c>
      <c r="AI116" s="1243"/>
    </row>
    <row r="117" spans="1:35" s="1377" customFormat="1" ht="18" hidden="1" customHeight="1" x14ac:dyDescent="0.2">
      <c r="A117" s="1378">
        <v>56303</v>
      </c>
      <c r="B117" s="1390" t="s">
        <v>98</v>
      </c>
      <c r="C117" s="1410"/>
      <c r="D117" s="1363"/>
      <c r="E117" s="1363">
        <v>0</v>
      </c>
      <c r="F117" s="1363">
        <v>0</v>
      </c>
      <c r="G117" s="1411">
        <f t="shared" si="41"/>
        <v>0</v>
      </c>
      <c r="H117" s="1382"/>
      <c r="I117" s="1366"/>
      <c r="J117" s="1366"/>
      <c r="K117" s="1366"/>
      <c r="L117" s="1348">
        <f t="shared" ref="L117:L159" si="43">SUM(H117:J117)</f>
        <v>0</v>
      </c>
      <c r="M117" s="1369">
        <v>0</v>
      </c>
      <c r="N117" s="1370">
        <v>0</v>
      </c>
      <c r="O117" s="1370">
        <v>0</v>
      </c>
      <c r="P117" s="1370">
        <v>0</v>
      </c>
      <c r="Q117" s="1370">
        <v>0</v>
      </c>
      <c r="R117" s="1370">
        <v>0</v>
      </c>
      <c r="S117" s="1371">
        <f>M117+N117+O117+P117+Q117+R117</f>
        <v>0</v>
      </c>
      <c r="T117" s="1372"/>
      <c r="U117" s="1373"/>
      <c r="V117" s="1369"/>
      <c r="W117" s="1374">
        <f t="shared" si="34"/>
        <v>0</v>
      </c>
      <c r="X117" s="1369"/>
      <c r="Y117" s="1375"/>
      <c r="Z117" s="1370"/>
      <c r="AA117" s="1356"/>
      <c r="AB117" s="1369"/>
      <c r="AC117" s="1370"/>
      <c r="AD117" s="1357"/>
      <c r="AE117" s="1375"/>
      <c r="AF117" s="1370"/>
      <c r="AG117" s="1357"/>
      <c r="AH117" s="1358">
        <f t="shared" si="39"/>
        <v>0</v>
      </c>
      <c r="AI117" s="1243"/>
    </row>
    <row r="118" spans="1:35" s="1377" customFormat="1" ht="18" customHeight="1" x14ac:dyDescent="0.2">
      <c r="A118" s="1378">
        <v>56304</v>
      </c>
      <c r="B118" s="1390" t="s">
        <v>109</v>
      </c>
      <c r="C118" s="1383">
        <f>'egresos 25% y F.P'!C200</f>
        <v>5000</v>
      </c>
      <c r="D118" s="1363">
        <v>0</v>
      </c>
      <c r="E118" s="1363">
        <v>0</v>
      </c>
      <c r="F118" s="1363">
        <v>0</v>
      </c>
      <c r="G118" s="1411">
        <f t="shared" si="41"/>
        <v>5000</v>
      </c>
      <c r="H118" s="1382">
        <f>'egresos 25% y F.P'!C91</f>
        <v>0</v>
      </c>
      <c r="I118" s="1366">
        <v>0</v>
      </c>
      <c r="J118" s="1366">
        <v>0</v>
      </c>
      <c r="K118" s="1366">
        <v>0</v>
      </c>
      <c r="L118" s="1348">
        <f t="shared" si="43"/>
        <v>0</v>
      </c>
      <c r="M118" s="1369">
        <v>0</v>
      </c>
      <c r="N118" s="1370">
        <v>0</v>
      </c>
      <c r="O118" s="1370">
        <v>0</v>
      </c>
      <c r="P118" s="1370">
        <v>0</v>
      </c>
      <c r="Q118" s="1370">
        <v>0</v>
      </c>
      <c r="R118" s="1370">
        <v>0</v>
      </c>
      <c r="S118" s="1371">
        <f>M118+N118+O118+P118+Q118+R118</f>
        <v>0</v>
      </c>
      <c r="T118" s="1372">
        <v>0</v>
      </c>
      <c r="U118" s="1373">
        <v>0</v>
      </c>
      <c r="V118" s="1369">
        <v>0</v>
      </c>
      <c r="W118" s="1374">
        <f t="shared" si="34"/>
        <v>0</v>
      </c>
      <c r="X118" s="1369"/>
      <c r="Y118" s="1375"/>
      <c r="Z118" s="1370"/>
      <c r="AA118" s="1356"/>
      <c r="AB118" s="1369"/>
      <c r="AC118" s="1370"/>
      <c r="AD118" s="1357"/>
      <c r="AE118" s="1375"/>
      <c r="AF118" s="1370"/>
      <c r="AG118" s="1357"/>
      <c r="AH118" s="1376">
        <f t="shared" si="39"/>
        <v>5000</v>
      </c>
      <c r="AI118" s="1243"/>
    </row>
    <row r="119" spans="1:35" s="1377" customFormat="1" ht="18" hidden="1" customHeight="1" x14ac:dyDescent="0.2">
      <c r="A119" s="1378">
        <v>56305</v>
      </c>
      <c r="B119" s="1390" t="s">
        <v>254</v>
      </c>
      <c r="C119" s="1410">
        <v>0</v>
      </c>
      <c r="D119" s="1363">
        <v>0</v>
      </c>
      <c r="E119" s="1363">
        <v>0</v>
      </c>
      <c r="F119" s="1363">
        <v>0</v>
      </c>
      <c r="G119" s="1411">
        <f t="shared" si="41"/>
        <v>0</v>
      </c>
      <c r="H119" s="1382">
        <v>0</v>
      </c>
      <c r="I119" s="1366">
        <v>0</v>
      </c>
      <c r="J119" s="1366">
        <v>0</v>
      </c>
      <c r="K119" s="1366">
        <v>0</v>
      </c>
      <c r="L119" s="1348">
        <f t="shared" si="43"/>
        <v>0</v>
      </c>
      <c r="M119" s="1369">
        <v>0</v>
      </c>
      <c r="N119" s="1370">
        <v>0</v>
      </c>
      <c r="O119" s="1370">
        <v>0</v>
      </c>
      <c r="P119" s="1370">
        <v>0</v>
      </c>
      <c r="Q119" s="1370">
        <v>0</v>
      </c>
      <c r="R119" s="1370">
        <v>0</v>
      </c>
      <c r="S119" s="1371">
        <f>M119+N119+O119+P119+Q119+R119</f>
        <v>0</v>
      </c>
      <c r="T119" s="1372">
        <v>0</v>
      </c>
      <c r="U119" s="1373">
        <v>0</v>
      </c>
      <c r="V119" s="1369">
        <v>0</v>
      </c>
      <c r="W119" s="1374">
        <f t="shared" si="34"/>
        <v>0</v>
      </c>
      <c r="X119" s="1369"/>
      <c r="Y119" s="1375"/>
      <c r="Z119" s="1370"/>
      <c r="AA119" s="1356"/>
      <c r="AB119" s="1369"/>
      <c r="AC119" s="1370"/>
      <c r="AD119" s="1357"/>
      <c r="AE119" s="1375"/>
      <c r="AF119" s="1370"/>
      <c r="AG119" s="1357"/>
      <c r="AH119" s="1376">
        <f t="shared" si="39"/>
        <v>0</v>
      </c>
      <c r="AI119" s="1243"/>
    </row>
    <row r="120" spans="1:35" s="1377" customFormat="1" ht="18" customHeight="1" x14ac:dyDescent="0.2">
      <c r="A120" s="1385" t="s">
        <v>162</v>
      </c>
      <c r="B120" s="1413" t="s">
        <v>163</v>
      </c>
      <c r="C120" s="1409">
        <v>0</v>
      </c>
      <c r="D120" s="1343">
        <v>0</v>
      </c>
      <c r="E120" s="1343">
        <v>0</v>
      </c>
      <c r="F120" s="1343">
        <f>F139</f>
        <v>0</v>
      </c>
      <c r="G120" s="1412">
        <f>G121+G130+G134+G139</f>
        <v>0</v>
      </c>
      <c r="H120" s="1381">
        <f>H121+H130+H134+H139</f>
        <v>0</v>
      </c>
      <c r="I120" s="1346">
        <f>I121+I130+I134+I139</f>
        <v>0</v>
      </c>
      <c r="J120" s="1346">
        <f>J141</f>
        <v>0</v>
      </c>
      <c r="K120" s="1346">
        <f>K121+K130+K134+K139</f>
        <v>0</v>
      </c>
      <c r="L120" s="1348">
        <f>SUM(H120:K120)</f>
        <v>0</v>
      </c>
      <c r="M120" s="1351">
        <f>M121+M130+M134+M139</f>
        <v>84270.57</v>
      </c>
      <c r="N120" s="1349">
        <f>N121+N130+N134+N139</f>
        <v>503471.04</v>
      </c>
      <c r="O120" s="1349">
        <f>O121+O130+O134+O139</f>
        <v>368777.38</v>
      </c>
      <c r="P120" s="1349">
        <v>0</v>
      </c>
      <c r="Q120" s="1349">
        <v>0</v>
      </c>
      <c r="R120" s="1349">
        <v>0</v>
      </c>
      <c r="S120" s="1350">
        <f>M120+N120+O120+P120+R120</f>
        <v>956518.99</v>
      </c>
      <c r="T120" s="1351">
        <f>T121+T130+T134+T139</f>
        <v>20848.46</v>
      </c>
      <c r="U120" s="1352">
        <f>U121+U130+U134+U139</f>
        <v>360000</v>
      </c>
      <c r="V120" s="1353">
        <f>V121+V130+V134+V139</f>
        <v>411191.65</v>
      </c>
      <c r="W120" s="1354">
        <f t="shared" si="34"/>
        <v>771191.65</v>
      </c>
      <c r="X120" s="1353">
        <f>X121+X130+X134+X139</f>
        <v>0</v>
      </c>
      <c r="Y120" s="1375"/>
      <c r="Z120" s="1370"/>
      <c r="AA120" s="1356"/>
      <c r="AB120" s="1369"/>
      <c r="AC120" s="1370"/>
      <c r="AD120" s="1357"/>
      <c r="AE120" s="1375"/>
      <c r="AF120" s="1370"/>
      <c r="AG120" s="1357"/>
      <c r="AH120" s="1358">
        <f t="shared" si="39"/>
        <v>1748559.1</v>
      </c>
      <c r="AI120" s="1243"/>
    </row>
    <row r="121" spans="1:35" s="1377" customFormat="1" ht="18" customHeight="1" x14ac:dyDescent="0.2">
      <c r="A121" s="1385" t="s">
        <v>164</v>
      </c>
      <c r="B121" s="1413" t="s">
        <v>165</v>
      </c>
      <c r="C121" s="1409">
        <v>0</v>
      </c>
      <c r="D121" s="1343">
        <v>0</v>
      </c>
      <c r="E121" s="1343">
        <v>0</v>
      </c>
      <c r="F121" s="1343">
        <v>0</v>
      </c>
      <c r="G121" s="1412">
        <v>0</v>
      </c>
      <c r="H121" s="1381">
        <v>0</v>
      </c>
      <c r="I121" s="1346">
        <v>0</v>
      </c>
      <c r="J121" s="1346">
        <v>0</v>
      </c>
      <c r="K121" s="1346">
        <v>0</v>
      </c>
      <c r="L121" s="1348">
        <f t="shared" si="43"/>
        <v>0</v>
      </c>
      <c r="M121" s="1351">
        <f>SUM(M122:M129)</f>
        <v>5750</v>
      </c>
      <c r="N121" s="1349">
        <f>SUM(N122:N129)</f>
        <v>0</v>
      </c>
      <c r="O121" s="1349">
        <f>SUM(O122:O129)</f>
        <v>0</v>
      </c>
      <c r="P121" s="1349">
        <v>0</v>
      </c>
      <c r="Q121" s="1349">
        <v>0</v>
      </c>
      <c r="R121" s="1349">
        <v>0</v>
      </c>
      <c r="S121" s="1350">
        <f>M121+N121+O121+P121+R121</f>
        <v>5750</v>
      </c>
      <c r="T121" s="1351">
        <f>SUM(T122:T129)</f>
        <v>0</v>
      </c>
      <c r="U121" s="1352">
        <v>0</v>
      </c>
      <c r="V121" s="1353">
        <v>0</v>
      </c>
      <c r="W121" s="1354">
        <f t="shared" si="34"/>
        <v>0</v>
      </c>
      <c r="X121" s="1369"/>
      <c r="Y121" s="1375"/>
      <c r="Z121" s="1370"/>
      <c r="AA121" s="1356"/>
      <c r="AB121" s="1369"/>
      <c r="AC121" s="1370"/>
      <c r="AD121" s="1357"/>
      <c r="AE121" s="1375"/>
      <c r="AF121" s="1370"/>
      <c r="AG121" s="1357"/>
      <c r="AH121" s="1358">
        <f t="shared" si="39"/>
        <v>5750</v>
      </c>
      <c r="AI121" s="1243"/>
    </row>
    <row r="122" spans="1:35" s="1377" customFormat="1" ht="18" hidden="1" customHeight="1" x14ac:dyDescent="0.2">
      <c r="A122" s="1359" t="s">
        <v>166</v>
      </c>
      <c r="B122" s="1414" t="s">
        <v>167</v>
      </c>
      <c r="C122" s="1410">
        <v>0</v>
      </c>
      <c r="D122" s="1363">
        <v>0</v>
      </c>
      <c r="E122" s="1363">
        <v>0</v>
      </c>
      <c r="F122" s="1363">
        <v>0</v>
      </c>
      <c r="G122" s="1411">
        <v>0</v>
      </c>
      <c r="H122" s="1382">
        <v>0</v>
      </c>
      <c r="I122" s="1366">
        <v>0</v>
      </c>
      <c r="J122" s="1366">
        <v>0</v>
      </c>
      <c r="K122" s="1366">
        <v>0</v>
      </c>
      <c r="L122" s="1348">
        <f t="shared" si="43"/>
        <v>0</v>
      </c>
      <c r="M122" s="1372">
        <v>0</v>
      </c>
      <c r="N122" s="1370">
        <v>0</v>
      </c>
      <c r="O122" s="1370">
        <v>0</v>
      </c>
      <c r="P122" s="1370">
        <v>0</v>
      </c>
      <c r="Q122" s="1370">
        <v>0</v>
      </c>
      <c r="R122" s="1370">
        <v>0</v>
      </c>
      <c r="S122" s="1371">
        <f t="shared" ref="S122:S129" si="44">M122+N122+O122+P122+Q122+R122</f>
        <v>0</v>
      </c>
      <c r="T122" s="1372">
        <v>0</v>
      </c>
      <c r="U122" s="1373">
        <v>0</v>
      </c>
      <c r="V122" s="1369">
        <v>0</v>
      </c>
      <c r="W122" s="1374">
        <f t="shared" si="34"/>
        <v>0</v>
      </c>
      <c r="X122" s="1369"/>
      <c r="Y122" s="1375"/>
      <c r="Z122" s="1370"/>
      <c r="AA122" s="1356"/>
      <c r="AB122" s="1369"/>
      <c r="AC122" s="1370"/>
      <c r="AD122" s="1357"/>
      <c r="AE122" s="1375"/>
      <c r="AF122" s="1370"/>
      <c r="AG122" s="1357"/>
      <c r="AH122" s="1376">
        <f t="shared" si="39"/>
        <v>0</v>
      </c>
      <c r="AI122" s="1243"/>
    </row>
    <row r="123" spans="1:35" s="1377" customFormat="1" ht="18" hidden="1" customHeight="1" x14ac:dyDescent="0.2">
      <c r="A123" s="1359" t="s">
        <v>168</v>
      </c>
      <c r="B123" s="1414" t="s">
        <v>169</v>
      </c>
      <c r="C123" s="1410">
        <v>0</v>
      </c>
      <c r="D123" s="1363">
        <v>0</v>
      </c>
      <c r="E123" s="1363">
        <v>0</v>
      </c>
      <c r="F123" s="1363">
        <v>0</v>
      </c>
      <c r="G123" s="1411">
        <v>0</v>
      </c>
      <c r="H123" s="1382">
        <v>0</v>
      </c>
      <c r="I123" s="1366">
        <v>0</v>
      </c>
      <c r="J123" s="1366">
        <v>0</v>
      </c>
      <c r="K123" s="1366">
        <v>0</v>
      </c>
      <c r="L123" s="1348">
        <f t="shared" si="43"/>
        <v>0</v>
      </c>
      <c r="M123" s="1372">
        <v>0</v>
      </c>
      <c r="N123" s="1370">
        <v>0</v>
      </c>
      <c r="O123" s="1370">
        <v>0</v>
      </c>
      <c r="P123" s="1370">
        <v>0</v>
      </c>
      <c r="Q123" s="1370">
        <v>0</v>
      </c>
      <c r="R123" s="1370">
        <v>0</v>
      </c>
      <c r="S123" s="1371">
        <f t="shared" si="44"/>
        <v>0</v>
      </c>
      <c r="T123" s="1372">
        <v>0</v>
      </c>
      <c r="U123" s="1373">
        <v>0</v>
      </c>
      <c r="V123" s="1369">
        <v>0</v>
      </c>
      <c r="W123" s="1374">
        <f t="shared" si="34"/>
        <v>0</v>
      </c>
      <c r="X123" s="1369"/>
      <c r="Y123" s="1375"/>
      <c r="Z123" s="1370"/>
      <c r="AA123" s="1356"/>
      <c r="AB123" s="1369"/>
      <c r="AC123" s="1370"/>
      <c r="AD123" s="1357"/>
      <c r="AE123" s="1375"/>
      <c r="AF123" s="1370"/>
      <c r="AG123" s="1357"/>
      <c r="AH123" s="1376">
        <f t="shared" si="39"/>
        <v>0</v>
      </c>
      <c r="AI123" s="1243"/>
    </row>
    <row r="124" spans="1:35" s="1377" customFormat="1" ht="18" hidden="1" customHeight="1" x14ac:dyDescent="0.2">
      <c r="A124" s="1359" t="s">
        <v>170</v>
      </c>
      <c r="B124" s="1414" t="s">
        <v>171</v>
      </c>
      <c r="C124" s="1410">
        <v>0</v>
      </c>
      <c r="D124" s="1363">
        <v>0</v>
      </c>
      <c r="E124" s="1363">
        <v>0</v>
      </c>
      <c r="F124" s="1363">
        <v>0</v>
      </c>
      <c r="G124" s="1411">
        <v>0</v>
      </c>
      <c r="H124" s="1382">
        <v>0</v>
      </c>
      <c r="I124" s="1366">
        <v>0</v>
      </c>
      <c r="J124" s="1366">
        <v>0</v>
      </c>
      <c r="K124" s="1366">
        <v>0</v>
      </c>
      <c r="L124" s="1348">
        <f t="shared" si="43"/>
        <v>0</v>
      </c>
      <c r="M124" s="1372">
        <v>0</v>
      </c>
      <c r="N124" s="1370">
        <v>0</v>
      </c>
      <c r="O124" s="1370">
        <v>0</v>
      </c>
      <c r="P124" s="1370">
        <v>0</v>
      </c>
      <c r="Q124" s="1370">
        <v>0</v>
      </c>
      <c r="R124" s="1370">
        <v>0</v>
      </c>
      <c r="S124" s="1371">
        <f t="shared" si="44"/>
        <v>0</v>
      </c>
      <c r="T124" s="1372">
        <v>0</v>
      </c>
      <c r="U124" s="1373">
        <v>0</v>
      </c>
      <c r="V124" s="1369">
        <v>0</v>
      </c>
      <c r="W124" s="1374">
        <f t="shared" si="34"/>
        <v>0</v>
      </c>
      <c r="X124" s="1369"/>
      <c r="Y124" s="1375"/>
      <c r="Z124" s="1370"/>
      <c r="AA124" s="1356"/>
      <c r="AB124" s="1369"/>
      <c r="AC124" s="1370"/>
      <c r="AD124" s="1357"/>
      <c r="AE124" s="1375"/>
      <c r="AF124" s="1370"/>
      <c r="AG124" s="1357"/>
      <c r="AH124" s="1376">
        <f t="shared" si="39"/>
        <v>0</v>
      </c>
      <c r="AI124" s="1243"/>
    </row>
    <row r="125" spans="1:35" s="1377" customFormat="1" ht="18" customHeight="1" x14ac:dyDescent="0.2">
      <c r="A125" s="1359" t="s">
        <v>172</v>
      </c>
      <c r="B125" s="1414" t="s">
        <v>173</v>
      </c>
      <c r="C125" s="1410">
        <v>0</v>
      </c>
      <c r="D125" s="1363">
        <v>0</v>
      </c>
      <c r="E125" s="1363">
        <v>0</v>
      </c>
      <c r="F125" s="1363">
        <v>0</v>
      </c>
      <c r="G125" s="1411">
        <v>0</v>
      </c>
      <c r="H125" s="1382">
        <v>0</v>
      </c>
      <c r="I125" s="1366">
        <v>0</v>
      </c>
      <c r="J125" s="1366">
        <v>0</v>
      </c>
      <c r="K125" s="1366">
        <v>0</v>
      </c>
      <c r="L125" s="1348">
        <f t="shared" si="43"/>
        <v>0</v>
      </c>
      <c r="M125" s="1372">
        <f>'AG3'!D18</f>
        <v>5750</v>
      </c>
      <c r="N125" s="1370">
        <v>0</v>
      </c>
      <c r="O125" s="1370">
        <v>0</v>
      </c>
      <c r="P125" s="1370">
        <v>0</v>
      </c>
      <c r="Q125" s="1370">
        <v>0</v>
      </c>
      <c r="R125" s="1370">
        <v>0</v>
      </c>
      <c r="S125" s="1371">
        <f t="shared" si="44"/>
        <v>5750</v>
      </c>
      <c r="T125" s="1372">
        <v>0</v>
      </c>
      <c r="U125" s="1373">
        <v>0</v>
      </c>
      <c r="V125" s="1369">
        <v>0</v>
      </c>
      <c r="W125" s="1374">
        <f t="shared" si="34"/>
        <v>0</v>
      </c>
      <c r="X125" s="1369"/>
      <c r="Y125" s="1375"/>
      <c r="Z125" s="1370"/>
      <c r="AA125" s="1356"/>
      <c r="AB125" s="1369"/>
      <c r="AC125" s="1370"/>
      <c r="AD125" s="1357"/>
      <c r="AE125" s="1375"/>
      <c r="AF125" s="1370"/>
      <c r="AG125" s="1357"/>
      <c r="AH125" s="1376">
        <f t="shared" si="39"/>
        <v>5750</v>
      </c>
      <c r="AI125" s="1243"/>
    </row>
    <row r="126" spans="1:35" s="1377" customFormat="1" ht="18" hidden="1" customHeight="1" x14ac:dyDescent="0.2">
      <c r="A126" s="1359" t="s">
        <v>174</v>
      </c>
      <c r="B126" s="1414" t="s">
        <v>175</v>
      </c>
      <c r="C126" s="1410">
        <v>0</v>
      </c>
      <c r="D126" s="1363">
        <v>0</v>
      </c>
      <c r="E126" s="1363">
        <v>0</v>
      </c>
      <c r="F126" s="1363">
        <v>0</v>
      </c>
      <c r="G126" s="1411">
        <v>0</v>
      </c>
      <c r="H126" s="1382">
        <v>0</v>
      </c>
      <c r="I126" s="1366">
        <v>0</v>
      </c>
      <c r="J126" s="1366">
        <v>0</v>
      </c>
      <c r="K126" s="1366">
        <v>0</v>
      </c>
      <c r="L126" s="1348">
        <f t="shared" si="43"/>
        <v>0</v>
      </c>
      <c r="M126" s="1372">
        <v>0</v>
      </c>
      <c r="N126" s="1370">
        <v>0</v>
      </c>
      <c r="O126" s="1370">
        <v>0</v>
      </c>
      <c r="P126" s="1370">
        <v>0</v>
      </c>
      <c r="Q126" s="1370">
        <v>0</v>
      </c>
      <c r="R126" s="1370">
        <v>0</v>
      </c>
      <c r="S126" s="1371">
        <f t="shared" si="44"/>
        <v>0</v>
      </c>
      <c r="T126" s="1372">
        <f>'AG4'!F33</f>
        <v>0</v>
      </c>
      <c r="U126" s="1373">
        <v>0</v>
      </c>
      <c r="V126" s="1369">
        <v>0</v>
      </c>
      <c r="W126" s="1374">
        <f t="shared" si="34"/>
        <v>0</v>
      </c>
      <c r="X126" s="1369"/>
      <c r="Y126" s="1375"/>
      <c r="Z126" s="1370"/>
      <c r="AA126" s="1356"/>
      <c r="AB126" s="1369"/>
      <c r="AC126" s="1370"/>
      <c r="AD126" s="1357"/>
      <c r="AE126" s="1375"/>
      <c r="AF126" s="1370"/>
      <c r="AG126" s="1357"/>
      <c r="AH126" s="1376">
        <f t="shared" si="39"/>
        <v>0</v>
      </c>
      <c r="AI126" s="1243"/>
    </row>
    <row r="127" spans="1:35" s="1377" customFormat="1" ht="18" hidden="1" customHeight="1" x14ac:dyDescent="0.2">
      <c r="A127" s="1359" t="s">
        <v>176</v>
      </c>
      <c r="B127" s="1414" t="s">
        <v>177</v>
      </c>
      <c r="C127" s="1410">
        <v>0</v>
      </c>
      <c r="D127" s="1363">
        <v>0</v>
      </c>
      <c r="E127" s="1363">
        <v>0</v>
      </c>
      <c r="F127" s="1363">
        <v>0</v>
      </c>
      <c r="G127" s="1411">
        <v>0</v>
      </c>
      <c r="H127" s="1382">
        <v>0</v>
      </c>
      <c r="I127" s="1366">
        <v>0</v>
      </c>
      <c r="J127" s="1366">
        <v>0</v>
      </c>
      <c r="K127" s="1366">
        <v>0</v>
      </c>
      <c r="L127" s="1348">
        <f t="shared" si="43"/>
        <v>0</v>
      </c>
      <c r="M127" s="1372">
        <v>0</v>
      </c>
      <c r="N127" s="1370">
        <v>0</v>
      </c>
      <c r="O127" s="1370">
        <v>0</v>
      </c>
      <c r="P127" s="1370">
        <v>0</v>
      </c>
      <c r="Q127" s="1370">
        <v>0</v>
      </c>
      <c r="R127" s="1370">
        <v>0</v>
      </c>
      <c r="S127" s="1371">
        <f t="shared" si="44"/>
        <v>0</v>
      </c>
      <c r="T127" s="1372">
        <v>0</v>
      </c>
      <c r="U127" s="1373">
        <v>0</v>
      </c>
      <c r="V127" s="1369">
        <v>0</v>
      </c>
      <c r="W127" s="1374">
        <f t="shared" si="34"/>
        <v>0</v>
      </c>
      <c r="X127" s="1369"/>
      <c r="Y127" s="1375"/>
      <c r="Z127" s="1370"/>
      <c r="AA127" s="1356"/>
      <c r="AB127" s="1369"/>
      <c r="AC127" s="1370"/>
      <c r="AD127" s="1357"/>
      <c r="AE127" s="1375"/>
      <c r="AF127" s="1370"/>
      <c r="AG127" s="1357"/>
      <c r="AH127" s="1376">
        <f t="shared" si="39"/>
        <v>0</v>
      </c>
      <c r="AI127" s="1243"/>
    </row>
    <row r="128" spans="1:35" s="1377" customFormat="1" ht="18" hidden="1" customHeight="1" x14ac:dyDescent="0.2">
      <c r="A128" s="1359" t="s">
        <v>178</v>
      </c>
      <c r="B128" s="1414" t="s">
        <v>179</v>
      </c>
      <c r="C128" s="1410">
        <v>0</v>
      </c>
      <c r="D128" s="1363">
        <v>0</v>
      </c>
      <c r="E128" s="1363">
        <v>0</v>
      </c>
      <c r="F128" s="1363">
        <v>0</v>
      </c>
      <c r="G128" s="1411">
        <v>0</v>
      </c>
      <c r="H128" s="1382">
        <v>0</v>
      </c>
      <c r="I128" s="1366">
        <v>0</v>
      </c>
      <c r="J128" s="1366">
        <v>0</v>
      </c>
      <c r="K128" s="1366">
        <v>0</v>
      </c>
      <c r="L128" s="1348">
        <f t="shared" si="43"/>
        <v>0</v>
      </c>
      <c r="M128" s="1372">
        <v>0</v>
      </c>
      <c r="N128" s="1370">
        <v>0</v>
      </c>
      <c r="O128" s="1370">
        <v>0</v>
      </c>
      <c r="P128" s="1370">
        <v>0</v>
      </c>
      <c r="Q128" s="1370">
        <v>0</v>
      </c>
      <c r="R128" s="1370">
        <v>0</v>
      </c>
      <c r="S128" s="1371">
        <f t="shared" si="44"/>
        <v>0</v>
      </c>
      <c r="T128" s="1372">
        <v>0</v>
      </c>
      <c r="U128" s="1373">
        <v>0</v>
      </c>
      <c r="V128" s="1369">
        <v>0</v>
      </c>
      <c r="W128" s="1374">
        <f t="shared" si="34"/>
        <v>0</v>
      </c>
      <c r="X128" s="1369"/>
      <c r="Y128" s="1375"/>
      <c r="Z128" s="1370"/>
      <c r="AA128" s="1356"/>
      <c r="AB128" s="1369"/>
      <c r="AC128" s="1370"/>
      <c r="AD128" s="1357"/>
      <c r="AE128" s="1375"/>
      <c r="AF128" s="1370"/>
      <c r="AG128" s="1357"/>
      <c r="AH128" s="1376">
        <f t="shared" si="39"/>
        <v>0</v>
      </c>
      <c r="AI128" s="1243"/>
    </row>
    <row r="129" spans="1:35" s="1377" customFormat="1" ht="18" hidden="1" customHeight="1" x14ac:dyDescent="0.2">
      <c r="A129" s="1359" t="s">
        <v>180</v>
      </c>
      <c r="B129" s="1414" t="s">
        <v>181</v>
      </c>
      <c r="C129" s="1410">
        <v>0</v>
      </c>
      <c r="D129" s="1363">
        <v>0</v>
      </c>
      <c r="E129" s="1363">
        <v>0</v>
      </c>
      <c r="F129" s="1363">
        <v>0</v>
      </c>
      <c r="G129" s="1411">
        <v>0</v>
      </c>
      <c r="H129" s="1382">
        <v>0</v>
      </c>
      <c r="I129" s="1366">
        <v>0</v>
      </c>
      <c r="J129" s="1366">
        <v>0</v>
      </c>
      <c r="K129" s="1366">
        <v>0</v>
      </c>
      <c r="L129" s="1348">
        <f t="shared" si="43"/>
        <v>0</v>
      </c>
      <c r="M129" s="1372">
        <v>0</v>
      </c>
      <c r="N129" s="1370">
        <v>0</v>
      </c>
      <c r="O129" s="1370">
        <v>0</v>
      </c>
      <c r="P129" s="1370">
        <v>0</v>
      </c>
      <c r="Q129" s="1370">
        <v>0</v>
      </c>
      <c r="R129" s="1370">
        <v>0</v>
      </c>
      <c r="S129" s="1371">
        <f t="shared" si="44"/>
        <v>0</v>
      </c>
      <c r="T129" s="1372">
        <v>0</v>
      </c>
      <c r="U129" s="1373">
        <v>0</v>
      </c>
      <c r="V129" s="1369">
        <v>0</v>
      </c>
      <c r="W129" s="1374">
        <f t="shared" si="34"/>
        <v>0</v>
      </c>
      <c r="X129" s="1369"/>
      <c r="Y129" s="1375"/>
      <c r="Z129" s="1370"/>
      <c r="AA129" s="1356"/>
      <c r="AB129" s="1369"/>
      <c r="AC129" s="1370"/>
      <c r="AD129" s="1357"/>
      <c r="AE129" s="1375"/>
      <c r="AF129" s="1370"/>
      <c r="AG129" s="1357"/>
      <c r="AH129" s="1376">
        <f t="shared" si="39"/>
        <v>0</v>
      </c>
      <c r="AI129" s="1243"/>
    </row>
    <row r="130" spans="1:35" s="1377" customFormat="1" ht="18" customHeight="1" x14ac:dyDescent="0.2">
      <c r="A130" s="1385" t="s">
        <v>241</v>
      </c>
      <c r="B130" s="1413" t="s">
        <v>193</v>
      </c>
      <c r="C130" s="1409">
        <v>0</v>
      </c>
      <c r="D130" s="1343">
        <v>0</v>
      </c>
      <c r="E130" s="1343">
        <v>0</v>
      </c>
      <c r="F130" s="1343">
        <v>0</v>
      </c>
      <c r="G130" s="1412">
        <v>0</v>
      </c>
      <c r="H130" s="1381">
        <v>0</v>
      </c>
      <c r="I130" s="1346">
        <v>0</v>
      </c>
      <c r="J130" s="1346">
        <v>0</v>
      </c>
      <c r="K130" s="1346">
        <v>0</v>
      </c>
      <c r="L130" s="1348">
        <f t="shared" si="43"/>
        <v>0</v>
      </c>
      <c r="M130" s="1351">
        <f>M131+M132+M133</f>
        <v>15000</v>
      </c>
      <c r="N130" s="1349">
        <f>N131+N132+N133</f>
        <v>0</v>
      </c>
      <c r="O130" s="1349">
        <v>0</v>
      </c>
      <c r="P130" s="1349">
        <v>0</v>
      </c>
      <c r="Q130" s="1349">
        <v>0</v>
      </c>
      <c r="R130" s="1349">
        <v>0</v>
      </c>
      <c r="S130" s="1350">
        <f>M130+N130+O130+P130+R130</f>
        <v>15000</v>
      </c>
      <c r="T130" s="1351">
        <v>0</v>
      </c>
      <c r="U130" s="1352">
        <v>0</v>
      </c>
      <c r="V130" s="1353">
        <v>0</v>
      </c>
      <c r="W130" s="1354">
        <f t="shared" si="34"/>
        <v>0</v>
      </c>
      <c r="X130" s="1369"/>
      <c r="Y130" s="1375"/>
      <c r="Z130" s="1370"/>
      <c r="AA130" s="1356"/>
      <c r="AB130" s="1369"/>
      <c r="AC130" s="1370"/>
      <c r="AD130" s="1357"/>
      <c r="AE130" s="1375"/>
      <c r="AF130" s="1370"/>
      <c r="AG130" s="1357"/>
      <c r="AH130" s="1358">
        <f t="shared" si="39"/>
        <v>15000</v>
      </c>
      <c r="AI130" s="1243"/>
    </row>
    <row r="131" spans="1:35" s="1377" customFormat="1" ht="18" hidden="1" customHeight="1" x14ac:dyDescent="0.2">
      <c r="A131" s="1359" t="s">
        <v>242</v>
      </c>
      <c r="B131" s="1414" t="s">
        <v>243</v>
      </c>
      <c r="C131" s="1410">
        <v>0</v>
      </c>
      <c r="D131" s="1363">
        <v>0</v>
      </c>
      <c r="E131" s="1363">
        <v>0</v>
      </c>
      <c r="F131" s="1363">
        <v>0</v>
      </c>
      <c r="G131" s="1411">
        <v>0</v>
      </c>
      <c r="H131" s="1382">
        <v>0</v>
      </c>
      <c r="I131" s="1366">
        <v>0</v>
      </c>
      <c r="J131" s="1366">
        <v>0</v>
      </c>
      <c r="K131" s="1366">
        <v>0</v>
      </c>
      <c r="L131" s="1348">
        <f t="shared" si="43"/>
        <v>0</v>
      </c>
      <c r="M131" s="1372">
        <v>0</v>
      </c>
      <c r="N131" s="1370">
        <v>0</v>
      </c>
      <c r="O131" s="1370">
        <v>0</v>
      </c>
      <c r="P131" s="1370">
        <v>0</v>
      </c>
      <c r="Q131" s="1370">
        <v>0</v>
      </c>
      <c r="R131" s="1370">
        <v>0</v>
      </c>
      <c r="S131" s="1371">
        <f>M131+N131+O131+P131+Q131+R131</f>
        <v>0</v>
      </c>
      <c r="T131" s="1372">
        <v>0</v>
      </c>
      <c r="U131" s="1373">
        <v>0</v>
      </c>
      <c r="V131" s="1369">
        <v>0</v>
      </c>
      <c r="W131" s="1374">
        <f t="shared" si="34"/>
        <v>0</v>
      </c>
      <c r="X131" s="1369"/>
      <c r="Y131" s="1375"/>
      <c r="Z131" s="1370"/>
      <c r="AA131" s="1356"/>
      <c r="AB131" s="1369"/>
      <c r="AC131" s="1370"/>
      <c r="AD131" s="1357"/>
      <c r="AE131" s="1375"/>
      <c r="AF131" s="1370"/>
      <c r="AG131" s="1357"/>
      <c r="AH131" s="1358">
        <f t="shared" si="39"/>
        <v>0</v>
      </c>
      <c r="AI131" s="1243"/>
    </row>
    <row r="132" spans="1:35" s="1377" customFormat="1" ht="18" customHeight="1" x14ac:dyDescent="0.2">
      <c r="A132" s="1359" t="s">
        <v>244</v>
      </c>
      <c r="B132" s="1414" t="s">
        <v>245</v>
      </c>
      <c r="C132" s="1410">
        <v>0</v>
      </c>
      <c r="D132" s="1363">
        <v>0</v>
      </c>
      <c r="E132" s="1363">
        <v>0</v>
      </c>
      <c r="F132" s="1363">
        <v>0</v>
      </c>
      <c r="G132" s="1411">
        <v>0</v>
      </c>
      <c r="H132" s="1382">
        <v>0</v>
      </c>
      <c r="I132" s="1366">
        <v>0</v>
      </c>
      <c r="J132" s="1366">
        <v>0</v>
      </c>
      <c r="K132" s="1366">
        <v>0</v>
      </c>
      <c r="L132" s="1348">
        <f t="shared" si="43"/>
        <v>0</v>
      </c>
      <c r="M132" s="1372">
        <f>'AG3'!D24</f>
        <v>15000</v>
      </c>
      <c r="N132" s="1370">
        <v>0</v>
      </c>
      <c r="O132" s="1370">
        <v>0</v>
      </c>
      <c r="P132" s="1370">
        <v>0</v>
      </c>
      <c r="Q132" s="1370">
        <v>0</v>
      </c>
      <c r="R132" s="1370">
        <v>0</v>
      </c>
      <c r="S132" s="1371">
        <f>M132+N132+O132+P132+Q132+R132</f>
        <v>15000</v>
      </c>
      <c r="T132" s="1372">
        <v>0</v>
      </c>
      <c r="U132" s="1373">
        <v>0</v>
      </c>
      <c r="V132" s="1369">
        <v>0</v>
      </c>
      <c r="W132" s="1374">
        <f t="shared" si="34"/>
        <v>0</v>
      </c>
      <c r="X132" s="1369"/>
      <c r="Y132" s="1375"/>
      <c r="Z132" s="1370"/>
      <c r="AA132" s="1356"/>
      <c r="AB132" s="1369"/>
      <c r="AC132" s="1370"/>
      <c r="AD132" s="1357"/>
      <c r="AE132" s="1375"/>
      <c r="AF132" s="1370"/>
      <c r="AG132" s="1357"/>
      <c r="AH132" s="1376">
        <f t="shared" si="39"/>
        <v>15000</v>
      </c>
      <c r="AI132" s="1243"/>
    </row>
    <row r="133" spans="1:35" s="1377" customFormat="1" ht="18" hidden="1" customHeight="1" x14ac:dyDescent="0.2">
      <c r="A133" s="1359" t="s">
        <v>246</v>
      </c>
      <c r="B133" s="1414" t="s">
        <v>247</v>
      </c>
      <c r="C133" s="1410">
        <v>0</v>
      </c>
      <c r="D133" s="1363">
        <v>0</v>
      </c>
      <c r="E133" s="1363">
        <v>0</v>
      </c>
      <c r="F133" s="1363">
        <v>0</v>
      </c>
      <c r="G133" s="1411">
        <v>0</v>
      </c>
      <c r="H133" s="1382">
        <v>0</v>
      </c>
      <c r="I133" s="1366">
        <v>0</v>
      </c>
      <c r="J133" s="1366">
        <v>0</v>
      </c>
      <c r="K133" s="1366">
        <v>0</v>
      </c>
      <c r="L133" s="1348">
        <f t="shared" si="43"/>
        <v>0</v>
      </c>
      <c r="M133" s="1372">
        <v>0</v>
      </c>
      <c r="N133" s="1370">
        <v>0</v>
      </c>
      <c r="O133" s="1370">
        <v>0</v>
      </c>
      <c r="P133" s="1370">
        <v>0</v>
      </c>
      <c r="Q133" s="1370">
        <v>0</v>
      </c>
      <c r="R133" s="1370">
        <v>0</v>
      </c>
      <c r="S133" s="1371">
        <f>M133+N133+O133+P133+Q133+R133</f>
        <v>0</v>
      </c>
      <c r="T133" s="1372">
        <v>0</v>
      </c>
      <c r="U133" s="1373">
        <v>0</v>
      </c>
      <c r="V133" s="1369">
        <v>0</v>
      </c>
      <c r="W133" s="1374">
        <f t="shared" si="34"/>
        <v>0</v>
      </c>
      <c r="X133" s="1369"/>
      <c r="Y133" s="1375"/>
      <c r="Z133" s="1370"/>
      <c r="AA133" s="1356"/>
      <c r="AB133" s="1369"/>
      <c r="AC133" s="1370"/>
      <c r="AD133" s="1357"/>
      <c r="AE133" s="1375"/>
      <c r="AF133" s="1370"/>
      <c r="AG133" s="1357"/>
      <c r="AH133" s="1358">
        <f t="shared" si="39"/>
        <v>0</v>
      </c>
      <c r="AI133" s="1243"/>
    </row>
    <row r="134" spans="1:35" s="1377" customFormat="1" ht="18" customHeight="1" x14ac:dyDescent="0.2">
      <c r="A134" s="1340">
        <v>615</v>
      </c>
      <c r="B134" s="1413" t="s">
        <v>195</v>
      </c>
      <c r="C134" s="1409">
        <v>0</v>
      </c>
      <c r="D134" s="1343">
        <v>0</v>
      </c>
      <c r="E134" s="1343">
        <v>0</v>
      </c>
      <c r="F134" s="1343">
        <v>0</v>
      </c>
      <c r="G134" s="1412">
        <v>0</v>
      </c>
      <c r="H134" s="1381">
        <v>0</v>
      </c>
      <c r="I134" s="1346">
        <v>0</v>
      </c>
      <c r="J134" s="1346">
        <v>0</v>
      </c>
      <c r="K134" s="1346">
        <v>0</v>
      </c>
      <c r="L134" s="1348">
        <f t="shared" si="43"/>
        <v>0</v>
      </c>
      <c r="M134" s="1351">
        <f>M135+M136+M137+M138</f>
        <v>63520.57</v>
      </c>
      <c r="N134" s="1349">
        <v>0</v>
      </c>
      <c r="O134" s="1349">
        <v>0</v>
      </c>
      <c r="P134" s="1349">
        <v>0</v>
      </c>
      <c r="Q134" s="1349">
        <v>0</v>
      </c>
      <c r="R134" s="1349">
        <v>0</v>
      </c>
      <c r="S134" s="1350">
        <f>M134+N134+O134+P134+R134</f>
        <v>63520.57</v>
      </c>
      <c r="T134" s="1351">
        <v>0</v>
      </c>
      <c r="U134" s="1352">
        <v>0</v>
      </c>
      <c r="V134" s="1353">
        <v>0</v>
      </c>
      <c r="W134" s="1354">
        <f t="shared" si="34"/>
        <v>0</v>
      </c>
      <c r="X134" s="1369"/>
      <c r="Y134" s="1375"/>
      <c r="Z134" s="1370"/>
      <c r="AA134" s="1356"/>
      <c r="AB134" s="1369"/>
      <c r="AC134" s="1370"/>
      <c r="AD134" s="1357"/>
      <c r="AE134" s="1375"/>
      <c r="AF134" s="1370"/>
      <c r="AG134" s="1357"/>
      <c r="AH134" s="1358">
        <f t="shared" si="39"/>
        <v>63520.57</v>
      </c>
      <c r="AI134" s="1243"/>
    </row>
    <row r="135" spans="1:35" s="1377" customFormat="1" ht="18" hidden="1" customHeight="1" x14ac:dyDescent="0.2">
      <c r="A135" s="1378">
        <v>61501</v>
      </c>
      <c r="B135" s="1414" t="s">
        <v>196</v>
      </c>
      <c r="C135" s="1410">
        <v>0</v>
      </c>
      <c r="D135" s="1363">
        <v>0</v>
      </c>
      <c r="E135" s="1363">
        <v>0</v>
      </c>
      <c r="F135" s="1363">
        <v>0</v>
      </c>
      <c r="G135" s="1411">
        <v>0</v>
      </c>
      <c r="H135" s="1382">
        <v>0</v>
      </c>
      <c r="I135" s="1366">
        <v>0</v>
      </c>
      <c r="J135" s="1366">
        <v>0</v>
      </c>
      <c r="K135" s="1366">
        <v>0</v>
      </c>
      <c r="L135" s="1348">
        <f t="shared" si="43"/>
        <v>0</v>
      </c>
      <c r="M135" s="1372">
        <v>0</v>
      </c>
      <c r="N135" s="1370">
        <v>0</v>
      </c>
      <c r="O135" s="1370">
        <v>0</v>
      </c>
      <c r="P135" s="1370">
        <v>0</v>
      </c>
      <c r="Q135" s="1370">
        <v>0</v>
      </c>
      <c r="R135" s="1370">
        <v>0</v>
      </c>
      <c r="S135" s="1371">
        <f>M135+N135+O135+P135+Q135+R135</f>
        <v>0</v>
      </c>
      <c r="T135" s="1372">
        <v>0</v>
      </c>
      <c r="U135" s="1373">
        <v>0</v>
      </c>
      <c r="V135" s="1369">
        <v>0</v>
      </c>
      <c r="W135" s="1354">
        <f t="shared" si="34"/>
        <v>0</v>
      </c>
      <c r="X135" s="1369"/>
      <c r="Y135" s="1375"/>
      <c r="Z135" s="1370"/>
      <c r="AA135" s="1356"/>
      <c r="AB135" s="1369"/>
      <c r="AC135" s="1370"/>
      <c r="AD135" s="1357"/>
      <c r="AE135" s="1375"/>
      <c r="AF135" s="1370"/>
      <c r="AG135" s="1357"/>
      <c r="AH135" s="1358">
        <f t="shared" si="39"/>
        <v>0</v>
      </c>
      <c r="AI135" s="1243"/>
    </row>
    <row r="136" spans="1:35" s="1377" customFormat="1" ht="18" hidden="1" customHeight="1" x14ac:dyDescent="0.2">
      <c r="A136" s="1378">
        <v>61502</v>
      </c>
      <c r="B136" s="1414" t="s">
        <v>197</v>
      </c>
      <c r="C136" s="1410">
        <v>0</v>
      </c>
      <c r="D136" s="1363">
        <v>0</v>
      </c>
      <c r="E136" s="1363">
        <v>0</v>
      </c>
      <c r="F136" s="1363">
        <v>0</v>
      </c>
      <c r="G136" s="1411">
        <v>0</v>
      </c>
      <c r="H136" s="1382">
        <v>0</v>
      </c>
      <c r="I136" s="1366">
        <v>0</v>
      </c>
      <c r="J136" s="1366">
        <v>0</v>
      </c>
      <c r="K136" s="1366">
        <v>0</v>
      </c>
      <c r="L136" s="1348">
        <f t="shared" si="43"/>
        <v>0</v>
      </c>
      <c r="M136" s="1372">
        <v>0</v>
      </c>
      <c r="N136" s="1370">
        <v>0</v>
      </c>
      <c r="O136" s="1370">
        <v>0</v>
      </c>
      <c r="P136" s="1370">
        <v>0</v>
      </c>
      <c r="Q136" s="1370">
        <v>0</v>
      </c>
      <c r="R136" s="1370">
        <v>0</v>
      </c>
      <c r="S136" s="1371">
        <f>M136+N136+O136+P136+Q136+R136</f>
        <v>0</v>
      </c>
      <c r="T136" s="1372">
        <v>0</v>
      </c>
      <c r="U136" s="1373">
        <v>0</v>
      </c>
      <c r="V136" s="1369">
        <v>0</v>
      </c>
      <c r="W136" s="1354">
        <f t="shared" si="34"/>
        <v>0</v>
      </c>
      <c r="X136" s="1369"/>
      <c r="Y136" s="1375"/>
      <c r="Z136" s="1370"/>
      <c r="AA136" s="1356"/>
      <c r="AB136" s="1369"/>
      <c r="AC136" s="1370"/>
      <c r="AD136" s="1357"/>
      <c r="AE136" s="1375"/>
      <c r="AF136" s="1370"/>
      <c r="AG136" s="1357"/>
      <c r="AH136" s="1358">
        <f t="shared" si="39"/>
        <v>0</v>
      </c>
      <c r="AI136" s="1243"/>
    </row>
    <row r="137" spans="1:35" s="1377" customFormat="1" ht="18" hidden="1" customHeight="1" x14ac:dyDescent="0.2">
      <c r="A137" s="1378">
        <v>61503</v>
      </c>
      <c r="B137" s="1414" t="s">
        <v>198</v>
      </c>
      <c r="C137" s="1410">
        <v>0</v>
      </c>
      <c r="D137" s="1363">
        <v>0</v>
      </c>
      <c r="E137" s="1363">
        <v>0</v>
      </c>
      <c r="F137" s="1363">
        <v>0</v>
      </c>
      <c r="G137" s="1411">
        <v>0</v>
      </c>
      <c r="H137" s="1382">
        <v>0</v>
      </c>
      <c r="I137" s="1366">
        <v>0</v>
      </c>
      <c r="J137" s="1366">
        <v>0</v>
      </c>
      <c r="K137" s="1366">
        <v>0</v>
      </c>
      <c r="L137" s="1348">
        <f t="shared" si="43"/>
        <v>0</v>
      </c>
      <c r="M137" s="1372">
        <v>0</v>
      </c>
      <c r="N137" s="1370">
        <v>0</v>
      </c>
      <c r="O137" s="1370">
        <v>0</v>
      </c>
      <c r="P137" s="1370">
        <v>0</v>
      </c>
      <c r="Q137" s="1370">
        <v>0</v>
      </c>
      <c r="R137" s="1370">
        <v>0</v>
      </c>
      <c r="S137" s="1371">
        <f>M137+N137+O137+P137+Q137+R137</f>
        <v>0</v>
      </c>
      <c r="T137" s="1372">
        <v>0</v>
      </c>
      <c r="U137" s="1373">
        <v>0</v>
      </c>
      <c r="V137" s="1369">
        <v>0</v>
      </c>
      <c r="W137" s="1354">
        <f t="shared" si="34"/>
        <v>0</v>
      </c>
      <c r="X137" s="1369"/>
      <c r="Y137" s="1375"/>
      <c r="Z137" s="1370"/>
      <c r="AA137" s="1356"/>
      <c r="AB137" s="1369"/>
      <c r="AC137" s="1370"/>
      <c r="AD137" s="1357"/>
      <c r="AE137" s="1375"/>
      <c r="AF137" s="1370"/>
      <c r="AG137" s="1357"/>
      <c r="AH137" s="1358">
        <f t="shared" ref="AH137:AH150" si="45">+L137+S137+G137+AA137+AD137+AG137+T137+W137+X137</f>
        <v>0</v>
      </c>
      <c r="AI137" s="1243"/>
    </row>
    <row r="138" spans="1:35" s="1377" customFormat="1" ht="18" customHeight="1" x14ac:dyDescent="0.2">
      <c r="A138" s="1378">
        <v>61599</v>
      </c>
      <c r="B138" s="1414" t="s">
        <v>199</v>
      </c>
      <c r="C138" s="1410">
        <v>0</v>
      </c>
      <c r="D138" s="1363">
        <v>0</v>
      </c>
      <c r="E138" s="1363">
        <v>0</v>
      </c>
      <c r="F138" s="1363">
        <v>0</v>
      </c>
      <c r="G138" s="1411">
        <v>0</v>
      </c>
      <c r="H138" s="1382">
        <v>0</v>
      </c>
      <c r="I138" s="1366">
        <v>0</v>
      </c>
      <c r="J138" s="1366">
        <v>0</v>
      </c>
      <c r="K138" s="1366">
        <v>0</v>
      </c>
      <c r="L138" s="1348">
        <f t="shared" si="43"/>
        <v>0</v>
      </c>
      <c r="M138" s="1372">
        <f>'AG3'!D29+'AG3'!D32</f>
        <v>63520.57</v>
      </c>
      <c r="N138" s="1370">
        <v>0</v>
      </c>
      <c r="O138" s="1370">
        <v>0</v>
      </c>
      <c r="P138" s="1370">
        <v>0</v>
      </c>
      <c r="Q138" s="1370">
        <v>0</v>
      </c>
      <c r="R138" s="1370">
        <v>0</v>
      </c>
      <c r="S138" s="1371">
        <f>M138+N138+O138+P138+Q138+R138</f>
        <v>63520.57</v>
      </c>
      <c r="T138" s="1372">
        <v>0</v>
      </c>
      <c r="U138" s="1373">
        <v>0</v>
      </c>
      <c r="V138" s="1369">
        <v>0</v>
      </c>
      <c r="W138" s="1374">
        <f t="shared" si="34"/>
        <v>0</v>
      </c>
      <c r="X138" s="1369"/>
      <c r="Y138" s="1375"/>
      <c r="Z138" s="1370"/>
      <c r="AA138" s="1356"/>
      <c r="AB138" s="1369"/>
      <c r="AC138" s="1370"/>
      <c r="AD138" s="1357"/>
      <c r="AE138" s="1375"/>
      <c r="AF138" s="1370"/>
      <c r="AG138" s="1357"/>
      <c r="AH138" s="1376">
        <f t="shared" si="45"/>
        <v>63520.57</v>
      </c>
      <c r="AI138" s="1243"/>
    </row>
    <row r="139" spans="1:35" s="1377" customFormat="1" ht="18" customHeight="1" x14ac:dyDescent="0.2">
      <c r="A139" s="1340">
        <v>616</v>
      </c>
      <c r="B139" s="1413" t="s">
        <v>200</v>
      </c>
      <c r="C139" s="1409">
        <v>0</v>
      </c>
      <c r="D139" s="1343">
        <v>0</v>
      </c>
      <c r="E139" s="1343">
        <v>0</v>
      </c>
      <c r="F139" s="1363">
        <f>F141</f>
        <v>0</v>
      </c>
      <c r="G139" s="1412">
        <f>G141</f>
        <v>0</v>
      </c>
      <c r="H139" s="1381">
        <v>0</v>
      </c>
      <c r="I139" s="1346">
        <v>0</v>
      </c>
      <c r="J139" s="1346">
        <v>0</v>
      </c>
      <c r="K139" s="1346">
        <v>0</v>
      </c>
      <c r="L139" s="1348">
        <f>K139</f>
        <v>0</v>
      </c>
      <c r="M139" s="1351">
        <f>M140+M141+M142+M143+M144+M145+M146+M147</f>
        <v>0</v>
      </c>
      <c r="N139" s="1349">
        <f>SUM(N140:N147)</f>
        <v>503471.04</v>
      </c>
      <c r="O139" s="1349">
        <f>SUM(O140:O147)</f>
        <v>368777.38</v>
      </c>
      <c r="P139" s="1370">
        <v>0</v>
      </c>
      <c r="Q139" s="1370">
        <v>0</v>
      </c>
      <c r="R139" s="1370">
        <v>0</v>
      </c>
      <c r="S139" s="1350">
        <f>M139+N139+O139+P139+R139</f>
        <v>872248.41999999993</v>
      </c>
      <c r="T139" s="1351">
        <f>T140+T141+T142+T143+T144+T145+T146+T147</f>
        <v>20848.46</v>
      </c>
      <c r="U139" s="1352">
        <f>U140+U141+U142+U143+U144+U145+U146+U147</f>
        <v>360000</v>
      </c>
      <c r="V139" s="1353">
        <f>V140+V141+V142+V143+V144+V145+V146+V147</f>
        <v>411191.65</v>
      </c>
      <c r="W139" s="1354">
        <f t="shared" si="34"/>
        <v>771191.65</v>
      </c>
      <c r="X139" s="1353">
        <f>X140+X141+X142+X143+X144+X145+X146+X147</f>
        <v>0</v>
      </c>
      <c r="Y139" s="1375"/>
      <c r="Z139" s="1370"/>
      <c r="AA139" s="1356"/>
      <c r="AB139" s="1369"/>
      <c r="AC139" s="1370"/>
      <c r="AD139" s="1357"/>
      <c r="AE139" s="1375"/>
      <c r="AF139" s="1370"/>
      <c r="AG139" s="1357"/>
      <c r="AH139" s="1358">
        <f t="shared" si="45"/>
        <v>1664288.5299999998</v>
      </c>
      <c r="AI139" s="1243"/>
    </row>
    <row r="140" spans="1:35" s="1377" customFormat="1" ht="18" customHeight="1" x14ac:dyDescent="0.2">
      <c r="A140" s="1378">
        <v>61601</v>
      </c>
      <c r="B140" s="1414" t="s">
        <v>201</v>
      </c>
      <c r="C140" s="1410">
        <v>0</v>
      </c>
      <c r="D140" s="1363">
        <v>0</v>
      </c>
      <c r="E140" s="1363">
        <v>0</v>
      </c>
      <c r="F140" s="1363">
        <v>0</v>
      </c>
      <c r="G140" s="1411">
        <v>0</v>
      </c>
      <c r="H140" s="1382">
        <v>0</v>
      </c>
      <c r="I140" s="1366">
        <v>0</v>
      </c>
      <c r="J140" s="1366">
        <v>0</v>
      </c>
      <c r="K140" s="1366">
        <v>0</v>
      </c>
      <c r="L140" s="1348">
        <f t="shared" si="43"/>
        <v>0</v>
      </c>
      <c r="M140" s="1372">
        <v>0</v>
      </c>
      <c r="N140" s="1370">
        <v>0</v>
      </c>
      <c r="O140" s="1370">
        <f>'AG4'!D15+'AG4'!D18+'AG4'!D21+'AG4'!D24+'AG4'!D27+'AG4'!D30+'AG4'!D33+'AG4'!D36+'AG4'!D39+'AG4'!D42+'AG4'!D45+'AG4'!D48+'AG4'!D51+'AG4'!D54</f>
        <v>328777.38</v>
      </c>
      <c r="P140" s="1370">
        <v>0</v>
      </c>
      <c r="Q140" s="1370">
        <v>0</v>
      </c>
      <c r="R140" s="1370">
        <v>0</v>
      </c>
      <c r="S140" s="1371">
        <f t="shared" ref="S140:S147" si="46">M140+N140+O140+P140+Q140+R140</f>
        <v>328777.38</v>
      </c>
      <c r="T140" s="1372">
        <f>'AG4'!F60</f>
        <v>20834.77</v>
      </c>
      <c r="U140" s="1373">
        <v>0</v>
      </c>
      <c r="V140" s="1369">
        <f>'AG4'!G63+'AG4'!G66</f>
        <v>286806.43</v>
      </c>
      <c r="W140" s="1374">
        <f t="shared" si="34"/>
        <v>286806.43</v>
      </c>
      <c r="X140" s="1369"/>
      <c r="Y140" s="1375"/>
      <c r="Z140" s="1370"/>
      <c r="AA140" s="1356"/>
      <c r="AB140" s="1369"/>
      <c r="AC140" s="1370"/>
      <c r="AD140" s="1357"/>
      <c r="AE140" s="1375"/>
      <c r="AF140" s="1370"/>
      <c r="AG140" s="1357"/>
      <c r="AH140" s="1376">
        <f t="shared" si="45"/>
        <v>636418.58000000007</v>
      </c>
      <c r="AI140" s="1243"/>
    </row>
    <row r="141" spans="1:35" s="1377" customFormat="1" ht="18" customHeight="1" x14ac:dyDescent="0.2">
      <c r="A141" s="1378">
        <v>61602</v>
      </c>
      <c r="B141" s="1414" t="s">
        <v>202</v>
      </c>
      <c r="C141" s="1383">
        <v>0</v>
      </c>
      <c r="D141" s="1363">
        <v>0</v>
      </c>
      <c r="E141" s="1363">
        <v>0</v>
      </c>
      <c r="F141" s="1363">
        <v>0</v>
      </c>
      <c r="G141" s="1411">
        <v>0</v>
      </c>
      <c r="H141" s="1382">
        <v>0</v>
      </c>
      <c r="I141" s="1366">
        <v>0</v>
      </c>
      <c r="J141" s="1366">
        <v>0</v>
      </c>
      <c r="K141" s="1366">
        <v>0</v>
      </c>
      <c r="L141" s="1348">
        <f>K141</f>
        <v>0</v>
      </c>
      <c r="M141" s="1372">
        <v>0</v>
      </c>
      <c r="N141" s="1370">
        <f>'AG3'!D37+'AG3'!D40+'AG3'!D43+'AG3'!D46+'AG3'!D49+'AG3'!D52+'AG3'!D58</f>
        <v>133515.01</v>
      </c>
      <c r="O141" s="1370">
        <v>0</v>
      </c>
      <c r="P141" s="1370">
        <v>0</v>
      </c>
      <c r="Q141" s="1370">
        <v>0</v>
      </c>
      <c r="R141" s="1370">
        <v>0</v>
      </c>
      <c r="S141" s="1371">
        <f t="shared" si="46"/>
        <v>133515.01</v>
      </c>
      <c r="T141" s="1372">
        <v>0</v>
      </c>
      <c r="U141" s="1373">
        <f>'AG3'!I55</f>
        <v>155000</v>
      </c>
      <c r="V141" s="1369">
        <v>0</v>
      </c>
      <c r="W141" s="1374">
        <f t="shared" si="34"/>
        <v>155000</v>
      </c>
      <c r="X141" s="1369"/>
      <c r="Y141" s="1375"/>
      <c r="Z141" s="1370"/>
      <c r="AA141" s="1356"/>
      <c r="AB141" s="1369"/>
      <c r="AC141" s="1370"/>
      <c r="AD141" s="1357"/>
      <c r="AE141" s="1375"/>
      <c r="AF141" s="1370"/>
      <c r="AG141" s="1357"/>
      <c r="AH141" s="1376">
        <f t="shared" si="45"/>
        <v>288515.01</v>
      </c>
      <c r="AI141" s="1243"/>
    </row>
    <row r="142" spans="1:35" s="1377" customFormat="1" ht="18" customHeight="1" x14ac:dyDescent="0.2">
      <c r="A142" s="1378">
        <v>61603</v>
      </c>
      <c r="B142" s="1414" t="s">
        <v>203</v>
      </c>
      <c r="C142" s="1410">
        <v>0</v>
      </c>
      <c r="D142" s="1363">
        <v>0</v>
      </c>
      <c r="E142" s="1363">
        <v>0</v>
      </c>
      <c r="F142" s="1363">
        <v>0</v>
      </c>
      <c r="G142" s="1411">
        <v>0</v>
      </c>
      <c r="H142" s="1382">
        <v>0</v>
      </c>
      <c r="I142" s="1366">
        <v>0</v>
      </c>
      <c r="J142" s="1366">
        <v>0</v>
      </c>
      <c r="K142" s="1366">
        <v>0</v>
      </c>
      <c r="L142" s="1348">
        <f t="shared" si="43"/>
        <v>0</v>
      </c>
      <c r="M142" s="1372">
        <v>0</v>
      </c>
      <c r="N142" s="1370">
        <f>'AG3'!D61+'AG3'!D64+'AG3'!D67+'AG3'!D70+'AG3'!D73+'AG3'!D76+'AG3'!D79</f>
        <v>230000</v>
      </c>
      <c r="O142" s="1370">
        <v>0</v>
      </c>
      <c r="P142" s="1370">
        <v>0</v>
      </c>
      <c r="Q142" s="1370">
        <v>0</v>
      </c>
      <c r="R142" s="1370">
        <v>0</v>
      </c>
      <c r="S142" s="1371">
        <f t="shared" si="46"/>
        <v>230000</v>
      </c>
      <c r="T142" s="1372">
        <v>0</v>
      </c>
      <c r="U142" s="1373">
        <f>'AG3'!I82</f>
        <v>150000</v>
      </c>
      <c r="V142" s="1369">
        <v>0</v>
      </c>
      <c r="W142" s="1374">
        <f t="shared" ref="W142:W151" si="47">+U142+V142</f>
        <v>150000</v>
      </c>
      <c r="X142" s="1369"/>
      <c r="Y142" s="1375"/>
      <c r="Z142" s="1370"/>
      <c r="AA142" s="1356"/>
      <c r="AB142" s="1369"/>
      <c r="AC142" s="1370"/>
      <c r="AD142" s="1357"/>
      <c r="AE142" s="1375"/>
      <c r="AF142" s="1370"/>
      <c r="AG142" s="1357"/>
      <c r="AH142" s="1376">
        <f t="shared" si="45"/>
        <v>380000</v>
      </c>
      <c r="AI142" s="1243"/>
    </row>
    <row r="143" spans="1:35" s="1377" customFormat="1" ht="18" customHeight="1" x14ac:dyDescent="0.2">
      <c r="A143" s="1378">
        <v>61604</v>
      </c>
      <c r="B143" s="1414" t="s">
        <v>204</v>
      </c>
      <c r="C143" s="1410">
        <v>0</v>
      </c>
      <c r="D143" s="1363">
        <v>0</v>
      </c>
      <c r="E143" s="1363">
        <v>0</v>
      </c>
      <c r="F143" s="1363">
        <v>0</v>
      </c>
      <c r="G143" s="1411">
        <v>0</v>
      </c>
      <c r="H143" s="1382">
        <v>0</v>
      </c>
      <c r="I143" s="1366">
        <v>0</v>
      </c>
      <c r="J143" s="1366">
        <v>0</v>
      </c>
      <c r="K143" s="1366">
        <v>0</v>
      </c>
      <c r="L143" s="1348">
        <f t="shared" si="43"/>
        <v>0</v>
      </c>
      <c r="M143" s="1369">
        <v>0</v>
      </c>
      <c r="N143" s="1370">
        <f>'AG3'!D85+'AG3'!D88</f>
        <v>37586.75</v>
      </c>
      <c r="O143" s="1370">
        <v>0</v>
      </c>
      <c r="P143" s="1370">
        <v>0</v>
      </c>
      <c r="Q143" s="1370">
        <v>0</v>
      </c>
      <c r="R143" s="1370">
        <v>0</v>
      </c>
      <c r="S143" s="1371">
        <f t="shared" si="46"/>
        <v>37586.75</v>
      </c>
      <c r="T143" s="1372">
        <v>0</v>
      </c>
      <c r="U143" s="1373">
        <v>0</v>
      </c>
      <c r="V143" s="1369">
        <v>0</v>
      </c>
      <c r="W143" s="1374">
        <f t="shared" si="47"/>
        <v>0</v>
      </c>
      <c r="X143" s="1369"/>
      <c r="Y143" s="1375"/>
      <c r="Z143" s="1370"/>
      <c r="AA143" s="1356"/>
      <c r="AB143" s="1369"/>
      <c r="AC143" s="1370"/>
      <c r="AD143" s="1357"/>
      <c r="AE143" s="1375"/>
      <c r="AF143" s="1370"/>
      <c r="AG143" s="1357"/>
      <c r="AH143" s="1376">
        <f t="shared" si="45"/>
        <v>37586.75</v>
      </c>
      <c r="AI143" s="1243"/>
    </row>
    <row r="144" spans="1:35" s="1377" customFormat="1" ht="18" customHeight="1" x14ac:dyDescent="0.2">
      <c r="A144" s="1378">
        <v>61606</v>
      </c>
      <c r="B144" s="1414" t="s">
        <v>205</v>
      </c>
      <c r="C144" s="1410">
        <v>0</v>
      </c>
      <c r="D144" s="1363">
        <v>0</v>
      </c>
      <c r="E144" s="1363">
        <v>0</v>
      </c>
      <c r="F144" s="1363">
        <v>0</v>
      </c>
      <c r="G144" s="1411">
        <v>0</v>
      </c>
      <c r="H144" s="1382">
        <v>0</v>
      </c>
      <c r="I144" s="1366">
        <v>0</v>
      </c>
      <c r="J144" s="1366">
        <v>0</v>
      </c>
      <c r="K144" s="1366">
        <v>0</v>
      </c>
      <c r="L144" s="1348">
        <f t="shared" si="43"/>
        <v>0</v>
      </c>
      <c r="M144" s="1369">
        <v>0</v>
      </c>
      <c r="N144" s="1370">
        <f>'AG3'!D91+'AG3'!D94+'AG3'!D97</f>
        <v>46366.8</v>
      </c>
      <c r="O144" s="1370">
        <v>0</v>
      </c>
      <c r="P144" s="1370">
        <v>0</v>
      </c>
      <c r="Q144" s="1370">
        <v>0</v>
      </c>
      <c r="R144" s="1370">
        <v>0</v>
      </c>
      <c r="S144" s="1371">
        <f t="shared" si="46"/>
        <v>46366.8</v>
      </c>
      <c r="T144" s="1372">
        <v>0</v>
      </c>
      <c r="U144" s="1373">
        <v>0</v>
      </c>
      <c r="V144" s="1369">
        <v>0</v>
      </c>
      <c r="W144" s="1374">
        <f t="shared" si="47"/>
        <v>0</v>
      </c>
      <c r="X144" s="1369"/>
      <c r="Y144" s="1375"/>
      <c r="Z144" s="1370"/>
      <c r="AA144" s="1356"/>
      <c r="AB144" s="1369"/>
      <c r="AC144" s="1370"/>
      <c r="AD144" s="1357"/>
      <c r="AE144" s="1375"/>
      <c r="AF144" s="1370"/>
      <c r="AG144" s="1357"/>
      <c r="AH144" s="1376">
        <f t="shared" si="45"/>
        <v>46366.8</v>
      </c>
      <c r="AI144" s="1243"/>
    </row>
    <row r="145" spans="1:35" s="1377" customFormat="1" ht="18" hidden="1" customHeight="1" x14ac:dyDescent="0.2">
      <c r="A145" s="1378">
        <v>61607</v>
      </c>
      <c r="B145" s="1390" t="s">
        <v>206</v>
      </c>
      <c r="C145" s="1410">
        <v>0</v>
      </c>
      <c r="D145" s="1363">
        <v>0</v>
      </c>
      <c r="E145" s="1363">
        <v>0</v>
      </c>
      <c r="F145" s="1363">
        <v>0</v>
      </c>
      <c r="G145" s="1411">
        <v>0</v>
      </c>
      <c r="H145" s="1382">
        <v>0</v>
      </c>
      <c r="I145" s="1366">
        <v>0</v>
      </c>
      <c r="J145" s="1366">
        <v>0</v>
      </c>
      <c r="K145" s="1366">
        <v>0</v>
      </c>
      <c r="L145" s="1348">
        <f t="shared" si="43"/>
        <v>0</v>
      </c>
      <c r="M145" s="1369">
        <v>0</v>
      </c>
      <c r="N145" s="1370">
        <v>0</v>
      </c>
      <c r="O145" s="1370">
        <v>0</v>
      </c>
      <c r="P145" s="1370">
        <v>0</v>
      </c>
      <c r="Q145" s="1370">
        <v>0</v>
      </c>
      <c r="R145" s="1370">
        <v>0</v>
      </c>
      <c r="S145" s="1371">
        <f t="shared" si="46"/>
        <v>0</v>
      </c>
      <c r="T145" s="1372">
        <v>0</v>
      </c>
      <c r="U145" s="1373">
        <v>0</v>
      </c>
      <c r="V145" s="1369">
        <v>0</v>
      </c>
      <c r="W145" s="1374">
        <f t="shared" si="47"/>
        <v>0</v>
      </c>
      <c r="X145" s="1369"/>
      <c r="Y145" s="1375"/>
      <c r="Z145" s="1370"/>
      <c r="AA145" s="1356"/>
      <c r="AB145" s="1369"/>
      <c r="AC145" s="1370"/>
      <c r="AD145" s="1357"/>
      <c r="AE145" s="1375"/>
      <c r="AF145" s="1370"/>
      <c r="AG145" s="1357"/>
      <c r="AH145" s="1376">
        <f t="shared" si="45"/>
        <v>0</v>
      </c>
      <c r="AI145" s="1243"/>
    </row>
    <row r="146" spans="1:35" s="1377" customFormat="1" ht="18" hidden="1" customHeight="1" x14ac:dyDescent="0.2">
      <c r="A146" s="1378">
        <v>61608</v>
      </c>
      <c r="B146" s="1390" t="s">
        <v>207</v>
      </c>
      <c r="C146" s="1410">
        <v>0</v>
      </c>
      <c r="D146" s="1363">
        <v>0</v>
      </c>
      <c r="E146" s="1363">
        <v>0</v>
      </c>
      <c r="F146" s="1363">
        <v>0</v>
      </c>
      <c r="G146" s="1411">
        <v>0</v>
      </c>
      <c r="H146" s="1382">
        <v>0</v>
      </c>
      <c r="I146" s="1366">
        <v>0</v>
      </c>
      <c r="J146" s="1366">
        <v>0</v>
      </c>
      <c r="K146" s="1366">
        <v>0</v>
      </c>
      <c r="L146" s="1348">
        <f t="shared" si="43"/>
        <v>0</v>
      </c>
      <c r="M146" s="1369">
        <v>0</v>
      </c>
      <c r="N146" s="1370">
        <v>0</v>
      </c>
      <c r="O146" s="1370">
        <v>0</v>
      </c>
      <c r="P146" s="1370">
        <v>0</v>
      </c>
      <c r="Q146" s="1370">
        <v>0</v>
      </c>
      <c r="R146" s="1370">
        <v>0</v>
      </c>
      <c r="S146" s="1371">
        <f t="shared" si="46"/>
        <v>0</v>
      </c>
      <c r="T146" s="1372">
        <v>0</v>
      </c>
      <c r="U146" s="1373">
        <v>0</v>
      </c>
      <c r="V146" s="1369">
        <v>0</v>
      </c>
      <c r="W146" s="1374">
        <f t="shared" si="47"/>
        <v>0</v>
      </c>
      <c r="X146" s="1369"/>
      <c r="Y146" s="1375"/>
      <c r="Z146" s="1370"/>
      <c r="AA146" s="1356"/>
      <c r="AB146" s="1369"/>
      <c r="AC146" s="1370"/>
      <c r="AD146" s="1357"/>
      <c r="AE146" s="1375"/>
      <c r="AF146" s="1370"/>
      <c r="AG146" s="1357"/>
      <c r="AH146" s="1376">
        <f t="shared" si="45"/>
        <v>0</v>
      </c>
      <c r="AI146" s="1243"/>
    </row>
    <row r="147" spans="1:35" s="1377" customFormat="1" ht="18" customHeight="1" x14ac:dyDescent="0.2">
      <c r="A147" s="1378">
        <v>61699</v>
      </c>
      <c r="B147" s="1390" t="s">
        <v>208</v>
      </c>
      <c r="C147" s="1410">
        <v>0</v>
      </c>
      <c r="D147" s="1363">
        <v>0</v>
      </c>
      <c r="E147" s="1363">
        <v>0</v>
      </c>
      <c r="F147" s="1363">
        <v>0</v>
      </c>
      <c r="G147" s="1411">
        <v>0</v>
      </c>
      <c r="H147" s="1382">
        <v>0</v>
      </c>
      <c r="I147" s="1366">
        <v>0</v>
      </c>
      <c r="J147" s="1366">
        <v>0</v>
      </c>
      <c r="K147" s="1366">
        <v>0</v>
      </c>
      <c r="L147" s="1348">
        <f t="shared" si="43"/>
        <v>0</v>
      </c>
      <c r="M147" s="1369">
        <v>0</v>
      </c>
      <c r="N147" s="1370">
        <f>'AG3'!D100+'AG3'!D103+'AG3'!D106</f>
        <v>56002.48</v>
      </c>
      <c r="O147" s="1370">
        <f>'AG4'!D58</f>
        <v>40000</v>
      </c>
      <c r="P147" s="1370">
        <v>0</v>
      </c>
      <c r="Q147" s="1370">
        <v>0</v>
      </c>
      <c r="R147" s="1370">
        <v>0</v>
      </c>
      <c r="S147" s="1371">
        <f t="shared" si="46"/>
        <v>96002.48000000001</v>
      </c>
      <c r="T147" s="1372">
        <f>'AG4'!F72</f>
        <v>13.69</v>
      </c>
      <c r="U147" s="1373">
        <f>'AG3'!I109</f>
        <v>55000</v>
      </c>
      <c r="V147" s="1369">
        <f>'AG4'!G69+'AG4'!G72</f>
        <v>124385.22</v>
      </c>
      <c r="W147" s="1374">
        <f t="shared" si="47"/>
        <v>179385.22</v>
      </c>
      <c r="X147" s="1369"/>
      <c r="Y147" s="1375"/>
      <c r="Z147" s="1370"/>
      <c r="AA147" s="1356"/>
      <c r="AB147" s="1369"/>
      <c r="AC147" s="1370"/>
      <c r="AD147" s="1357"/>
      <c r="AE147" s="1375"/>
      <c r="AF147" s="1370"/>
      <c r="AG147" s="1357"/>
      <c r="AH147" s="1376">
        <f t="shared" si="45"/>
        <v>275401.39</v>
      </c>
      <c r="AI147" s="1243"/>
    </row>
    <row r="148" spans="1:35" s="1377" customFormat="1" ht="18" customHeight="1" x14ac:dyDescent="0.2">
      <c r="A148" s="1340">
        <v>71</v>
      </c>
      <c r="B148" s="1391" t="s">
        <v>216</v>
      </c>
      <c r="C148" s="1409">
        <v>0</v>
      </c>
      <c r="D148" s="1343">
        <v>0</v>
      </c>
      <c r="E148" s="1343">
        <v>0</v>
      </c>
      <c r="F148" s="1343">
        <v>0</v>
      </c>
      <c r="G148" s="1412">
        <v>0</v>
      </c>
      <c r="H148" s="1381">
        <v>0</v>
      </c>
      <c r="I148" s="1346">
        <v>0</v>
      </c>
      <c r="J148" s="1346">
        <v>0</v>
      </c>
      <c r="K148" s="1346">
        <v>0</v>
      </c>
      <c r="L148" s="1348">
        <f t="shared" si="43"/>
        <v>0</v>
      </c>
      <c r="M148" s="1353">
        <f>M149</f>
        <v>0</v>
      </c>
      <c r="N148" s="1349">
        <v>0</v>
      </c>
      <c r="O148" s="1349">
        <v>0</v>
      </c>
      <c r="P148" s="1349">
        <f>P149</f>
        <v>269033.29000000004</v>
      </c>
      <c r="Q148" s="1349">
        <f>Q149</f>
        <v>0</v>
      </c>
      <c r="R148" s="1349">
        <f>R149</f>
        <v>0</v>
      </c>
      <c r="S148" s="1350">
        <f>M148+N148+O148+P148+R148</f>
        <v>269033.29000000004</v>
      </c>
      <c r="T148" s="1351">
        <v>0</v>
      </c>
      <c r="U148" s="1352">
        <v>0</v>
      </c>
      <c r="V148" s="1353">
        <v>0</v>
      </c>
      <c r="W148" s="1354">
        <f t="shared" si="47"/>
        <v>0</v>
      </c>
      <c r="X148" s="1353"/>
      <c r="Y148" s="1355"/>
      <c r="Z148" s="1349"/>
      <c r="AA148" s="1405"/>
      <c r="AB148" s="1353"/>
      <c r="AC148" s="1349"/>
      <c r="AD148" s="1406"/>
      <c r="AE148" s="1355"/>
      <c r="AF148" s="1349"/>
      <c r="AG148" s="1406"/>
      <c r="AH148" s="1358">
        <f t="shared" si="45"/>
        <v>269033.29000000004</v>
      </c>
      <c r="AI148" s="1243"/>
    </row>
    <row r="149" spans="1:35" s="1377" customFormat="1" ht="18" customHeight="1" x14ac:dyDescent="0.2">
      <c r="A149" s="1340">
        <v>713</v>
      </c>
      <c r="B149" s="1391" t="s">
        <v>217</v>
      </c>
      <c r="C149" s="1409">
        <v>0</v>
      </c>
      <c r="D149" s="1343">
        <v>0</v>
      </c>
      <c r="E149" s="1343">
        <v>0</v>
      </c>
      <c r="F149" s="1343">
        <v>0</v>
      </c>
      <c r="G149" s="1412">
        <v>0</v>
      </c>
      <c r="H149" s="1381">
        <v>0</v>
      </c>
      <c r="I149" s="1346">
        <v>0</v>
      </c>
      <c r="J149" s="1346">
        <v>0</v>
      </c>
      <c r="K149" s="1346">
        <v>0</v>
      </c>
      <c r="L149" s="1348">
        <f t="shared" si="43"/>
        <v>0</v>
      </c>
      <c r="M149" s="1353">
        <v>0</v>
      </c>
      <c r="N149" s="1349">
        <v>0</v>
      </c>
      <c r="O149" s="1349">
        <v>0</v>
      </c>
      <c r="P149" s="1349">
        <f>SUM(P150:P152)</f>
        <v>269033.29000000004</v>
      </c>
      <c r="Q149" s="1349">
        <f>SUM(Q150:Q152)</f>
        <v>0</v>
      </c>
      <c r="R149" s="1349">
        <f>SUM(R150:R152)</f>
        <v>0</v>
      </c>
      <c r="S149" s="1350">
        <f>M149+N149+O149+P149+R149</f>
        <v>269033.29000000004</v>
      </c>
      <c r="T149" s="1372">
        <v>0</v>
      </c>
      <c r="U149" s="1373">
        <v>0</v>
      </c>
      <c r="V149" s="1369">
        <v>0</v>
      </c>
      <c r="W149" s="1354">
        <f t="shared" si="47"/>
        <v>0</v>
      </c>
      <c r="X149" s="1369"/>
      <c r="Y149" s="1375"/>
      <c r="Z149" s="1370"/>
      <c r="AA149" s="1356"/>
      <c r="AB149" s="1369"/>
      <c r="AC149" s="1370"/>
      <c r="AD149" s="1357"/>
      <c r="AE149" s="1375"/>
      <c r="AF149" s="1370"/>
      <c r="AG149" s="1357"/>
      <c r="AH149" s="1358">
        <f t="shared" si="45"/>
        <v>269033.29000000004</v>
      </c>
      <c r="AI149" s="1243"/>
    </row>
    <row r="150" spans="1:35" s="1377" customFormat="1" ht="18" hidden="1" customHeight="1" x14ac:dyDescent="0.2">
      <c r="A150" s="1378">
        <v>71303</v>
      </c>
      <c r="B150" s="1390" t="s">
        <v>85</v>
      </c>
      <c r="C150" s="1410"/>
      <c r="D150" s="1363"/>
      <c r="E150" s="1363"/>
      <c r="F150" s="1363"/>
      <c r="G150" s="1411"/>
      <c r="H150" s="1382">
        <v>0</v>
      </c>
      <c r="I150" s="1366">
        <v>0</v>
      </c>
      <c r="J150" s="1366">
        <v>0</v>
      </c>
      <c r="K150" s="1366">
        <v>0</v>
      </c>
      <c r="L150" s="1348">
        <f t="shared" si="43"/>
        <v>0</v>
      </c>
      <c r="M150" s="1369">
        <v>0</v>
      </c>
      <c r="N150" s="1370">
        <v>0</v>
      </c>
      <c r="O150" s="1370">
        <v>0</v>
      </c>
      <c r="P150" s="1370">
        <v>0</v>
      </c>
      <c r="Q150" s="1370">
        <v>0</v>
      </c>
      <c r="R150" s="1370">
        <v>0</v>
      </c>
      <c r="S150" s="1350">
        <f>M150+N150+O150+P150+R150</f>
        <v>0</v>
      </c>
      <c r="T150" s="1372">
        <v>0</v>
      </c>
      <c r="U150" s="1373">
        <v>0</v>
      </c>
      <c r="V150" s="1369">
        <v>0</v>
      </c>
      <c r="W150" s="1354">
        <f t="shared" si="47"/>
        <v>0</v>
      </c>
      <c r="X150" s="1369"/>
      <c r="Y150" s="1375"/>
      <c r="Z150" s="1370"/>
      <c r="AA150" s="1356"/>
      <c r="AB150" s="1369"/>
      <c r="AC150" s="1370"/>
      <c r="AD150" s="1357"/>
      <c r="AE150" s="1375"/>
      <c r="AF150" s="1370"/>
      <c r="AG150" s="1357"/>
      <c r="AH150" s="1358">
        <f t="shared" si="45"/>
        <v>0</v>
      </c>
      <c r="AI150" s="1243"/>
    </row>
    <row r="151" spans="1:35" s="1377" customFormat="1" ht="18" customHeight="1" x14ac:dyDescent="0.2">
      <c r="A151" s="1378">
        <v>71304</v>
      </c>
      <c r="B151" s="1390" t="s">
        <v>86</v>
      </c>
      <c r="C151" s="1410">
        <v>0</v>
      </c>
      <c r="D151" s="1363">
        <v>0</v>
      </c>
      <c r="E151" s="1363">
        <v>0</v>
      </c>
      <c r="F151" s="1363">
        <v>0</v>
      </c>
      <c r="G151" s="1411">
        <v>0</v>
      </c>
      <c r="H151" s="1382">
        <v>0</v>
      </c>
      <c r="I151" s="1366">
        <v>0</v>
      </c>
      <c r="J151" s="1366">
        <v>0</v>
      </c>
      <c r="K151" s="1366">
        <v>0</v>
      </c>
      <c r="L151" s="1348">
        <f t="shared" si="43"/>
        <v>0</v>
      </c>
      <c r="M151" s="1369">
        <v>0</v>
      </c>
      <c r="N151" s="1370">
        <v>0</v>
      </c>
      <c r="O151" s="1370">
        <v>0</v>
      </c>
      <c r="P151" s="1370">
        <f>+'AG5'!C28</f>
        <v>269033.29000000004</v>
      </c>
      <c r="Q151" s="1370">
        <v>0</v>
      </c>
      <c r="R151" s="1370">
        <f>+'AG5'!D28</f>
        <v>0</v>
      </c>
      <c r="S151" s="1371">
        <f>M151+N151+O151+P151+Q151+R151</f>
        <v>269033.29000000004</v>
      </c>
      <c r="T151" s="1372">
        <v>0</v>
      </c>
      <c r="U151" s="1373">
        <v>0</v>
      </c>
      <c r="V151" s="1369">
        <v>0</v>
      </c>
      <c r="W151" s="1374">
        <f t="shared" si="47"/>
        <v>0</v>
      </c>
      <c r="X151" s="1369"/>
      <c r="Y151" s="1375"/>
      <c r="Z151" s="1370"/>
      <c r="AA151" s="1356"/>
      <c r="AB151" s="1369"/>
      <c r="AC151" s="1370"/>
      <c r="AD151" s="1357"/>
      <c r="AE151" s="1375"/>
      <c r="AF151" s="1370"/>
      <c r="AG151" s="1357"/>
      <c r="AH151" s="1376">
        <f t="shared" ref="AH151:AH159" si="48">+L151+S151+G151+AA151+AD151+AG151</f>
        <v>269033.29000000004</v>
      </c>
      <c r="AI151" s="1243"/>
    </row>
    <row r="152" spans="1:35" s="1377" customFormat="1" ht="18" hidden="1" customHeight="1" x14ac:dyDescent="0.2">
      <c r="A152" s="1378">
        <v>71308</v>
      </c>
      <c r="B152" s="1390" t="s">
        <v>239</v>
      </c>
      <c r="C152" s="1410">
        <v>0</v>
      </c>
      <c r="D152" s="1363">
        <v>0</v>
      </c>
      <c r="E152" s="1363">
        <v>0</v>
      </c>
      <c r="F152" s="1363">
        <v>0</v>
      </c>
      <c r="G152" s="1411">
        <v>0</v>
      </c>
      <c r="H152" s="1365">
        <v>0</v>
      </c>
      <c r="I152" s="1366">
        <v>0</v>
      </c>
      <c r="J152" s="1415">
        <v>0</v>
      </c>
      <c r="K152" s="1366">
        <v>0</v>
      </c>
      <c r="L152" s="1416">
        <f t="shared" si="43"/>
        <v>0</v>
      </c>
      <c r="M152" s="1369">
        <v>0</v>
      </c>
      <c r="N152" s="1369">
        <v>0</v>
      </c>
      <c r="O152" s="1370">
        <v>0</v>
      </c>
      <c r="P152" s="1370">
        <v>0</v>
      </c>
      <c r="Q152" s="1357">
        <v>0</v>
      </c>
      <c r="R152" s="1357">
        <v>0</v>
      </c>
      <c r="S152" s="1371">
        <f t="shared" ref="S152:S159" si="49">M152+N152+O152+P152</f>
        <v>0</v>
      </c>
      <c r="T152" s="1372">
        <v>0</v>
      </c>
      <c r="U152" s="1373">
        <v>0</v>
      </c>
      <c r="V152" s="1369">
        <v>0</v>
      </c>
      <c r="W152" s="1417">
        <v>0</v>
      </c>
      <c r="X152" s="1369"/>
      <c r="Y152" s="1375"/>
      <c r="Z152" s="1370"/>
      <c r="AA152" s="1356"/>
      <c r="AB152" s="1369"/>
      <c r="AC152" s="1370"/>
      <c r="AD152" s="1357"/>
      <c r="AE152" s="1375"/>
      <c r="AF152" s="1370"/>
      <c r="AG152" s="1357"/>
      <c r="AH152" s="1376">
        <f t="shared" si="48"/>
        <v>0</v>
      </c>
      <c r="AI152" s="1243"/>
    </row>
    <row r="153" spans="1:35" s="1377" customFormat="1" ht="18" customHeight="1" x14ac:dyDescent="0.2">
      <c r="A153" s="1340">
        <v>72</v>
      </c>
      <c r="B153" s="1391" t="s">
        <v>13</v>
      </c>
      <c r="C153" s="1409">
        <f>C154</f>
        <v>2239.0299999999997</v>
      </c>
      <c r="D153" s="1343">
        <f t="shared" ref="D153:F154" si="50">D154</f>
        <v>0</v>
      </c>
      <c r="E153" s="1343">
        <f t="shared" si="50"/>
        <v>0</v>
      </c>
      <c r="F153" s="1343">
        <f t="shared" si="50"/>
        <v>0</v>
      </c>
      <c r="G153" s="1412">
        <f>C153+D153+E153+F153</f>
        <v>2239.0299999999997</v>
      </c>
      <c r="H153" s="1345">
        <f>H154</f>
        <v>7392.73</v>
      </c>
      <c r="I153" s="1366">
        <f t="shared" ref="I153:I154" si="51">I154</f>
        <v>0</v>
      </c>
      <c r="J153" s="1415">
        <f t="shared" ref="J153:J154" si="52">J154</f>
        <v>0</v>
      </c>
      <c r="K153" s="1366">
        <f t="shared" ref="K153:K154" si="53">K154</f>
        <v>0</v>
      </c>
      <c r="L153" s="1416">
        <f>H153+I153+J153+K153</f>
        <v>7392.73</v>
      </c>
      <c r="M153" s="1353">
        <f>M154</f>
        <v>908.63</v>
      </c>
      <c r="N153" s="1369">
        <v>0</v>
      </c>
      <c r="O153" s="1370">
        <v>0</v>
      </c>
      <c r="P153" s="1370">
        <v>0</v>
      </c>
      <c r="Q153" s="1357">
        <v>0</v>
      </c>
      <c r="R153" s="1357">
        <v>0</v>
      </c>
      <c r="S153" s="1350">
        <f t="shared" si="49"/>
        <v>908.63</v>
      </c>
      <c r="T153" s="1372">
        <v>0</v>
      </c>
      <c r="U153" s="1373">
        <v>0</v>
      </c>
      <c r="V153" s="1369">
        <v>0</v>
      </c>
      <c r="W153" s="1417">
        <v>0</v>
      </c>
      <c r="X153" s="1369"/>
      <c r="Y153" s="1375"/>
      <c r="Z153" s="1370"/>
      <c r="AA153" s="1356"/>
      <c r="AB153" s="1369"/>
      <c r="AC153" s="1370"/>
      <c r="AD153" s="1357"/>
      <c r="AE153" s="1375"/>
      <c r="AF153" s="1370"/>
      <c r="AG153" s="1357"/>
      <c r="AH153" s="1358">
        <f t="shared" si="48"/>
        <v>10540.39</v>
      </c>
      <c r="AI153" s="1243"/>
    </row>
    <row r="154" spans="1:35" s="1377" customFormat="1" ht="25.5" x14ac:dyDescent="0.2">
      <c r="A154" s="1340">
        <v>721</v>
      </c>
      <c r="B154" s="1418" t="s">
        <v>642</v>
      </c>
      <c r="C154" s="1409">
        <f>C155</f>
        <v>2239.0299999999997</v>
      </c>
      <c r="D154" s="1343">
        <f t="shared" si="50"/>
        <v>0</v>
      </c>
      <c r="E154" s="1343">
        <f t="shared" si="50"/>
        <v>0</v>
      </c>
      <c r="F154" s="1343">
        <f t="shared" si="50"/>
        <v>0</v>
      </c>
      <c r="G154" s="1412">
        <f t="shared" ref="G154:G155" si="54">C154+D154+E154+F154</f>
        <v>2239.0299999999997</v>
      </c>
      <c r="H154" s="1365">
        <f>H155</f>
        <v>7392.73</v>
      </c>
      <c r="I154" s="1366">
        <f t="shared" si="51"/>
        <v>0</v>
      </c>
      <c r="J154" s="1415">
        <f t="shared" si="52"/>
        <v>0</v>
      </c>
      <c r="K154" s="1366">
        <f t="shared" si="53"/>
        <v>0</v>
      </c>
      <c r="L154" s="1416">
        <f t="shared" ref="L154" si="55">H154+I154+J154+K154</f>
        <v>7392.73</v>
      </c>
      <c r="M154" s="1353">
        <f>M155</f>
        <v>908.63</v>
      </c>
      <c r="N154" s="1369">
        <v>0</v>
      </c>
      <c r="O154" s="1370">
        <v>0</v>
      </c>
      <c r="P154" s="1370">
        <v>0</v>
      </c>
      <c r="Q154" s="1357">
        <v>0</v>
      </c>
      <c r="R154" s="1357">
        <v>0</v>
      </c>
      <c r="S154" s="1350">
        <f t="shared" si="49"/>
        <v>908.63</v>
      </c>
      <c r="T154" s="1372">
        <v>0</v>
      </c>
      <c r="U154" s="1373">
        <v>0</v>
      </c>
      <c r="V154" s="1369">
        <v>0</v>
      </c>
      <c r="W154" s="1417">
        <v>0</v>
      </c>
      <c r="X154" s="1369"/>
      <c r="Y154" s="1375"/>
      <c r="Z154" s="1370"/>
      <c r="AA154" s="1356"/>
      <c r="AB154" s="1369"/>
      <c r="AC154" s="1370"/>
      <c r="AD154" s="1357"/>
      <c r="AE154" s="1375"/>
      <c r="AF154" s="1370"/>
      <c r="AG154" s="1357"/>
      <c r="AH154" s="1358">
        <f t="shared" si="48"/>
        <v>10540.39</v>
      </c>
      <c r="AI154" s="1243"/>
    </row>
    <row r="155" spans="1:35" s="1377" customFormat="1" ht="18" customHeight="1" thickBot="1" x14ac:dyDescent="0.25">
      <c r="A155" s="1378">
        <v>72101</v>
      </c>
      <c r="B155" s="1390" t="s">
        <v>642</v>
      </c>
      <c r="C155" s="1410">
        <f>'egresos 25% y F.P'!C204</f>
        <v>2239.0299999999997</v>
      </c>
      <c r="D155" s="1363">
        <v>0</v>
      </c>
      <c r="E155" s="1363">
        <v>0</v>
      </c>
      <c r="F155" s="1363">
        <v>0</v>
      </c>
      <c r="G155" s="1411">
        <f t="shared" si="54"/>
        <v>2239.0299999999997</v>
      </c>
      <c r="H155" s="1365">
        <f>'egresos 25% y F.P'!C95</f>
        <v>7392.73</v>
      </c>
      <c r="I155" s="1366">
        <v>0</v>
      </c>
      <c r="J155" s="1415">
        <v>0</v>
      </c>
      <c r="K155" s="1366">
        <v>0</v>
      </c>
      <c r="L155" s="1416">
        <f t="shared" si="43"/>
        <v>7392.73</v>
      </c>
      <c r="M155" s="1369">
        <f>'AG3'!J115</f>
        <v>908.63</v>
      </c>
      <c r="N155" s="1369">
        <v>0</v>
      </c>
      <c r="O155" s="1370">
        <v>0</v>
      </c>
      <c r="P155" s="1370">
        <v>0</v>
      </c>
      <c r="Q155" s="1357">
        <v>0</v>
      </c>
      <c r="R155" s="1357">
        <v>0</v>
      </c>
      <c r="S155" s="1371">
        <f t="shared" si="49"/>
        <v>908.63</v>
      </c>
      <c r="T155" s="1372">
        <v>0</v>
      </c>
      <c r="U155" s="1373">
        <v>0</v>
      </c>
      <c r="V155" s="1369">
        <v>0</v>
      </c>
      <c r="W155" s="1417">
        <v>0</v>
      </c>
      <c r="X155" s="1369"/>
      <c r="Y155" s="1375"/>
      <c r="Z155" s="1370"/>
      <c r="AA155" s="1356"/>
      <c r="AB155" s="1369"/>
      <c r="AC155" s="1370"/>
      <c r="AD155" s="1357"/>
      <c r="AE155" s="1375"/>
      <c r="AF155" s="1370"/>
      <c r="AG155" s="1357"/>
      <c r="AH155" s="1376">
        <f t="shared" si="48"/>
        <v>10540.39</v>
      </c>
      <c r="AI155" s="1243"/>
    </row>
    <row r="156" spans="1:35" s="1377" customFormat="1" ht="18" hidden="1" customHeight="1" thickBot="1" x14ac:dyDescent="0.25">
      <c r="A156" s="1378"/>
      <c r="B156" s="1390"/>
      <c r="C156" s="1410"/>
      <c r="D156" s="1363"/>
      <c r="E156" s="1363"/>
      <c r="F156" s="1363"/>
      <c r="G156" s="1411"/>
      <c r="H156" s="1365"/>
      <c r="I156" s="1366"/>
      <c r="J156" s="1415"/>
      <c r="K156" s="1366"/>
      <c r="L156" s="1416">
        <f t="shared" si="43"/>
        <v>0</v>
      </c>
      <c r="M156" s="1369"/>
      <c r="N156" s="1369"/>
      <c r="O156" s="1370"/>
      <c r="P156" s="1370"/>
      <c r="Q156" s="1357"/>
      <c r="R156" s="1357"/>
      <c r="S156" s="1371">
        <f t="shared" si="49"/>
        <v>0</v>
      </c>
      <c r="T156" s="1372"/>
      <c r="U156" s="1373"/>
      <c r="V156" s="1369"/>
      <c r="W156" s="1417"/>
      <c r="X156" s="1369"/>
      <c r="Y156" s="1375"/>
      <c r="Z156" s="1370"/>
      <c r="AA156" s="1356"/>
      <c r="AB156" s="1369"/>
      <c r="AC156" s="1370"/>
      <c r="AD156" s="1357"/>
      <c r="AE156" s="1375"/>
      <c r="AF156" s="1370"/>
      <c r="AG156" s="1357"/>
      <c r="AH156" s="1358">
        <f t="shared" si="48"/>
        <v>0</v>
      </c>
      <c r="AI156" s="1243"/>
    </row>
    <row r="157" spans="1:35" s="1377" customFormat="1" ht="18" hidden="1" customHeight="1" x14ac:dyDescent="0.2">
      <c r="A157" s="1340">
        <v>99</v>
      </c>
      <c r="B157" s="1391" t="s">
        <v>183</v>
      </c>
      <c r="C157" s="1361"/>
      <c r="D157" s="1363"/>
      <c r="E157" s="1419"/>
      <c r="F157" s="1419"/>
      <c r="G157" s="1400"/>
      <c r="H157" s="1365"/>
      <c r="I157" s="1366"/>
      <c r="J157" s="1415"/>
      <c r="K157" s="1366"/>
      <c r="L157" s="1416">
        <f t="shared" si="43"/>
        <v>0</v>
      </c>
      <c r="M157" s="1369"/>
      <c r="N157" s="1369"/>
      <c r="O157" s="1370"/>
      <c r="P157" s="1370"/>
      <c r="Q157" s="1357"/>
      <c r="R157" s="1357"/>
      <c r="S157" s="1371">
        <f t="shared" si="49"/>
        <v>0</v>
      </c>
      <c r="T157" s="1372"/>
      <c r="U157" s="1373"/>
      <c r="V157" s="1369"/>
      <c r="W157" s="1417"/>
      <c r="X157" s="1369"/>
      <c r="Y157" s="1375"/>
      <c r="Z157" s="1370"/>
      <c r="AA157" s="1356"/>
      <c r="AB157" s="1369"/>
      <c r="AC157" s="1370"/>
      <c r="AD157" s="1357"/>
      <c r="AE157" s="1375"/>
      <c r="AF157" s="1370"/>
      <c r="AG157" s="1357"/>
      <c r="AH157" s="1358">
        <f t="shared" si="48"/>
        <v>0</v>
      </c>
      <c r="AI157" s="1243"/>
    </row>
    <row r="158" spans="1:35" s="1377" customFormat="1" ht="18" hidden="1" customHeight="1" x14ac:dyDescent="0.2">
      <c r="A158" s="1340">
        <v>991</v>
      </c>
      <c r="B158" s="1391" t="s">
        <v>184</v>
      </c>
      <c r="C158" s="1361"/>
      <c r="D158" s="1363"/>
      <c r="E158" s="1419"/>
      <c r="F158" s="1419"/>
      <c r="G158" s="1400"/>
      <c r="H158" s="1365"/>
      <c r="I158" s="1366"/>
      <c r="J158" s="1415"/>
      <c r="K158" s="1366"/>
      <c r="L158" s="1416">
        <f t="shared" si="43"/>
        <v>0</v>
      </c>
      <c r="M158" s="1369"/>
      <c r="N158" s="1369"/>
      <c r="O158" s="1370"/>
      <c r="P158" s="1370"/>
      <c r="Q158" s="1357"/>
      <c r="R158" s="1357"/>
      <c r="S158" s="1371">
        <f t="shared" si="49"/>
        <v>0</v>
      </c>
      <c r="T158" s="1372"/>
      <c r="U158" s="1373"/>
      <c r="V158" s="1369"/>
      <c r="W158" s="1417"/>
      <c r="X158" s="1369"/>
      <c r="Y158" s="1375"/>
      <c r="Z158" s="1370"/>
      <c r="AA158" s="1356"/>
      <c r="AB158" s="1369"/>
      <c r="AC158" s="1370"/>
      <c r="AD158" s="1357"/>
      <c r="AE158" s="1375"/>
      <c r="AF158" s="1370"/>
      <c r="AG158" s="1357"/>
      <c r="AH158" s="1358">
        <f t="shared" si="48"/>
        <v>0</v>
      </c>
      <c r="AI158" s="1243"/>
    </row>
    <row r="159" spans="1:35" s="1377" customFormat="1" ht="18" hidden="1" customHeight="1" thickBot="1" x14ac:dyDescent="0.25">
      <c r="A159" s="1420">
        <v>99101</v>
      </c>
      <c r="B159" s="1421" t="s">
        <v>184</v>
      </c>
      <c r="C159" s="1422"/>
      <c r="D159" s="1423"/>
      <c r="E159" s="1424"/>
      <c r="F159" s="1424"/>
      <c r="G159" s="1425"/>
      <c r="H159" s="1426"/>
      <c r="I159" s="1427"/>
      <c r="J159" s="1428"/>
      <c r="K159" s="1428"/>
      <c r="L159" s="1429">
        <f t="shared" si="43"/>
        <v>0</v>
      </c>
      <c r="M159" s="1430"/>
      <c r="N159" s="1430"/>
      <c r="O159" s="1431"/>
      <c r="P159" s="1431"/>
      <c r="Q159" s="1432"/>
      <c r="R159" s="1432"/>
      <c r="S159" s="1433">
        <f t="shared" si="49"/>
        <v>0</v>
      </c>
      <c r="T159" s="1434"/>
      <c r="U159" s="1435"/>
      <c r="V159" s="1430"/>
      <c r="W159" s="1436"/>
      <c r="X159" s="1430"/>
      <c r="Y159" s="1437"/>
      <c r="Z159" s="1431"/>
      <c r="AA159" s="1438"/>
      <c r="AB159" s="1430"/>
      <c r="AC159" s="1431"/>
      <c r="AD159" s="1432"/>
      <c r="AE159" s="1437"/>
      <c r="AF159" s="1431"/>
      <c r="AG159" s="1432"/>
      <c r="AH159" s="1439">
        <f t="shared" si="48"/>
        <v>0</v>
      </c>
      <c r="AI159" s="1243"/>
    </row>
    <row r="160" spans="1:35" s="1377" customFormat="1" ht="18" customHeight="1" thickTop="1" thickBot="1" x14ac:dyDescent="0.25">
      <c r="A160" s="1440"/>
      <c r="B160" s="1441" t="s">
        <v>25</v>
      </c>
      <c r="C160" s="1442">
        <f>C9+C43+C94+C112+C120+C148+C153</f>
        <v>155595.6</v>
      </c>
      <c r="D160" s="1443">
        <f>D9+D43+D94+D112+D120+D148</f>
        <v>41350</v>
      </c>
      <c r="E160" s="1443">
        <f>E9+E43+E94+E112+E120+E148</f>
        <v>25042.83</v>
      </c>
      <c r="F160" s="1443">
        <f>F9+F43+F94+F112+F120+F148</f>
        <v>126555.01</v>
      </c>
      <c r="G160" s="1444">
        <f>G9+G43+G94+G112+G120+G148+G153</f>
        <v>348543.44000000006</v>
      </c>
      <c r="H160" s="1445">
        <f>H9+H148+H120+H112+H94+H43+H153</f>
        <v>140679.02000000002</v>
      </c>
      <c r="I160" s="1446">
        <f>I9+I148+I120+I112+I94+I43</f>
        <v>33234.75</v>
      </c>
      <c r="J160" s="1446">
        <f>J9+J148+J120+J112+J94+J43</f>
        <v>11628.56</v>
      </c>
      <c r="K160" s="1446">
        <f>K9+K148+K120+K112+K94+K43</f>
        <v>173344.31</v>
      </c>
      <c r="L160" s="1447">
        <f>L9+L43+L94+L112+L120+L153</f>
        <v>358886.64</v>
      </c>
      <c r="M160" s="1448">
        <f>M9+M43+M94+M112+M120+M148+M153</f>
        <v>85179.200000000012</v>
      </c>
      <c r="N160" s="1449">
        <f t="shared" ref="N160:S160" si="56">N9+N43+N94+N112+N120+N148+N153</f>
        <v>503471.04</v>
      </c>
      <c r="O160" s="1449">
        <f t="shared" si="56"/>
        <v>368777.38</v>
      </c>
      <c r="P160" s="1449">
        <f t="shared" si="56"/>
        <v>269033.29000000004</v>
      </c>
      <c r="Q160" s="1449">
        <f t="shared" si="56"/>
        <v>116117.97</v>
      </c>
      <c r="R160" s="1449">
        <f t="shared" si="56"/>
        <v>8538.5299999999988</v>
      </c>
      <c r="S160" s="1449">
        <f t="shared" si="56"/>
        <v>1351117.41</v>
      </c>
      <c r="T160" s="1448">
        <f>T9+T43+T94+T112+T120+T148</f>
        <v>20848.46</v>
      </c>
      <c r="U160" s="1450">
        <f>U9+U43+U94+U112+U120+U148</f>
        <v>360000</v>
      </c>
      <c r="V160" s="1451">
        <f>V9+V43+V94+V112+V120+V148</f>
        <v>411191.65</v>
      </c>
      <c r="W160" s="1451">
        <f>W9+W43+W94+W112+W120+W148</f>
        <v>771191.65</v>
      </c>
      <c r="X160" s="1452">
        <f>X9+X43+X94+X112+X120+X148</f>
        <v>0</v>
      </c>
      <c r="Y160" s="1453">
        <f t="shared" ref="Y160:AG160" si="57">SUM(Y9:Y159)</f>
        <v>0</v>
      </c>
      <c r="Z160" s="1454">
        <f t="shared" si="57"/>
        <v>0</v>
      </c>
      <c r="AA160" s="1454">
        <f t="shared" si="57"/>
        <v>0</v>
      </c>
      <c r="AB160" s="1454">
        <f t="shared" si="57"/>
        <v>0</v>
      </c>
      <c r="AC160" s="1454">
        <f t="shared" si="57"/>
        <v>0</v>
      </c>
      <c r="AD160" s="1454">
        <f t="shared" si="57"/>
        <v>0</v>
      </c>
      <c r="AE160" s="1455">
        <f>AE43+AE94+AE112+AE120+AE148</f>
        <v>0</v>
      </c>
      <c r="AF160" s="1454">
        <f t="shared" si="57"/>
        <v>0</v>
      </c>
      <c r="AG160" s="1456">
        <f t="shared" si="57"/>
        <v>0</v>
      </c>
      <c r="AH160" s="1449">
        <f>AH9+AH148+AH120+AH112+AH94+AH43+AH153</f>
        <v>2850587.6000000006</v>
      </c>
      <c r="AI160" s="1243"/>
    </row>
    <row r="161" spans="1:36" s="1458" customFormat="1" ht="18" customHeight="1" thickTop="1" x14ac:dyDescent="0.2">
      <c r="A161" s="1457"/>
      <c r="C161" s="1459"/>
      <c r="D161" s="1459"/>
      <c r="E161" s="1459"/>
      <c r="F161" s="1459"/>
      <c r="G161" s="1460"/>
      <c r="H161" s="1461"/>
      <c r="I161" s="1461"/>
      <c r="J161" s="1461"/>
      <c r="K161" s="1462"/>
      <c r="L161" s="1463"/>
      <c r="M161" s="1464"/>
      <c r="N161" s="1465"/>
      <c r="O161" s="1464"/>
      <c r="P161" s="1464"/>
      <c r="Q161" s="1465"/>
      <c r="R161" s="1465"/>
      <c r="S161" s="1466"/>
      <c r="T161" s="1464"/>
      <c r="U161" s="1464"/>
      <c r="X161" s="1464"/>
      <c r="Y161" s="1464"/>
      <c r="Z161" s="1464"/>
      <c r="AA161" s="1464"/>
      <c r="AB161" s="1464"/>
      <c r="AC161" s="1464"/>
      <c r="AD161" s="1464"/>
      <c r="AE161" s="1464"/>
      <c r="AF161" s="1464"/>
      <c r="AG161" s="1464"/>
      <c r="AH161" s="1465"/>
      <c r="AI161" s="1467"/>
    </row>
    <row r="162" spans="1:36" s="1458" customFormat="1" ht="18" hidden="1" customHeight="1" x14ac:dyDescent="0.2">
      <c r="A162" s="1457"/>
      <c r="C162" s="1459"/>
      <c r="D162" s="1459"/>
      <c r="E162" s="1459"/>
      <c r="F162" s="1459"/>
      <c r="G162" s="1459"/>
      <c r="H162" s="1461"/>
      <c r="I162" s="1461"/>
      <c r="J162" s="1461"/>
      <c r="R162" s="1468"/>
      <c r="S162" s="1468"/>
      <c r="U162" s="1469"/>
      <c r="AH162" s="1470"/>
      <c r="AI162" s="1471"/>
    </row>
    <row r="163" spans="1:36" s="1458" customFormat="1" ht="18" hidden="1" customHeight="1" x14ac:dyDescent="0.2">
      <c r="A163" s="1457"/>
      <c r="C163" s="1459"/>
      <c r="D163" s="1459"/>
      <c r="E163" s="1459"/>
      <c r="F163" s="1459"/>
      <c r="G163" s="1459"/>
      <c r="H163" s="1461"/>
      <c r="I163" s="1461"/>
      <c r="J163" s="1461"/>
      <c r="M163" s="1472"/>
      <c r="O163" s="1472"/>
      <c r="P163" s="1472"/>
      <c r="Q163" s="1472"/>
      <c r="R163" s="1468"/>
      <c r="S163" s="1468"/>
      <c r="T163" s="1472"/>
      <c r="U163" s="1472"/>
      <c r="V163" s="1472"/>
      <c r="X163" s="1472"/>
      <c r="AH163" s="1465"/>
      <c r="AI163" s="1471"/>
    </row>
    <row r="164" spans="1:36" s="1458" customFormat="1" ht="18" hidden="1" customHeight="1" x14ac:dyDescent="0.2">
      <c r="A164" s="1457"/>
      <c r="C164" s="1459"/>
      <c r="D164" s="1459"/>
      <c r="E164" s="1459"/>
      <c r="F164" s="1459"/>
      <c r="G164" s="1459"/>
      <c r="H164" s="1461"/>
      <c r="I164" s="1461"/>
      <c r="J164" s="1461"/>
      <c r="K164" s="1461"/>
      <c r="L164" s="1459"/>
      <c r="R164" s="1468"/>
      <c r="S164" s="1468"/>
      <c r="AH164" s="1469"/>
      <c r="AI164" s="1471"/>
    </row>
    <row r="165" spans="1:36" s="1458" customFormat="1" ht="18" hidden="1" customHeight="1" x14ac:dyDescent="0.2">
      <c r="A165" s="1457"/>
      <c r="C165" s="1459"/>
      <c r="D165" s="1459"/>
      <c r="E165" s="1459"/>
      <c r="F165" s="1459"/>
      <c r="G165" s="1459"/>
      <c r="H165" s="1461"/>
      <c r="I165" s="1461"/>
      <c r="J165" s="1461"/>
      <c r="K165" s="1461"/>
      <c r="L165" s="1461"/>
      <c r="AI165" s="1471"/>
    </row>
    <row r="166" spans="1:36" s="1458" customFormat="1" ht="18" hidden="1" customHeight="1" x14ac:dyDescent="0.2">
      <c r="A166" s="1457"/>
      <c r="C166" s="1459"/>
      <c r="D166" s="1459"/>
      <c r="E166" s="1459"/>
      <c r="F166" s="1459"/>
      <c r="G166" s="1459"/>
      <c r="H166" s="1461"/>
      <c r="I166" s="1461"/>
      <c r="J166" s="1461"/>
      <c r="K166" s="1461"/>
      <c r="L166" s="1461"/>
      <c r="AI166" s="1471"/>
    </row>
    <row r="167" spans="1:36" s="1474" customFormat="1" ht="18" hidden="1" customHeight="1" x14ac:dyDescent="0.2">
      <c r="A167" s="1473"/>
      <c r="C167" s="1475"/>
      <c r="D167" s="1475"/>
      <c r="E167" s="1475"/>
      <c r="H167" s="1476"/>
      <c r="I167" s="1476"/>
      <c r="J167" s="1476"/>
      <c r="K167" s="1476"/>
      <c r="L167" s="1476"/>
      <c r="W167" s="1477"/>
      <c r="AG167" s="1477"/>
      <c r="AH167" s="1477"/>
      <c r="AI167" s="1478"/>
      <c r="AJ167" s="1477"/>
    </row>
    <row r="168" spans="1:36" s="1474" customFormat="1" ht="18" hidden="1" customHeight="1" x14ac:dyDescent="0.2">
      <c r="A168" s="1473"/>
      <c r="C168" s="1475"/>
      <c r="D168" s="1475"/>
      <c r="E168" s="1475"/>
      <c r="F168" s="1463" t="s">
        <v>636</v>
      </c>
      <c r="G168" s="1460">
        <f>'ING. REALES'!G73</f>
        <v>348543.44000000006</v>
      </c>
      <c r="H168" s="1476"/>
      <c r="I168" s="1476"/>
      <c r="J168" s="1476"/>
      <c r="K168" s="1463" t="s">
        <v>636</v>
      </c>
      <c r="L168" s="1460">
        <f>'ING. REALES'!C73</f>
        <v>358886.64</v>
      </c>
      <c r="R168" s="1463" t="s">
        <v>636</v>
      </c>
      <c r="S168" s="1460">
        <f>'ING. REALES'!D73</f>
        <v>1351117.4100000001</v>
      </c>
      <c r="T168" s="1460">
        <f>'ING. REALES'!E73:E73</f>
        <v>20848.46</v>
      </c>
      <c r="V168" s="1463" t="s">
        <v>636</v>
      </c>
      <c r="W168" s="1460">
        <f>'ING. REALES'!I73</f>
        <v>771191.65</v>
      </c>
      <c r="AG168" s="1477"/>
      <c r="AH168" s="1460">
        <f>'ING. REALES'!J73</f>
        <v>2850587.6</v>
      </c>
      <c r="AI168" s="1478"/>
      <c r="AJ168" s="1477"/>
    </row>
    <row r="169" spans="1:36" s="1474" customFormat="1" ht="18" hidden="1" customHeight="1" x14ac:dyDescent="0.2">
      <c r="A169" s="1473"/>
      <c r="C169" s="1475"/>
      <c r="D169" s="1475"/>
      <c r="E169" s="1475"/>
      <c r="F169" s="1479" t="s">
        <v>685</v>
      </c>
      <c r="G169" s="1480">
        <f>G168-G160</f>
        <v>0</v>
      </c>
      <c r="H169" s="1476"/>
      <c r="I169" s="1476"/>
      <c r="J169" s="1476"/>
      <c r="K169" s="1479" t="s">
        <v>685</v>
      </c>
      <c r="L169" s="1460">
        <f>L168-L160</f>
        <v>0</v>
      </c>
      <c r="R169" s="1479" t="s">
        <v>685</v>
      </c>
      <c r="S169" s="1460">
        <f>S168-S160</f>
        <v>0</v>
      </c>
      <c r="T169" s="1460">
        <f>T168-T160</f>
        <v>0</v>
      </c>
      <c r="V169" s="1479" t="s">
        <v>685</v>
      </c>
      <c r="W169" s="1460">
        <f>W168-W160</f>
        <v>0</v>
      </c>
      <c r="AG169" s="1477"/>
      <c r="AH169" s="1460">
        <f>AH168-AH160</f>
        <v>0</v>
      </c>
      <c r="AI169" s="1478"/>
      <c r="AJ169" s="1477"/>
    </row>
    <row r="170" spans="1:36" ht="18" hidden="1" customHeight="1" x14ac:dyDescent="0.2">
      <c r="W170" s="1484"/>
      <c r="AG170" s="1484"/>
      <c r="AH170" s="1484"/>
      <c r="AJ170" s="1484"/>
    </row>
    <row r="171" spans="1:36" ht="18" hidden="1" customHeight="1" x14ac:dyDescent="0.2"/>
    <row r="172" spans="1:36" ht="18" hidden="1" customHeight="1" x14ac:dyDescent="0.2"/>
    <row r="173" spans="1:36" ht="18" hidden="1" customHeight="1" x14ac:dyDescent="0.2"/>
    <row r="174" spans="1:36" ht="18" hidden="1" customHeight="1" x14ac:dyDescent="0.2">
      <c r="W174" s="1225">
        <f>141806.43+145000+150000+155000+117802.16+55000</f>
        <v>764608.59</v>
      </c>
    </row>
    <row r="175" spans="1:36" ht="18" hidden="1" customHeight="1" x14ac:dyDescent="0.2">
      <c r="W175" s="1225">
        <f>+W174+4848.32</f>
        <v>769456.90999999992</v>
      </c>
    </row>
    <row r="176" spans="1:36" ht="18" hidden="1" customHeight="1" x14ac:dyDescent="0.2"/>
    <row r="177" ht="18" hidden="1" customHeight="1" x14ac:dyDescent="0.2"/>
    <row r="178" ht="18" hidden="1" customHeight="1" x14ac:dyDescent="0.2"/>
    <row r="179" ht="18" hidden="1" customHeight="1" x14ac:dyDescent="0.2"/>
    <row r="180" ht="18" hidden="1" customHeight="1" x14ac:dyDescent="0.2"/>
    <row r="181" ht="18" hidden="1" customHeight="1" x14ac:dyDescent="0.2"/>
    <row r="182" ht="18" hidden="1" customHeight="1" x14ac:dyDescent="0.2"/>
    <row r="183" ht="18" hidden="1" customHeight="1" x14ac:dyDescent="0.2"/>
    <row r="184" ht="18" hidden="1" customHeight="1" x14ac:dyDescent="0.2"/>
    <row r="185" ht="18" hidden="1" customHeight="1" x14ac:dyDescent="0.2"/>
  </sheetData>
  <autoFilter ref="A3:G160">
    <filterColumn colId="2" showButton="0"/>
    <filterColumn colId="3" showButton="0"/>
    <filterColumn colId="4" showButton="0"/>
    <filterColumn colId="5" showButton="0"/>
  </autoFilter>
  <mergeCells count="44">
    <mergeCell ref="R164:S164"/>
    <mergeCell ref="U4:U5"/>
    <mergeCell ref="V4:V5"/>
    <mergeCell ref="W4:W8"/>
    <mergeCell ref="AH3:AH8"/>
    <mergeCell ref="AG5:AG8"/>
    <mergeCell ref="AE4:AF4"/>
    <mergeCell ref="Y4:Z4"/>
    <mergeCell ref="AE3:AG3"/>
    <mergeCell ref="AD5:AD8"/>
    <mergeCell ref="Y3:AA3"/>
    <mergeCell ref="AA5:AA8"/>
    <mergeCell ref="AB4:AC4"/>
    <mergeCell ref="AB3:AD3"/>
    <mergeCell ref="U3:W3"/>
    <mergeCell ref="X3:X4"/>
    <mergeCell ref="T3:T4"/>
    <mergeCell ref="C6:G6"/>
    <mergeCell ref="L7:L8"/>
    <mergeCell ref="M6:N6"/>
    <mergeCell ref="I7:I8"/>
    <mergeCell ref="J7:J8"/>
    <mergeCell ref="S3:S8"/>
    <mergeCell ref="T5:T6"/>
    <mergeCell ref="K7:K8"/>
    <mergeCell ref="D7:D8"/>
    <mergeCell ref="H6:L6"/>
    <mergeCell ref="H7:H8"/>
    <mergeCell ref="G7:G8"/>
    <mergeCell ref="R163:S163"/>
    <mergeCell ref="A3:A8"/>
    <mergeCell ref="B3:B8"/>
    <mergeCell ref="H5:L5"/>
    <mergeCell ref="P6:R6"/>
    <mergeCell ref="E7:E8"/>
    <mergeCell ref="M5:N5"/>
    <mergeCell ref="H4:L4"/>
    <mergeCell ref="M4:R4"/>
    <mergeCell ref="C5:G5"/>
    <mergeCell ref="F7:F8"/>
    <mergeCell ref="C7:C8"/>
    <mergeCell ref="P5:R5"/>
    <mergeCell ref="C3:G4"/>
    <mergeCell ref="R162:S162"/>
  </mergeCells>
  <phoneticPr fontId="0" type="noConversion"/>
  <pageMargins left="7.874015748031496E-2" right="7.874015748031496E-2" top="0.82677165354330717" bottom="0.51181102362204722" header="0" footer="0"/>
  <pageSetup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77"/>
  <sheetViews>
    <sheetView showGridLines="0" topLeftCell="A129" zoomScale="80" workbookViewId="0">
      <selection activeCell="E97" sqref="E97"/>
    </sheetView>
  </sheetViews>
  <sheetFormatPr baseColWidth="10" defaultRowHeight="18" customHeight="1" x14ac:dyDescent="0.2"/>
  <cols>
    <col min="1" max="1" width="7.5703125" style="45" customWidth="1"/>
    <col min="2" max="2" width="58.140625" style="43" customWidth="1"/>
    <col min="3" max="5" width="15.42578125" style="536" customWidth="1"/>
    <col min="6" max="6" width="11.5703125" style="43" bestFit="1" customWidth="1"/>
    <col min="7" max="7" width="15" style="43" customWidth="1"/>
    <col min="8" max="16384" width="11.42578125" style="43"/>
  </cols>
  <sheetData>
    <row r="1" spans="1:7" ht="18" customHeight="1" x14ac:dyDescent="0.25">
      <c r="A1" s="1186" t="s">
        <v>327</v>
      </c>
      <c r="B1" s="1186"/>
      <c r="C1" s="1186"/>
      <c r="D1" s="1186"/>
      <c r="E1" s="1186"/>
    </row>
    <row r="2" spans="1:7" ht="18" customHeight="1" x14ac:dyDescent="0.25">
      <c r="A2" s="1186" t="s">
        <v>249</v>
      </c>
      <c r="B2" s="1186"/>
      <c r="C2" s="1186"/>
      <c r="D2" s="1186"/>
      <c r="E2" s="1186"/>
    </row>
    <row r="3" spans="1:7" ht="18" customHeight="1" x14ac:dyDescent="0.25">
      <c r="A3" s="1186" t="s">
        <v>477</v>
      </c>
      <c r="B3" s="1186"/>
      <c r="C3" s="1186"/>
      <c r="D3" s="1186"/>
      <c r="E3" s="1186"/>
    </row>
    <row r="4" spans="1:7" ht="18" customHeight="1" x14ac:dyDescent="0.25">
      <c r="A4" s="1187" t="s">
        <v>519</v>
      </c>
      <c r="B4" s="1187"/>
      <c r="C4" s="1187"/>
      <c r="D4" s="1187"/>
      <c r="E4" s="1187"/>
    </row>
    <row r="5" spans="1:7" ht="18" customHeight="1" x14ac:dyDescent="0.25">
      <c r="A5" s="1186" t="s">
        <v>751</v>
      </c>
      <c r="B5" s="1186"/>
      <c r="C5" s="1186"/>
      <c r="D5" s="1186"/>
      <c r="E5" s="1186"/>
    </row>
    <row r="6" spans="1:7" ht="18" customHeight="1" thickBot="1" x14ac:dyDescent="0.3">
      <c r="A6" s="317"/>
      <c r="B6" s="317"/>
      <c r="C6" s="523"/>
      <c r="D6" s="523"/>
      <c r="E6" s="523"/>
    </row>
    <row r="7" spans="1:7" ht="18" customHeight="1" thickBot="1" x14ac:dyDescent="0.25">
      <c r="A7" s="83" t="s">
        <v>336</v>
      </c>
      <c r="B7" s="79" t="s">
        <v>250</v>
      </c>
      <c r="C7" s="524" t="s">
        <v>251</v>
      </c>
      <c r="D7" s="524" t="s">
        <v>252</v>
      </c>
      <c r="E7" s="524" t="s">
        <v>25</v>
      </c>
    </row>
    <row r="8" spans="1:7" s="44" customFormat="1" ht="18" customHeight="1" x14ac:dyDescent="0.25">
      <c r="A8" s="487">
        <v>51</v>
      </c>
      <c r="B8" s="494" t="s">
        <v>122</v>
      </c>
      <c r="C8" s="525"/>
      <c r="D8" s="526"/>
      <c r="E8" s="527">
        <f>SUM(D9:D40)</f>
        <v>411289.8</v>
      </c>
    </row>
    <row r="9" spans="1:7" s="44" customFormat="1" ht="18" customHeight="1" x14ac:dyDescent="0.2">
      <c r="A9" s="487">
        <v>511</v>
      </c>
      <c r="B9" s="495" t="s">
        <v>123</v>
      </c>
      <c r="C9" s="206"/>
      <c r="D9" s="310">
        <f>SUM(C10:C15)</f>
        <v>353876.86</v>
      </c>
      <c r="E9" s="527"/>
    </row>
    <row r="10" spans="1:7" ht="18" customHeight="1" x14ac:dyDescent="0.2">
      <c r="A10" s="488" t="s">
        <v>124</v>
      </c>
      <c r="B10" s="496" t="s">
        <v>125</v>
      </c>
      <c r="C10" s="306">
        <f>CONSOLIDADO!AH11</f>
        <v>246240</v>
      </c>
      <c r="D10" s="528"/>
      <c r="E10" s="529"/>
    </row>
    <row r="11" spans="1:7" ht="12.75" hidden="1" customHeight="1" x14ac:dyDescent="0.2">
      <c r="A11" s="704" t="s">
        <v>645</v>
      </c>
      <c r="B11" s="705" t="s">
        <v>126</v>
      </c>
      <c r="C11" s="306"/>
      <c r="D11" s="528"/>
      <c r="E11" s="529"/>
    </row>
    <row r="12" spans="1:7" ht="18" customHeight="1" x14ac:dyDescent="0.2">
      <c r="A12" s="489">
        <v>51103</v>
      </c>
      <c r="B12" s="496" t="s">
        <v>127</v>
      </c>
      <c r="C12" s="306">
        <f>CONSOLIDADO!AH13</f>
        <v>20520</v>
      </c>
      <c r="D12" s="310"/>
      <c r="E12" s="529"/>
    </row>
    <row r="13" spans="1:7" s="44" customFormat="1" ht="12.75" hidden="1" customHeight="1" x14ac:dyDescent="0.2">
      <c r="A13" s="489">
        <v>51104</v>
      </c>
      <c r="B13" s="496" t="s">
        <v>128</v>
      </c>
      <c r="C13" s="306"/>
      <c r="D13" s="310"/>
      <c r="E13" s="527"/>
      <c r="G13" s="43"/>
    </row>
    <row r="14" spans="1:7" ht="18" customHeight="1" x14ac:dyDescent="0.2">
      <c r="A14" s="488" t="s">
        <v>129</v>
      </c>
      <c r="B14" s="496" t="s">
        <v>130</v>
      </c>
      <c r="C14" s="306">
        <f>CONSOLIDADO!AH15</f>
        <v>72000</v>
      </c>
      <c r="D14" s="528"/>
      <c r="E14" s="529"/>
    </row>
    <row r="15" spans="1:7" s="44" customFormat="1" ht="18" customHeight="1" x14ac:dyDescent="0.2">
      <c r="A15" s="488" t="s">
        <v>131</v>
      </c>
      <c r="B15" s="496" t="s">
        <v>132</v>
      </c>
      <c r="C15" s="306">
        <f>CONSOLIDADO!AH16</f>
        <v>15116.86</v>
      </c>
      <c r="D15" s="310"/>
      <c r="E15" s="527"/>
      <c r="G15" s="43"/>
    </row>
    <row r="16" spans="1:7" ht="12.75" hidden="1" x14ac:dyDescent="0.2">
      <c r="A16" s="490" t="s">
        <v>133</v>
      </c>
      <c r="B16" s="497" t="s">
        <v>134</v>
      </c>
      <c r="C16" s="306"/>
      <c r="D16" s="310">
        <f>SUM(C17:C20)</f>
        <v>0</v>
      </c>
      <c r="E16" s="529"/>
    </row>
    <row r="17" spans="1:5" ht="12.75" hidden="1" customHeight="1" x14ac:dyDescent="0.2">
      <c r="A17" s="488" t="s">
        <v>135</v>
      </c>
      <c r="B17" s="496" t="s">
        <v>125</v>
      </c>
      <c r="C17" s="306">
        <f>CONSOLIDADO!AH18</f>
        <v>0</v>
      </c>
      <c r="D17" s="528"/>
      <c r="E17" s="529"/>
    </row>
    <row r="18" spans="1:5" ht="18" hidden="1" customHeight="1" x14ac:dyDescent="0.2">
      <c r="A18" s="489">
        <v>51202</v>
      </c>
      <c r="B18" s="498" t="s">
        <v>136</v>
      </c>
      <c r="C18" s="306">
        <f>CONSOLIDADO!AH19</f>
        <v>0</v>
      </c>
      <c r="D18" s="310"/>
      <c r="E18" s="529"/>
    </row>
    <row r="19" spans="1:5" s="44" customFormat="1" ht="12.75" hidden="1" customHeight="1" x14ac:dyDescent="0.2">
      <c r="A19" s="488" t="s">
        <v>137</v>
      </c>
      <c r="B19" s="496" t="s">
        <v>127</v>
      </c>
      <c r="C19" s="306"/>
      <c r="D19" s="310"/>
      <c r="E19" s="527"/>
    </row>
    <row r="20" spans="1:5" s="44" customFormat="1" ht="12.75" hidden="1" customHeight="1" x14ac:dyDescent="0.2">
      <c r="A20" s="488" t="s">
        <v>138</v>
      </c>
      <c r="B20" s="496" t="s">
        <v>132</v>
      </c>
      <c r="C20" s="306"/>
      <c r="D20" s="310"/>
      <c r="E20" s="527"/>
    </row>
    <row r="21" spans="1:5" ht="18" customHeight="1" x14ac:dyDescent="0.2">
      <c r="A21" s="490" t="s">
        <v>139</v>
      </c>
      <c r="B21" s="497" t="s">
        <v>140</v>
      </c>
      <c r="C21" s="306"/>
      <c r="D21" s="310">
        <f>SUM(C22:C23)</f>
        <v>200</v>
      </c>
      <c r="E21" s="529"/>
    </row>
    <row r="22" spans="1:5" ht="18" customHeight="1" x14ac:dyDescent="0.2">
      <c r="A22" s="489">
        <v>51301</v>
      </c>
      <c r="B22" s="498" t="s">
        <v>141</v>
      </c>
      <c r="C22" s="306">
        <f>+CONSOLIDADO!AH23</f>
        <v>200</v>
      </c>
      <c r="D22" s="310"/>
      <c r="E22" s="529"/>
    </row>
    <row r="23" spans="1:5" s="44" customFormat="1" ht="12.75" hidden="1" customHeight="1" x14ac:dyDescent="0.2">
      <c r="A23" s="489">
        <v>51302</v>
      </c>
      <c r="B23" s="498" t="s">
        <v>142</v>
      </c>
      <c r="C23" s="306"/>
      <c r="D23" s="310"/>
      <c r="E23" s="527"/>
    </row>
    <row r="24" spans="1:5" ht="12.75" x14ac:dyDescent="0.2">
      <c r="A24" s="487">
        <v>514</v>
      </c>
      <c r="B24" s="499" t="s">
        <v>143</v>
      </c>
      <c r="C24" s="306"/>
      <c r="D24" s="310">
        <f>SUM(C25:C26)</f>
        <v>23895.770000000004</v>
      </c>
      <c r="E24" s="529"/>
    </row>
    <row r="25" spans="1:5" ht="18" customHeight="1" x14ac:dyDescent="0.2">
      <c r="A25" s="488" t="s">
        <v>144</v>
      </c>
      <c r="B25" s="496" t="s">
        <v>145</v>
      </c>
      <c r="C25" s="306">
        <f>CONSOLIDADO!AH26</f>
        <v>23895.770000000004</v>
      </c>
      <c r="D25" s="310"/>
      <c r="E25" s="529"/>
    </row>
    <row r="26" spans="1:5" ht="12.75" hidden="1" customHeight="1" x14ac:dyDescent="0.2">
      <c r="A26" s="488" t="s">
        <v>146</v>
      </c>
      <c r="B26" s="496" t="s">
        <v>147</v>
      </c>
      <c r="C26" s="306"/>
      <c r="D26" s="528"/>
      <c r="E26" s="529"/>
    </row>
    <row r="27" spans="1:5" s="44" customFormat="1" ht="12.75" x14ac:dyDescent="0.2">
      <c r="A27" s="487">
        <v>515</v>
      </c>
      <c r="B27" s="499" t="s">
        <v>148</v>
      </c>
      <c r="C27" s="306"/>
      <c r="D27" s="310">
        <f>SUM(C28:C29)</f>
        <v>18588.599999999999</v>
      </c>
      <c r="E27" s="527"/>
    </row>
    <row r="28" spans="1:5" s="44" customFormat="1" ht="18" customHeight="1" x14ac:dyDescent="0.2">
      <c r="A28" s="488" t="s">
        <v>149</v>
      </c>
      <c r="B28" s="496" t="s">
        <v>145</v>
      </c>
      <c r="C28" s="306">
        <f>CONSOLIDADO!AH29</f>
        <v>18588.599999999999</v>
      </c>
      <c r="D28" s="310"/>
      <c r="E28" s="527"/>
    </row>
    <row r="29" spans="1:5" ht="12.75" hidden="1" customHeight="1" x14ac:dyDescent="0.2">
      <c r="A29" s="488" t="s">
        <v>150</v>
      </c>
      <c r="B29" s="496" t="s">
        <v>147</v>
      </c>
      <c r="C29" s="306"/>
      <c r="D29" s="310"/>
      <c r="E29" s="529"/>
    </row>
    <row r="30" spans="1:5" s="44" customFormat="1" ht="18" customHeight="1" x14ac:dyDescent="0.2">
      <c r="A30" s="490" t="s">
        <v>151</v>
      </c>
      <c r="B30" s="497" t="s">
        <v>152</v>
      </c>
      <c r="C30" s="306"/>
      <c r="D30" s="310">
        <f>SUM(C31:C32)</f>
        <v>7200</v>
      </c>
      <c r="E30" s="527"/>
    </row>
    <row r="31" spans="1:5" s="44" customFormat="1" ht="18" customHeight="1" x14ac:dyDescent="0.2">
      <c r="A31" s="489">
        <v>51601</v>
      </c>
      <c r="B31" s="498" t="s">
        <v>153</v>
      </c>
      <c r="C31" s="306">
        <f>+CONSOLIDADO!AH32</f>
        <v>7200</v>
      </c>
      <c r="D31" s="310"/>
      <c r="E31" s="527"/>
    </row>
    <row r="32" spans="1:5" ht="18" customHeight="1" x14ac:dyDescent="0.2">
      <c r="A32" s="489">
        <v>51602</v>
      </c>
      <c r="B32" s="498" t="s">
        <v>154</v>
      </c>
      <c r="C32" s="306"/>
      <c r="D32" s="528"/>
      <c r="E32" s="529"/>
    </row>
    <row r="33" spans="1:6" ht="18" customHeight="1" x14ac:dyDescent="0.2">
      <c r="A33" s="487">
        <v>517</v>
      </c>
      <c r="B33" s="500" t="s">
        <v>155</v>
      </c>
      <c r="C33" s="306"/>
      <c r="D33" s="310">
        <f>SUM(C34:C35)</f>
        <v>328.57</v>
      </c>
      <c r="E33" s="529"/>
    </row>
    <row r="34" spans="1:6" s="44" customFormat="1" ht="18" customHeight="1" x14ac:dyDescent="0.2">
      <c r="A34" s="489">
        <v>51701</v>
      </c>
      <c r="B34" s="498" t="s">
        <v>156</v>
      </c>
      <c r="C34" s="306">
        <f>CONSOLIDADO!AH35</f>
        <v>328.57</v>
      </c>
      <c r="D34" s="310"/>
      <c r="E34" s="527"/>
    </row>
    <row r="35" spans="1:6" s="44" customFormat="1" ht="12.75" hidden="1" customHeight="1" x14ac:dyDescent="0.2">
      <c r="A35" s="489">
        <v>51702</v>
      </c>
      <c r="B35" s="498" t="s">
        <v>157</v>
      </c>
      <c r="C35" s="306"/>
      <c r="D35" s="310"/>
      <c r="E35" s="527"/>
    </row>
    <row r="36" spans="1:6" ht="12.75" hidden="1" customHeight="1" x14ac:dyDescent="0.2">
      <c r="A36" s="487">
        <v>518</v>
      </c>
      <c r="B36" s="500" t="s">
        <v>158</v>
      </c>
      <c r="C36" s="306"/>
      <c r="D36" s="310">
        <f>SUM(C37)</f>
        <v>0</v>
      </c>
      <c r="E36" s="529"/>
    </row>
    <row r="37" spans="1:6" ht="12.75" hidden="1" customHeight="1" x14ac:dyDescent="0.2">
      <c r="A37" s="489">
        <v>51803</v>
      </c>
      <c r="B37" s="498" t="s">
        <v>159</v>
      </c>
      <c r="C37" s="306"/>
      <c r="D37" s="528"/>
      <c r="E37" s="529"/>
    </row>
    <row r="38" spans="1:6" s="44" customFormat="1" ht="18" customHeight="1" x14ac:dyDescent="0.2">
      <c r="A38" s="487">
        <v>519</v>
      </c>
      <c r="B38" s="500" t="s">
        <v>160</v>
      </c>
      <c r="C38" s="306"/>
      <c r="D38" s="310">
        <f>SUM(C39:C40)</f>
        <v>7200</v>
      </c>
      <c r="E38" s="527"/>
    </row>
    <row r="39" spans="1:6" s="44" customFormat="1" ht="18" customHeight="1" x14ac:dyDescent="0.2">
      <c r="A39" s="489">
        <v>51901</v>
      </c>
      <c r="B39" s="498" t="s">
        <v>161</v>
      </c>
      <c r="C39" s="306">
        <f>CONSOLIDADO!AH40</f>
        <v>7200</v>
      </c>
      <c r="D39" s="310"/>
      <c r="E39" s="527"/>
    </row>
    <row r="40" spans="1:6" ht="18" hidden="1" customHeight="1" x14ac:dyDescent="0.2">
      <c r="A40" s="489">
        <v>51999</v>
      </c>
      <c r="B40" s="498" t="s">
        <v>160</v>
      </c>
      <c r="C40" s="306">
        <f>CONSOLIDADO!AH41</f>
        <v>0</v>
      </c>
      <c r="D40" s="528"/>
      <c r="E40" s="529"/>
    </row>
    <row r="41" spans="1:6" s="44" customFormat="1" ht="7.5" customHeight="1" x14ac:dyDescent="0.2">
      <c r="A41" s="489"/>
      <c r="B41" s="501"/>
      <c r="C41" s="306"/>
      <c r="D41" s="310"/>
      <c r="E41" s="527"/>
    </row>
    <row r="42" spans="1:6" ht="12.75" x14ac:dyDescent="0.2">
      <c r="A42" s="487">
        <v>54</v>
      </c>
      <c r="B42" s="502" t="s">
        <v>27</v>
      </c>
      <c r="C42" s="306"/>
      <c r="D42" s="528"/>
      <c r="E42" s="527">
        <f>SUM(D43:D94)</f>
        <v>262621.27</v>
      </c>
      <c r="F42" s="44"/>
    </row>
    <row r="43" spans="1:6" s="44" customFormat="1" ht="12.75" x14ac:dyDescent="0.2">
      <c r="A43" s="487">
        <v>541</v>
      </c>
      <c r="B43" s="502" t="s">
        <v>28</v>
      </c>
      <c r="C43" s="306"/>
      <c r="D43" s="310">
        <f>SUM(C44:C62)</f>
        <v>37546</v>
      </c>
      <c r="E43" s="527"/>
    </row>
    <row r="44" spans="1:6" ht="18" customHeight="1" x14ac:dyDescent="0.2">
      <c r="A44" s="489">
        <v>54101</v>
      </c>
      <c r="B44" s="501" t="s">
        <v>29</v>
      </c>
      <c r="C44" s="306">
        <f>CONSOLIDADO!AH45</f>
        <v>1700</v>
      </c>
      <c r="D44" s="528"/>
      <c r="E44" s="529"/>
    </row>
    <row r="45" spans="1:6" ht="12.75" hidden="1" customHeight="1" x14ac:dyDescent="0.2">
      <c r="A45" s="489">
        <v>54103</v>
      </c>
      <c r="B45" s="501" t="s">
        <v>30</v>
      </c>
      <c r="C45" s="306"/>
      <c r="D45" s="528"/>
      <c r="E45" s="529"/>
    </row>
    <row r="46" spans="1:6" ht="18" customHeight="1" x14ac:dyDescent="0.2">
      <c r="A46" s="489">
        <v>54104</v>
      </c>
      <c r="B46" s="501" t="s">
        <v>31</v>
      </c>
      <c r="C46" s="306">
        <f>CONSOLIDADO!AH47</f>
        <v>2550</v>
      </c>
      <c r="D46" s="528"/>
      <c r="E46" s="529"/>
    </row>
    <row r="47" spans="1:6" ht="18" customHeight="1" x14ac:dyDescent="0.2">
      <c r="A47" s="489">
        <v>54105</v>
      </c>
      <c r="B47" s="501" t="s">
        <v>32</v>
      </c>
      <c r="C47" s="306">
        <f>CONSOLIDADO!AH48</f>
        <v>4250</v>
      </c>
      <c r="D47" s="528"/>
      <c r="E47" s="529"/>
    </row>
    <row r="48" spans="1:6" s="44" customFormat="1" ht="12.75" hidden="1" customHeight="1" x14ac:dyDescent="0.2">
      <c r="A48" s="489">
        <v>54106</v>
      </c>
      <c r="B48" s="501" t="s">
        <v>33</v>
      </c>
      <c r="C48" s="306">
        <f>CONSOLIDADO!AH49</f>
        <v>0</v>
      </c>
      <c r="D48" s="310"/>
      <c r="E48" s="527"/>
    </row>
    <row r="49" spans="1:5" s="44" customFormat="1" ht="18" customHeight="1" x14ac:dyDescent="0.2">
      <c r="A49" s="489">
        <v>54107</v>
      </c>
      <c r="B49" s="501" t="s">
        <v>34</v>
      </c>
      <c r="C49" s="306">
        <f>CONSOLIDADO!AH50</f>
        <v>1700</v>
      </c>
      <c r="D49" s="310"/>
      <c r="E49" s="527"/>
    </row>
    <row r="50" spans="1:5" ht="18" hidden="1" customHeight="1" x14ac:dyDescent="0.2">
      <c r="A50" s="489">
        <v>54108</v>
      </c>
      <c r="B50" s="501" t="s">
        <v>35</v>
      </c>
      <c r="C50" s="306">
        <f>CONSOLIDADO!AH51</f>
        <v>0</v>
      </c>
      <c r="D50" s="528"/>
      <c r="E50" s="529"/>
    </row>
    <row r="51" spans="1:5" ht="18" customHeight="1" x14ac:dyDescent="0.2">
      <c r="A51" s="489">
        <v>54109</v>
      </c>
      <c r="B51" s="501" t="s">
        <v>36</v>
      </c>
      <c r="C51" s="306">
        <f>CONSOLIDADO!AH52</f>
        <v>3096</v>
      </c>
      <c r="D51" s="528"/>
      <c r="E51" s="529"/>
    </row>
    <row r="52" spans="1:5" s="44" customFormat="1" ht="18" customHeight="1" x14ac:dyDescent="0.2">
      <c r="A52" s="489">
        <v>54110</v>
      </c>
      <c r="B52" s="501" t="s">
        <v>37</v>
      </c>
      <c r="C52" s="306">
        <f>CONSOLIDADO!AH53</f>
        <v>8500</v>
      </c>
      <c r="D52" s="310"/>
      <c r="E52" s="527"/>
    </row>
    <row r="53" spans="1:5" s="44" customFormat="1" ht="18" customHeight="1" x14ac:dyDescent="0.2">
      <c r="A53" s="489">
        <v>54111</v>
      </c>
      <c r="B53" s="501" t="s">
        <v>38</v>
      </c>
      <c r="C53" s="306">
        <f>CONSOLIDADO!AH54</f>
        <v>50</v>
      </c>
      <c r="D53" s="310"/>
      <c r="E53" s="527"/>
    </row>
    <row r="54" spans="1:5" ht="18" customHeight="1" x14ac:dyDescent="0.2">
      <c r="A54" s="489">
        <v>54112</v>
      </c>
      <c r="B54" s="501" t="s">
        <v>39</v>
      </c>
      <c r="C54" s="306">
        <f>+CONSOLIDADO!AH55</f>
        <v>50</v>
      </c>
      <c r="D54" s="310"/>
      <c r="E54" s="529"/>
    </row>
    <row r="55" spans="1:5" s="44" customFormat="1" ht="18" customHeight="1" x14ac:dyDescent="0.2">
      <c r="A55" s="489">
        <v>54114</v>
      </c>
      <c r="B55" s="501" t="s">
        <v>40</v>
      </c>
      <c r="C55" s="306">
        <f>CONSOLIDADO!AH56</f>
        <v>1850</v>
      </c>
      <c r="D55" s="310"/>
      <c r="E55" s="527"/>
    </row>
    <row r="56" spans="1:5" s="44" customFormat="1" ht="18" customHeight="1" x14ac:dyDescent="0.2">
      <c r="A56" s="489">
        <v>54115</v>
      </c>
      <c r="B56" s="501" t="s">
        <v>41</v>
      </c>
      <c r="C56" s="306">
        <f>CONSOLIDADO!AH57</f>
        <v>2450</v>
      </c>
      <c r="D56" s="310"/>
      <c r="E56" s="527"/>
    </row>
    <row r="57" spans="1:5" ht="12.75" hidden="1" customHeight="1" x14ac:dyDescent="0.2">
      <c r="A57" s="489">
        <v>54116</v>
      </c>
      <c r="B57" s="501" t="s">
        <v>42</v>
      </c>
      <c r="C57" s="306">
        <f>CONSOLIDADO!AH58</f>
        <v>350</v>
      </c>
      <c r="D57" s="528"/>
      <c r="E57" s="529"/>
    </row>
    <row r="58" spans="1:5" ht="12.75" hidden="1" customHeight="1" x14ac:dyDescent="0.2">
      <c r="A58" s="489">
        <v>54117</v>
      </c>
      <c r="B58" s="501" t="s">
        <v>43</v>
      </c>
      <c r="C58" s="306">
        <f>CONSOLIDADO!AH59</f>
        <v>0</v>
      </c>
      <c r="D58" s="528"/>
      <c r="E58" s="529"/>
    </row>
    <row r="59" spans="1:5" ht="18" customHeight="1" x14ac:dyDescent="0.2">
      <c r="A59" s="489">
        <v>54118</v>
      </c>
      <c r="B59" s="501" t="s">
        <v>44</v>
      </c>
      <c r="C59" s="306">
        <f>CONSOLIDADO!AH60</f>
        <v>2650</v>
      </c>
      <c r="D59" s="528"/>
      <c r="E59" s="529"/>
    </row>
    <row r="60" spans="1:5" ht="18" customHeight="1" x14ac:dyDescent="0.2">
      <c r="A60" s="489">
        <v>54119</v>
      </c>
      <c r="B60" s="501" t="s">
        <v>45</v>
      </c>
      <c r="C60" s="306">
        <f>CONSOLIDADO!AH61</f>
        <v>450</v>
      </c>
      <c r="D60" s="528"/>
      <c r="E60" s="529"/>
    </row>
    <row r="61" spans="1:5" ht="18" customHeight="1" x14ac:dyDescent="0.2">
      <c r="A61" s="489">
        <v>54121</v>
      </c>
      <c r="B61" s="501" t="s">
        <v>46</v>
      </c>
      <c r="C61" s="306">
        <f>CONSOLIDADO!AH62</f>
        <v>4000</v>
      </c>
      <c r="D61" s="528"/>
      <c r="E61" s="529"/>
    </row>
    <row r="62" spans="1:5" ht="12.75" x14ac:dyDescent="0.2">
      <c r="A62" s="489">
        <v>54199</v>
      </c>
      <c r="B62" s="501" t="s">
        <v>47</v>
      </c>
      <c r="C62" s="306">
        <f>CONSOLIDADO!AH63</f>
        <v>3900</v>
      </c>
      <c r="D62" s="528"/>
      <c r="E62" s="529"/>
    </row>
    <row r="63" spans="1:5" ht="12.75" hidden="1" customHeight="1" x14ac:dyDescent="0.2">
      <c r="A63" s="151"/>
      <c r="B63" s="501"/>
      <c r="C63" s="306"/>
      <c r="D63" s="528"/>
      <c r="E63" s="530"/>
    </row>
    <row r="64" spans="1:5" ht="12.75" hidden="1" customHeight="1" x14ac:dyDescent="0.2">
      <c r="A64" s="151"/>
      <c r="B64" s="501"/>
      <c r="C64" s="306"/>
      <c r="D64" s="528"/>
      <c r="E64" s="530"/>
    </row>
    <row r="65" spans="1:5" ht="12.75" hidden="1" customHeight="1" x14ac:dyDescent="0.2">
      <c r="A65" s="151"/>
      <c r="B65" s="501"/>
      <c r="C65" s="306"/>
      <c r="D65" s="528"/>
      <c r="E65" s="530"/>
    </row>
    <row r="66" spans="1:5" ht="12.75" hidden="1" customHeight="1" x14ac:dyDescent="0.2">
      <c r="A66" s="151"/>
      <c r="B66" s="501"/>
      <c r="C66" s="306"/>
      <c r="D66" s="528"/>
      <c r="E66" s="530"/>
    </row>
    <row r="67" spans="1:5" ht="18" customHeight="1" x14ac:dyDescent="0.2">
      <c r="A67" s="487">
        <v>542</v>
      </c>
      <c r="B67" s="502" t="s">
        <v>48</v>
      </c>
      <c r="C67" s="306"/>
      <c r="D67" s="310">
        <f>SUM(C68:C72)</f>
        <v>203345.27</v>
      </c>
      <c r="E67" s="529"/>
    </row>
    <row r="68" spans="1:5" ht="18" customHeight="1" x14ac:dyDescent="0.2">
      <c r="A68" s="508">
        <v>54201</v>
      </c>
      <c r="B68" s="509" t="s">
        <v>49</v>
      </c>
      <c r="C68" s="531">
        <f>CONSOLIDADO!AH65</f>
        <v>171945.27</v>
      </c>
      <c r="D68" s="532"/>
      <c r="E68" s="533"/>
    </row>
    <row r="69" spans="1:5" ht="18" customHeight="1" x14ac:dyDescent="0.2">
      <c r="A69" s="489">
        <v>54202</v>
      </c>
      <c r="B69" s="501" t="s">
        <v>50</v>
      </c>
      <c r="C69" s="306">
        <f>CONSOLIDADO!AH66</f>
        <v>1900</v>
      </c>
      <c r="D69" s="528"/>
      <c r="E69" s="529"/>
    </row>
    <row r="70" spans="1:5" ht="18" customHeight="1" x14ac:dyDescent="0.2">
      <c r="A70" s="489">
        <v>54203</v>
      </c>
      <c r="B70" s="501" t="s">
        <v>51</v>
      </c>
      <c r="C70" s="306">
        <f>CONSOLIDADO!AH67</f>
        <v>11000</v>
      </c>
      <c r="D70" s="528"/>
      <c r="E70" s="529"/>
    </row>
    <row r="71" spans="1:5" ht="12.75" hidden="1" customHeight="1" x14ac:dyDescent="0.2">
      <c r="A71" s="489">
        <v>54204</v>
      </c>
      <c r="B71" s="501" t="s">
        <v>52</v>
      </c>
      <c r="C71" s="306">
        <f>CONSOLIDADO!AH68</f>
        <v>0</v>
      </c>
      <c r="D71" s="528"/>
      <c r="E71" s="529"/>
    </row>
    <row r="72" spans="1:5" ht="18" customHeight="1" x14ac:dyDescent="0.2">
      <c r="A72" s="489">
        <v>54205</v>
      </c>
      <c r="B72" s="501" t="s">
        <v>53</v>
      </c>
      <c r="C72" s="306">
        <f>CONSOLIDADO!AH69</f>
        <v>18500</v>
      </c>
      <c r="D72" s="310"/>
      <c r="E72" s="529"/>
    </row>
    <row r="73" spans="1:5" ht="18" customHeight="1" x14ac:dyDescent="0.2">
      <c r="A73" s="487">
        <v>543</v>
      </c>
      <c r="B73" s="502" t="s">
        <v>54</v>
      </c>
      <c r="C73" s="306"/>
      <c r="D73" s="310">
        <f>SUM(C74:C88)</f>
        <v>20680</v>
      </c>
      <c r="E73" s="529"/>
    </row>
    <row r="74" spans="1:5" ht="18" customHeight="1" x14ac:dyDescent="0.2">
      <c r="A74" s="489">
        <v>54301</v>
      </c>
      <c r="B74" s="501" t="s">
        <v>55</v>
      </c>
      <c r="C74" s="306">
        <f>CONSOLIDADO!AH71</f>
        <v>2100</v>
      </c>
      <c r="D74" s="528"/>
      <c r="E74" s="529"/>
    </row>
    <row r="75" spans="1:5" ht="18" customHeight="1" x14ac:dyDescent="0.2">
      <c r="A75" s="489">
        <v>54302</v>
      </c>
      <c r="B75" s="501" t="s">
        <v>56</v>
      </c>
      <c r="C75" s="306">
        <f>CONSOLIDADO!AH72</f>
        <v>6000</v>
      </c>
      <c r="D75" s="528"/>
      <c r="E75" s="529"/>
    </row>
    <row r="76" spans="1:5" ht="18" hidden="1" customHeight="1" x14ac:dyDescent="0.2">
      <c r="A76" s="489">
        <v>54303</v>
      </c>
      <c r="B76" s="501" t="s">
        <v>57</v>
      </c>
      <c r="C76" s="306">
        <f>CONSOLIDADO!AH73</f>
        <v>0</v>
      </c>
      <c r="D76" s="528"/>
      <c r="E76" s="529"/>
    </row>
    <row r="77" spans="1:5" ht="18" customHeight="1" x14ac:dyDescent="0.2">
      <c r="A77" s="489">
        <v>54304</v>
      </c>
      <c r="B77" s="501" t="s">
        <v>58</v>
      </c>
      <c r="C77" s="306">
        <f>CONSOLIDADO!AH74</f>
        <v>2000</v>
      </c>
      <c r="D77" s="528"/>
      <c r="E77" s="529"/>
    </row>
    <row r="78" spans="1:5" ht="18" customHeight="1" x14ac:dyDescent="0.2">
      <c r="A78" s="489">
        <v>54305</v>
      </c>
      <c r="B78" s="501" t="s">
        <v>59</v>
      </c>
      <c r="C78" s="306">
        <f>CONSOLIDADO!AH75</f>
        <v>100</v>
      </c>
      <c r="D78" s="528"/>
      <c r="E78" s="529"/>
    </row>
    <row r="79" spans="1:5" ht="18" hidden="1" customHeight="1" x14ac:dyDescent="0.2">
      <c r="A79" s="489">
        <v>54306</v>
      </c>
      <c r="B79" s="501" t="s">
        <v>60</v>
      </c>
      <c r="C79" s="306"/>
      <c r="D79" s="528"/>
      <c r="E79" s="529"/>
    </row>
    <row r="80" spans="1:5" ht="18" customHeight="1" x14ac:dyDescent="0.2">
      <c r="A80" s="489">
        <v>54307</v>
      </c>
      <c r="B80" s="501" t="s">
        <v>61</v>
      </c>
      <c r="C80" s="306">
        <f>CONSOLIDADO!AH77</f>
        <v>1280</v>
      </c>
      <c r="D80" s="528"/>
      <c r="E80" s="527"/>
    </row>
    <row r="81" spans="1:5" ht="12.75" hidden="1" customHeight="1" x14ac:dyDescent="0.2">
      <c r="A81" s="489">
        <v>54309</v>
      </c>
      <c r="B81" s="501" t="s">
        <v>62</v>
      </c>
      <c r="C81" s="306"/>
      <c r="D81" s="310"/>
      <c r="E81" s="529"/>
    </row>
    <row r="82" spans="1:5" ht="12.75" hidden="1" customHeight="1" x14ac:dyDescent="0.2">
      <c r="A82" s="489">
        <v>54310</v>
      </c>
      <c r="B82" s="501" t="s">
        <v>63</v>
      </c>
      <c r="C82" s="306"/>
      <c r="D82" s="528"/>
      <c r="E82" s="529"/>
    </row>
    <row r="83" spans="1:5" ht="12.75" hidden="1" customHeight="1" x14ac:dyDescent="0.2">
      <c r="A83" s="489">
        <v>54311</v>
      </c>
      <c r="B83" s="501" t="s">
        <v>64</v>
      </c>
      <c r="C83" s="306"/>
      <c r="D83" s="528"/>
      <c r="E83" s="529"/>
    </row>
    <row r="84" spans="1:5" ht="12.75" hidden="1" customHeight="1" x14ac:dyDescent="0.2">
      <c r="A84" s="489">
        <v>54313</v>
      </c>
      <c r="B84" s="501" t="s">
        <v>65</v>
      </c>
      <c r="C84" s="306"/>
      <c r="D84" s="310"/>
      <c r="E84" s="529"/>
    </row>
    <row r="85" spans="1:5" ht="18" customHeight="1" x14ac:dyDescent="0.2">
      <c r="A85" s="489">
        <v>54314</v>
      </c>
      <c r="B85" s="501" t="s">
        <v>66</v>
      </c>
      <c r="C85" s="306">
        <f>CONSOLIDADO!AH82</f>
        <v>3500</v>
      </c>
      <c r="D85" s="528"/>
      <c r="E85" s="529"/>
    </row>
    <row r="86" spans="1:5" ht="12.75" hidden="1" customHeight="1" x14ac:dyDescent="0.2">
      <c r="A86" s="489">
        <v>54316</v>
      </c>
      <c r="B86" s="501" t="s">
        <v>67</v>
      </c>
      <c r="C86" s="306"/>
      <c r="D86" s="528"/>
      <c r="E86" s="529"/>
    </row>
    <row r="87" spans="1:5" ht="18" customHeight="1" x14ac:dyDescent="0.2">
      <c r="A87" s="489">
        <v>54317</v>
      </c>
      <c r="B87" s="501" t="s">
        <v>68</v>
      </c>
      <c r="C87" s="306">
        <f>CONSOLIDADO!AH84</f>
        <v>4500</v>
      </c>
      <c r="D87" s="528"/>
      <c r="E87" s="527"/>
    </row>
    <row r="88" spans="1:5" ht="18" customHeight="1" x14ac:dyDescent="0.2">
      <c r="A88" s="489">
        <v>54399</v>
      </c>
      <c r="B88" s="501" t="s">
        <v>69</v>
      </c>
      <c r="C88" s="306">
        <f>CONSOLIDADO!AH85</f>
        <v>1200</v>
      </c>
      <c r="D88" s="310"/>
      <c r="E88" s="529"/>
    </row>
    <row r="89" spans="1:5" ht="12.75" x14ac:dyDescent="0.2">
      <c r="A89" s="487">
        <v>544</v>
      </c>
      <c r="B89" s="502" t="s">
        <v>70</v>
      </c>
      <c r="C89" s="306"/>
      <c r="D89" s="310">
        <f>SUM(C90:C93)</f>
        <v>800</v>
      </c>
      <c r="E89" s="529"/>
    </row>
    <row r="90" spans="1:5" ht="18" customHeight="1" x14ac:dyDescent="0.2">
      <c r="A90" s="489">
        <v>54401</v>
      </c>
      <c r="B90" s="501" t="s">
        <v>71</v>
      </c>
      <c r="C90" s="306">
        <f>CONSOLIDADO!AH87</f>
        <v>200</v>
      </c>
      <c r="D90" s="528"/>
      <c r="E90" s="529"/>
    </row>
    <row r="91" spans="1:5" ht="12.75" hidden="1" customHeight="1" x14ac:dyDescent="0.2">
      <c r="A91" s="489">
        <v>54402</v>
      </c>
      <c r="B91" s="501" t="s">
        <v>72</v>
      </c>
      <c r="C91" s="306">
        <f>CONSOLIDADO!AH88</f>
        <v>0</v>
      </c>
      <c r="D91" s="528"/>
      <c r="E91" s="529"/>
    </row>
    <row r="92" spans="1:5" ht="18" customHeight="1" x14ac:dyDescent="0.2">
      <c r="A92" s="489">
        <v>54403</v>
      </c>
      <c r="B92" s="501" t="s">
        <v>73</v>
      </c>
      <c r="C92" s="306">
        <f>CONSOLIDADO!AH89</f>
        <v>600</v>
      </c>
      <c r="D92" s="528"/>
      <c r="E92" s="529"/>
    </row>
    <row r="93" spans="1:5" ht="12.75" hidden="1" customHeight="1" x14ac:dyDescent="0.2">
      <c r="A93" s="489">
        <v>54404</v>
      </c>
      <c r="B93" s="501" t="s">
        <v>74</v>
      </c>
      <c r="C93" s="306">
        <f>CONSOLIDADO!AH90</f>
        <v>0</v>
      </c>
      <c r="D93" s="528"/>
      <c r="E93" s="529"/>
    </row>
    <row r="94" spans="1:5" ht="12.75" x14ac:dyDescent="0.2">
      <c r="A94" s="487">
        <v>545</v>
      </c>
      <c r="B94" s="502" t="s">
        <v>75</v>
      </c>
      <c r="C94" s="306"/>
      <c r="D94" s="310">
        <f>C95+C96</f>
        <v>250</v>
      </c>
      <c r="E94" s="529"/>
    </row>
    <row r="95" spans="1:5" ht="18" customHeight="1" x14ac:dyDescent="0.2">
      <c r="A95" s="489">
        <v>54503</v>
      </c>
      <c r="B95" s="501" t="s">
        <v>77</v>
      </c>
      <c r="C95" s="306">
        <f>+CONSOLIDADO!AH92</f>
        <v>250</v>
      </c>
      <c r="D95" s="528"/>
      <c r="E95" s="529"/>
    </row>
    <row r="96" spans="1:5" ht="18" hidden="1" customHeight="1" x14ac:dyDescent="0.2">
      <c r="A96" s="489">
        <v>54599</v>
      </c>
      <c r="B96" s="501" t="s">
        <v>502</v>
      </c>
      <c r="C96" s="306">
        <f>+CONSOLIDADO!AH93</f>
        <v>0</v>
      </c>
      <c r="D96" s="528"/>
      <c r="E96" s="529"/>
    </row>
    <row r="97" spans="1:7" ht="18" customHeight="1" x14ac:dyDescent="0.2">
      <c r="A97" s="487">
        <v>55</v>
      </c>
      <c r="B97" s="502" t="s">
        <v>83</v>
      </c>
      <c r="C97" s="306"/>
      <c r="D97" s="310"/>
      <c r="E97" s="527">
        <f>SUM(D98:D113)</f>
        <v>128418.59</v>
      </c>
      <c r="G97" s="706"/>
    </row>
    <row r="98" spans="1:7" ht="15.75" customHeight="1" x14ac:dyDescent="0.2">
      <c r="A98" s="487">
        <v>553</v>
      </c>
      <c r="B98" s="499" t="s">
        <v>84</v>
      </c>
      <c r="C98" s="306"/>
      <c r="D98" s="310">
        <f>SUM(C99:C103)</f>
        <v>124656.5</v>
      </c>
      <c r="E98" s="527"/>
    </row>
    <row r="99" spans="1:7" ht="18" customHeight="1" x14ac:dyDescent="0.2">
      <c r="A99" s="489">
        <v>55302</v>
      </c>
      <c r="B99" s="503" t="s">
        <v>516</v>
      </c>
      <c r="C99" s="306">
        <f>CONSOLIDADO!AH96</f>
        <v>8538.5299999999988</v>
      </c>
      <c r="D99" s="310"/>
      <c r="E99" s="527"/>
    </row>
    <row r="100" spans="1:7" ht="12.75" hidden="1" customHeight="1" x14ac:dyDescent="0.2">
      <c r="A100" s="489">
        <v>55303</v>
      </c>
      <c r="B100" s="503" t="s">
        <v>85</v>
      </c>
      <c r="C100" s="306"/>
      <c r="D100" s="310"/>
      <c r="E100" s="527"/>
    </row>
    <row r="101" spans="1:7" ht="18" customHeight="1" x14ac:dyDescent="0.2">
      <c r="A101" s="489">
        <v>55304</v>
      </c>
      <c r="B101" s="501" t="s">
        <v>86</v>
      </c>
      <c r="C101" s="306">
        <f>+CONSOLIDADO!AH98</f>
        <v>116117.97</v>
      </c>
      <c r="D101" s="310"/>
      <c r="E101" s="527"/>
    </row>
    <row r="102" spans="1:7" s="47" customFormat="1" ht="12.75" hidden="1" customHeight="1" x14ac:dyDescent="0.2">
      <c r="A102" s="489">
        <v>55306</v>
      </c>
      <c r="B102" s="501" t="s">
        <v>253</v>
      </c>
      <c r="C102" s="306">
        <f>CONSOLIDADO!AH99</f>
        <v>0</v>
      </c>
      <c r="D102" s="205"/>
      <c r="E102" s="534"/>
      <c r="F102" s="46"/>
    </row>
    <row r="103" spans="1:7" ht="12.75" hidden="1" customHeight="1" x14ac:dyDescent="0.2">
      <c r="A103" s="489">
        <v>55308</v>
      </c>
      <c r="B103" s="501" t="s">
        <v>87</v>
      </c>
      <c r="C103" s="306"/>
      <c r="D103" s="310"/>
      <c r="E103" s="527"/>
    </row>
    <row r="104" spans="1:7" ht="18" customHeight="1" x14ac:dyDescent="0.2">
      <c r="A104" s="487">
        <v>555</v>
      </c>
      <c r="B104" s="504" t="s">
        <v>494</v>
      </c>
      <c r="C104" s="306"/>
      <c r="D104" s="310">
        <f>+C105</f>
        <v>148.87</v>
      </c>
      <c r="E104" s="527"/>
    </row>
    <row r="105" spans="1:7" ht="18" customHeight="1" x14ac:dyDescent="0.2">
      <c r="A105" s="489">
        <v>55508</v>
      </c>
      <c r="B105" s="503" t="s">
        <v>340</v>
      </c>
      <c r="C105" s="306">
        <f>CONSOLIDADO!AH102</f>
        <v>148.87</v>
      </c>
      <c r="D105" s="310"/>
      <c r="E105" s="527"/>
    </row>
    <row r="106" spans="1:7" ht="18" customHeight="1" x14ac:dyDescent="0.2">
      <c r="A106" s="487">
        <v>556</v>
      </c>
      <c r="B106" s="502" t="s">
        <v>88</v>
      </c>
      <c r="C106" s="306"/>
      <c r="D106" s="310">
        <f>SUM(C107:C109)</f>
        <v>3613.22</v>
      </c>
      <c r="E106" s="527"/>
    </row>
    <row r="107" spans="1:7" ht="12.75" customHeight="1" x14ac:dyDescent="0.2">
      <c r="A107" s="489">
        <v>55601</v>
      </c>
      <c r="B107" s="501" t="s">
        <v>89</v>
      </c>
      <c r="C107" s="306">
        <f>CONSOLIDADO!AH104</f>
        <v>84.75</v>
      </c>
      <c r="D107" s="310"/>
      <c r="E107" s="527"/>
    </row>
    <row r="108" spans="1:7" ht="18" customHeight="1" x14ac:dyDescent="0.2">
      <c r="A108" s="489">
        <v>55602</v>
      </c>
      <c r="B108" s="501" t="s">
        <v>90</v>
      </c>
      <c r="C108" s="306">
        <f>CONSOLIDADO!AH105</f>
        <v>3378.47</v>
      </c>
      <c r="D108" s="310"/>
      <c r="E108" s="527"/>
    </row>
    <row r="109" spans="1:7" ht="18" customHeight="1" x14ac:dyDescent="0.2">
      <c r="A109" s="489">
        <v>55603</v>
      </c>
      <c r="B109" s="501" t="s">
        <v>91</v>
      </c>
      <c r="C109" s="306">
        <f>CONSOLIDADO!AH106</f>
        <v>150</v>
      </c>
      <c r="D109" s="310"/>
      <c r="E109" s="527"/>
    </row>
    <row r="110" spans="1:7" ht="12.75" hidden="1" customHeight="1" x14ac:dyDescent="0.2">
      <c r="A110" s="487">
        <v>557</v>
      </c>
      <c r="B110" s="502" t="s">
        <v>92</v>
      </c>
      <c r="C110" s="306"/>
      <c r="D110" s="310">
        <f>SUM(C111:C113)</f>
        <v>0</v>
      </c>
      <c r="E110" s="527"/>
    </row>
    <row r="111" spans="1:7" ht="12.75" hidden="1" customHeight="1" x14ac:dyDescent="0.2">
      <c r="A111" s="489">
        <v>55701</v>
      </c>
      <c r="B111" s="501" t="s">
        <v>93</v>
      </c>
      <c r="C111" s="306"/>
      <c r="D111" s="310"/>
      <c r="E111" s="527"/>
    </row>
    <row r="112" spans="1:7" ht="12.75" hidden="1" customHeight="1" x14ac:dyDescent="0.2">
      <c r="A112" s="489">
        <v>55702</v>
      </c>
      <c r="B112" s="501" t="s">
        <v>94</v>
      </c>
      <c r="C112" s="306"/>
      <c r="D112" s="528"/>
      <c r="E112" s="529"/>
    </row>
    <row r="113" spans="1:5" ht="12.75" hidden="1" customHeight="1" x14ac:dyDescent="0.2">
      <c r="A113" s="489">
        <v>55799</v>
      </c>
      <c r="B113" s="501" t="s">
        <v>95</v>
      </c>
      <c r="C113" s="306"/>
      <c r="D113" s="528"/>
      <c r="E113" s="529"/>
    </row>
    <row r="114" spans="1:5" ht="12.75" hidden="1" customHeight="1" x14ac:dyDescent="0.2">
      <c r="A114" s="489"/>
      <c r="B114" s="501"/>
      <c r="C114" s="306"/>
      <c r="D114" s="528"/>
      <c r="E114" s="529"/>
    </row>
    <row r="115" spans="1:5" ht="18" customHeight="1" x14ac:dyDescent="0.2">
      <c r="A115" s="487">
        <v>56</v>
      </c>
      <c r="B115" s="502" t="s">
        <v>96</v>
      </c>
      <c r="C115" s="306"/>
      <c r="D115" s="528"/>
      <c r="E115" s="527">
        <f>SUM(D116:D121)</f>
        <v>20125.16</v>
      </c>
    </row>
    <row r="116" spans="1:5" ht="18" customHeight="1" x14ac:dyDescent="0.2">
      <c r="A116" s="487">
        <v>562</v>
      </c>
      <c r="B116" s="502" t="s">
        <v>97</v>
      </c>
      <c r="C116" s="306"/>
      <c r="D116" s="310">
        <f>SUM(C117:C118)</f>
        <v>15125.16</v>
      </c>
      <c r="E116" s="529"/>
    </row>
    <row r="117" spans="1:5" ht="18" customHeight="1" x14ac:dyDescent="0.2">
      <c r="A117" s="489">
        <v>56201</v>
      </c>
      <c r="B117" s="501" t="s">
        <v>98</v>
      </c>
      <c r="C117" s="306">
        <f>CONSOLIDADO!AH114</f>
        <v>15125.16</v>
      </c>
      <c r="D117" s="528"/>
      <c r="E117" s="529"/>
    </row>
    <row r="118" spans="1:5" ht="12.75" hidden="1" customHeight="1" x14ac:dyDescent="0.2">
      <c r="A118" s="489">
        <v>56202</v>
      </c>
      <c r="B118" s="501" t="s">
        <v>240</v>
      </c>
      <c r="C118" s="306"/>
      <c r="D118" s="528"/>
      <c r="E118" s="529"/>
    </row>
    <row r="119" spans="1:5" ht="18" customHeight="1" x14ac:dyDescent="0.2">
      <c r="A119" s="487">
        <v>563</v>
      </c>
      <c r="B119" s="502" t="s">
        <v>99</v>
      </c>
      <c r="C119" s="306"/>
      <c r="D119" s="310">
        <f>SUM(C120:C121)</f>
        <v>5000</v>
      </c>
      <c r="E119" s="529"/>
    </row>
    <row r="120" spans="1:5" ht="18" customHeight="1" x14ac:dyDescent="0.2">
      <c r="A120" s="489">
        <v>56304</v>
      </c>
      <c r="B120" s="501" t="s">
        <v>109</v>
      </c>
      <c r="C120" s="306">
        <f>CONSOLIDADO!AH118</f>
        <v>5000</v>
      </c>
      <c r="D120" s="528"/>
      <c r="E120" s="529"/>
    </row>
    <row r="121" spans="1:5" ht="12.75" hidden="1" x14ac:dyDescent="0.2">
      <c r="A121" s="489">
        <v>56305</v>
      </c>
      <c r="B121" s="501" t="s">
        <v>254</v>
      </c>
      <c r="C121" s="306">
        <f>+CONSOLIDADO!AH119</f>
        <v>0</v>
      </c>
      <c r="D121" s="528"/>
      <c r="E121" s="529"/>
    </row>
    <row r="122" spans="1:5" ht="12.75" x14ac:dyDescent="0.2">
      <c r="A122" s="489"/>
      <c r="B122" s="501"/>
      <c r="C122" s="306"/>
      <c r="D122" s="528"/>
      <c r="E122" s="529"/>
    </row>
    <row r="123" spans="1:5" ht="12.75" hidden="1" x14ac:dyDescent="0.2">
      <c r="A123" s="489"/>
      <c r="B123" s="501"/>
      <c r="C123" s="306"/>
      <c r="D123" s="528"/>
      <c r="E123" s="529"/>
    </row>
    <row r="124" spans="1:5" ht="12.75" x14ac:dyDescent="0.2">
      <c r="A124" s="491" t="s">
        <v>162</v>
      </c>
      <c r="B124" s="505" t="s">
        <v>163</v>
      </c>
      <c r="C124" s="306"/>
      <c r="D124" s="528"/>
      <c r="E124" s="527">
        <f>SUM(D125:D151)</f>
        <v>1748559.1000000003</v>
      </c>
    </row>
    <row r="125" spans="1:5" ht="18" customHeight="1" x14ac:dyDescent="0.2">
      <c r="A125" s="491" t="s">
        <v>164</v>
      </c>
      <c r="B125" s="505" t="s">
        <v>165</v>
      </c>
      <c r="C125" s="306"/>
      <c r="D125" s="310">
        <f>SUM(C126:C133)</f>
        <v>5750</v>
      </c>
      <c r="E125" s="529"/>
    </row>
    <row r="126" spans="1:5" ht="18" hidden="1" customHeight="1" x14ac:dyDescent="0.2">
      <c r="A126" s="492" t="s">
        <v>166</v>
      </c>
      <c r="B126" s="506" t="s">
        <v>167</v>
      </c>
      <c r="C126" s="306">
        <f>+CONSOLIDADO!AH122</f>
        <v>0</v>
      </c>
      <c r="D126" s="528"/>
      <c r="E126" s="529"/>
    </row>
    <row r="127" spans="1:5" ht="18" hidden="1" customHeight="1" x14ac:dyDescent="0.2">
      <c r="A127" s="492" t="s">
        <v>168</v>
      </c>
      <c r="B127" s="506" t="s">
        <v>169</v>
      </c>
      <c r="C127" s="306">
        <f>+CONSOLIDADO!AH123</f>
        <v>0</v>
      </c>
      <c r="D127" s="528"/>
      <c r="E127" s="529"/>
    </row>
    <row r="128" spans="1:5" ht="18" hidden="1" customHeight="1" x14ac:dyDescent="0.2">
      <c r="A128" s="492" t="s">
        <v>170</v>
      </c>
      <c r="B128" s="506" t="s">
        <v>171</v>
      </c>
      <c r="C128" s="306"/>
      <c r="D128" s="528"/>
      <c r="E128" s="529"/>
    </row>
    <row r="129" spans="1:8" ht="18" customHeight="1" x14ac:dyDescent="0.2">
      <c r="A129" s="492" t="s">
        <v>172</v>
      </c>
      <c r="B129" s="506" t="s">
        <v>173</v>
      </c>
      <c r="C129" s="306">
        <f>+CONSOLIDADO!AH125</f>
        <v>5750</v>
      </c>
      <c r="D129" s="528"/>
      <c r="E129" s="529"/>
      <c r="F129" s="47"/>
      <c r="G129" s="47"/>
      <c r="H129" s="47"/>
    </row>
    <row r="130" spans="1:8" ht="18" hidden="1" customHeight="1" x14ac:dyDescent="0.2">
      <c r="A130" s="492" t="s">
        <v>174</v>
      </c>
      <c r="B130" s="506" t="s">
        <v>175</v>
      </c>
      <c r="C130" s="306">
        <f>+CONSOLIDADO!AH126</f>
        <v>0</v>
      </c>
      <c r="D130" s="528"/>
      <c r="E130" s="529"/>
    </row>
    <row r="131" spans="1:8" ht="12.75" hidden="1" customHeight="1" x14ac:dyDescent="0.2">
      <c r="A131" s="492" t="s">
        <v>176</v>
      </c>
      <c r="B131" s="506" t="s">
        <v>177</v>
      </c>
      <c r="C131" s="306"/>
      <c r="D131" s="528"/>
      <c r="E131" s="529"/>
    </row>
    <row r="132" spans="1:8" ht="12.75" hidden="1" customHeight="1" x14ac:dyDescent="0.2">
      <c r="A132" s="492" t="s">
        <v>178</v>
      </c>
      <c r="B132" s="506" t="s">
        <v>179</v>
      </c>
      <c r="C132" s="306"/>
      <c r="D132" s="528"/>
      <c r="E132" s="529"/>
    </row>
    <row r="133" spans="1:8" ht="18" hidden="1" customHeight="1" x14ac:dyDescent="0.2">
      <c r="A133" s="492" t="s">
        <v>180</v>
      </c>
      <c r="B133" s="506" t="s">
        <v>181</v>
      </c>
      <c r="C133" s="306">
        <f>+CONSOLIDADO!AH129</f>
        <v>0</v>
      </c>
      <c r="D133" s="528"/>
      <c r="E133" s="529"/>
    </row>
    <row r="134" spans="1:8" ht="18" customHeight="1" x14ac:dyDescent="0.2">
      <c r="A134" s="1011" t="s">
        <v>241</v>
      </c>
      <c r="B134" s="1012" t="s">
        <v>193</v>
      </c>
      <c r="C134" s="531"/>
      <c r="D134" s="1013">
        <f>SUM(C135:C137)</f>
        <v>15000</v>
      </c>
      <c r="E134" s="533"/>
    </row>
    <row r="135" spans="1:8" ht="12.75" hidden="1" customHeight="1" x14ac:dyDescent="0.2">
      <c r="A135" s="492" t="s">
        <v>242</v>
      </c>
      <c r="B135" s="506" t="s">
        <v>243</v>
      </c>
      <c r="C135" s="306"/>
      <c r="D135" s="528"/>
      <c r="E135" s="529"/>
    </row>
    <row r="136" spans="1:8" ht="18" customHeight="1" x14ac:dyDescent="0.2">
      <c r="A136" s="492" t="s">
        <v>244</v>
      </c>
      <c r="B136" s="506" t="s">
        <v>245</v>
      </c>
      <c r="C136" s="306">
        <f>CONSOLIDADO!AH132</f>
        <v>15000</v>
      </c>
      <c r="D136" s="528"/>
      <c r="E136" s="529"/>
    </row>
    <row r="137" spans="1:8" ht="18" customHeight="1" x14ac:dyDescent="0.2">
      <c r="A137" s="492" t="s">
        <v>246</v>
      </c>
      <c r="B137" s="506" t="s">
        <v>247</v>
      </c>
      <c r="C137" s="306"/>
      <c r="D137" s="528"/>
      <c r="E137" s="529"/>
    </row>
    <row r="138" spans="1:8" ht="18" customHeight="1" x14ac:dyDescent="0.2">
      <c r="A138" s="487">
        <v>615</v>
      </c>
      <c r="B138" s="505" t="s">
        <v>195</v>
      </c>
      <c r="C138" s="306"/>
      <c r="D138" s="310">
        <f>SUM(C139:C142)</f>
        <v>63520.57</v>
      </c>
      <c r="E138" s="529"/>
    </row>
    <row r="139" spans="1:8" ht="18" hidden="1" customHeight="1" x14ac:dyDescent="0.2">
      <c r="A139" s="489">
        <v>61501</v>
      </c>
      <c r="B139" s="506" t="s">
        <v>196</v>
      </c>
      <c r="C139" s="306"/>
      <c r="D139" s="528"/>
      <c r="E139" s="529"/>
    </row>
    <row r="140" spans="1:8" ht="18" hidden="1" customHeight="1" x14ac:dyDescent="0.2">
      <c r="A140" s="489">
        <v>61502</v>
      </c>
      <c r="B140" s="506" t="s">
        <v>197</v>
      </c>
      <c r="C140" s="306"/>
      <c r="D140" s="528"/>
      <c r="E140" s="529"/>
    </row>
    <row r="141" spans="1:8" ht="18" hidden="1" customHeight="1" x14ac:dyDescent="0.2">
      <c r="A141" s="489">
        <v>61503</v>
      </c>
      <c r="B141" s="506" t="s">
        <v>198</v>
      </c>
      <c r="C141" s="306"/>
      <c r="D141" s="528"/>
      <c r="E141" s="529"/>
    </row>
    <row r="142" spans="1:8" ht="18" customHeight="1" x14ac:dyDescent="0.2">
      <c r="A142" s="489">
        <v>61599</v>
      </c>
      <c r="B142" s="506" t="s">
        <v>199</v>
      </c>
      <c r="C142" s="306">
        <f>CONSOLIDADO!AH138</f>
        <v>63520.57</v>
      </c>
      <c r="D142" s="528"/>
      <c r="E142" s="529"/>
    </row>
    <row r="143" spans="1:8" ht="18" customHeight="1" x14ac:dyDescent="0.2">
      <c r="A143" s="487">
        <v>616</v>
      </c>
      <c r="B143" s="505" t="s">
        <v>200</v>
      </c>
      <c r="C143" s="306"/>
      <c r="D143" s="310">
        <f>SUM(C144:C151)</f>
        <v>1664288.5300000003</v>
      </c>
      <c r="E143" s="529"/>
    </row>
    <row r="144" spans="1:8" ht="18" customHeight="1" x14ac:dyDescent="0.2">
      <c r="A144" s="489">
        <v>61601</v>
      </c>
      <c r="B144" s="506" t="s">
        <v>201</v>
      </c>
      <c r="C144" s="306">
        <f>CONSOLIDADO!AH140</f>
        <v>636418.58000000007</v>
      </c>
      <c r="D144" s="528"/>
      <c r="E144" s="529"/>
    </row>
    <row r="145" spans="1:5" ht="18" customHeight="1" x14ac:dyDescent="0.2">
      <c r="A145" s="489">
        <v>61602</v>
      </c>
      <c r="B145" s="506" t="s">
        <v>202</v>
      </c>
      <c r="C145" s="306">
        <f>CONSOLIDADO!AH141</f>
        <v>288515.01</v>
      </c>
      <c r="D145" s="528"/>
      <c r="E145" s="529"/>
    </row>
    <row r="146" spans="1:5" ht="18" customHeight="1" x14ac:dyDescent="0.2">
      <c r="A146" s="489">
        <v>61603</v>
      </c>
      <c r="B146" s="506" t="s">
        <v>203</v>
      </c>
      <c r="C146" s="306">
        <f>CONSOLIDADO!AH142</f>
        <v>380000</v>
      </c>
      <c r="D146" s="528"/>
      <c r="E146" s="529"/>
    </row>
    <row r="147" spans="1:5" ht="18" customHeight="1" x14ac:dyDescent="0.2">
      <c r="A147" s="489">
        <v>61604</v>
      </c>
      <c r="B147" s="506" t="s">
        <v>204</v>
      </c>
      <c r="C147" s="306">
        <f>CONSOLIDADO!AH143</f>
        <v>37586.75</v>
      </c>
      <c r="D147" s="528"/>
      <c r="E147" s="529"/>
    </row>
    <row r="148" spans="1:5" ht="18" customHeight="1" x14ac:dyDescent="0.2">
      <c r="A148" s="489">
        <v>61606</v>
      </c>
      <c r="B148" s="506" t="s">
        <v>205</v>
      </c>
      <c r="C148" s="306">
        <f>CONSOLIDADO!AH144</f>
        <v>46366.8</v>
      </c>
      <c r="D148" s="528"/>
      <c r="E148" s="529"/>
    </row>
    <row r="149" spans="1:5" ht="18" hidden="1" customHeight="1" x14ac:dyDescent="0.2">
      <c r="A149" s="489">
        <v>61607</v>
      </c>
      <c r="B149" s="501" t="s">
        <v>206</v>
      </c>
      <c r="C149" s="306">
        <f>CONSOLIDADO!AH145</f>
        <v>0</v>
      </c>
      <c r="D149" s="528"/>
      <c r="E149" s="529"/>
    </row>
    <row r="150" spans="1:5" ht="18" hidden="1" customHeight="1" x14ac:dyDescent="0.2">
      <c r="A150" s="489">
        <v>61608</v>
      </c>
      <c r="B150" s="501" t="s">
        <v>207</v>
      </c>
      <c r="C150" s="306">
        <f>CONSOLIDADO!AH146</f>
        <v>0</v>
      </c>
      <c r="D150" s="528"/>
      <c r="E150" s="529"/>
    </row>
    <row r="151" spans="1:5" ht="18" customHeight="1" x14ac:dyDescent="0.2">
      <c r="A151" s="489">
        <v>61699</v>
      </c>
      <c r="B151" s="501" t="s">
        <v>208</v>
      </c>
      <c r="C151" s="306">
        <f>CONSOLIDADO!AH147</f>
        <v>275401.39</v>
      </c>
      <c r="D151" s="528"/>
      <c r="E151" s="529"/>
    </row>
    <row r="152" spans="1:5" ht="8.25" customHeight="1" x14ac:dyDescent="0.2">
      <c r="A152" s="489"/>
      <c r="B152" s="501"/>
      <c r="C152" s="306"/>
      <c r="D152" s="528"/>
      <c r="E152" s="529"/>
    </row>
    <row r="153" spans="1:5" ht="12.75" x14ac:dyDescent="0.2">
      <c r="A153" s="487">
        <v>71</v>
      </c>
      <c r="B153" s="502" t="s">
        <v>216</v>
      </c>
      <c r="C153" s="306"/>
      <c r="D153" s="528"/>
      <c r="E153" s="527">
        <f>SUM(D154:D157)</f>
        <v>269033.29000000004</v>
      </c>
    </row>
    <row r="154" spans="1:5" ht="12.75" x14ac:dyDescent="0.2">
      <c r="A154" s="487">
        <v>713</v>
      </c>
      <c r="B154" s="502" t="s">
        <v>217</v>
      </c>
      <c r="C154" s="306"/>
      <c r="D154" s="310">
        <f>SUM(C155:C157)</f>
        <v>269033.29000000004</v>
      </c>
      <c r="E154" s="529"/>
    </row>
    <row r="155" spans="1:5" ht="12.75" hidden="1" customHeight="1" x14ac:dyDescent="0.2">
      <c r="A155" s="489">
        <v>71303</v>
      </c>
      <c r="B155" s="501" t="s">
        <v>85</v>
      </c>
      <c r="C155" s="306" t="s">
        <v>495</v>
      </c>
      <c r="D155" s="528"/>
      <c r="E155" s="529"/>
    </row>
    <row r="156" spans="1:5" ht="18" customHeight="1" x14ac:dyDescent="0.2">
      <c r="A156" s="489">
        <v>71304</v>
      </c>
      <c r="B156" s="501" t="s">
        <v>86</v>
      </c>
      <c r="C156" s="306">
        <f>+CONSOLIDADO!AH151</f>
        <v>269033.29000000004</v>
      </c>
      <c r="D156" s="528"/>
      <c r="E156" s="529"/>
    </row>
    <row r="157" spans="1:5" ht="12.75" hidden="1" customHeight="1" x14ac:dyDescent="0.2">
      <c r="A157" s="489">
        <v>71308</v>
      </c>
      <c r="B157" s="501" t="s">
        <v>239</v>
      </c>
      <c r="C157" s="306">
        <f>CONSOLIDADO!P152</f>
        <v>0</v>
      </c>
      <c r="D157" s="528"/>
      <c r="E157" s="529"/>
    </row>
    <row r="158" spans="1:5" ht="12.75" hidden="1" customHeight="1" x14ac:dyDescent="0.2">
      <c r="A158" s="489"/>
      <c r="B158" s="501"/>
      <c r="C158" s="306"/>
      <c r="D158" s="528"/>
      <c r="E158" s="529"/>
    </row>
    <row r="159" spans="1:5" ht="18" customHeight="1" x14ac:dyDescent="0.2">
      <c r="A159" s="487">
        <v>72</v>
      </c>
      <c r="B159" s="502" t="s">
        <v>13</v>
      </c>
      <c r="C159" s="306"/>
      <c r="D159" s="310"/>
      <c r="E159" s="527">
        <f>+D160</f>
        <v>10540.39</v>
      </c>
    </row>
    <row r="160" spans="1:5" ht="27.75" customHeight="1" x14ac:dyDescent="0.2">
      <c r="A160" s="487">
        <v>721</v>
      </c>
      <c r="B160" s="519" t="s">
        <v>182</v>
      </c>
      <c r="C160" s="306"/>
      <c r="D160" s="310">
        <f>+C161</f>
        <v>10540.39</v>
      </c>
      <c r="E160" s="527"/>
    </row>
    <row r="161" spans="1:5" ht="18" customHeight="1" x14ac:dyDescent="0.2">
      <c r="A161" s="489">
        <v>72101</v>
      </c>
      <c r="B161" s="501" t="s">
        <v>182</v>
      </c>
      <c r="C161" s="306">
        <f>CONSOLIDADO!AH155</f>
        <v>10540.39</v>
      </c>
      <c r="D161" s="528"/>
      <c r="E161" s="529"/>
    </row>
    <row r="162" spans="1:5" ht="18" customHeight="1" thickBot="1" x14ac:dyDescent="0.25">
      <c r="A162" s="489"/>
      <c r="B162" s="501"/>
      <c r="C162" s="306"/>
      <c r="D162" s="528"/>
      <c r="E162" s="529"/>
    </row>
    <row r="163" spans="1:5" ht="18" hidden="1" customHeight="1" x14ac:dyDescent="0.2">
      <c r="A163" s="487">
        <v>99</v>
      </c>
      <c r="B163" s="502" t="s">
        <v>183</v>
      </c>
      <c r="C163" s="306"/>
      <c r="D163" s="310"/>
      <c r="E163" s="527">
        <f>+D164</f>
        <v>0</v>
      </c>
    </row>
    <row r="164" spans="1:5" ht="18" hidden="1" customHeight="1" x14ac:dyDescent="0.2">
      <c r="A164" s="487">
        <v>991</v>
      </c>
      <c r="B164" s="502" t="s">
        <v>184</v>
      </c>
      <c r="C164" s="306"/>
      <c r="D164" s="310">
        <f>+C165</f>
        <v>0</v>
      </c>
      <c r="E164" s="527"/>
    </row>
    <row r="165" spans="1:5" ht="18" hidden="1" customHeight="1" thickBot="1" x14ac:dyDescent="0.25">
      <c r="A165" s="489">
        <v>99101</v>
      </c>
      <c r="B165" s="501" t="s">
        <v>184</v>
      </c>
      <c r="C165" s="306"/>
      <c r="D165" s="528"/>
      <c r="E165" s="529"/>
    </row>
    <row r="166" spans="1:5" ht="18" customHeight="1" thickBot="1" x14ac:dyDescent="0.25">
      <c r="A166" s="493"/>
      <c r="B166" s="507" t="s">
        <v>185</v>
      </c>
      <c r="C166" s="241">
        <f>SUM(C8:C165)</f>
        <v>2850587.6</v>
      </c>
      <c r="D166" s="241">
        <f>SUM(D8:D165)</f>
        <v>2850587.6</v>
      </c>
      <c r="E166" s="535">
        <f>SUM(E8:E165)</f>
        <v>2850587.6000000006</v>
      </c>
    </row>
    <row r="167" spans="1:5" ht="18" customHeight="1" x14ac:dyDescent="0.2">
      <c r="D167" s="530"/>
      <c r="E167" s="703"/>
    </row>
    <row r="168" spans="1:5" s="539" customFormat="1" ht="18" customHeight="1" x14ac:dyDescent="0.2">
      <c r="A168" s="538"/>
      <c r="C168" s="540"/>
      <c r="D168" s="541"/>
      <c r="E168" s="703">
        <f>'ING. REALES'!J73</f>
        <v>2850587.6</v>
      </c>
    </row>
    <row r="169" spans="1:5" s="355" customFormat="1" ht="18" customHeight="1" x14ac:dyDescent="0.2">
      <c r="A169" s="354"/>
      <c r="C169" s="521"/>
      <c r="D169" s="537"/>
      <c r="E169" s="703">
        <f>+E166-E168</f>
        <v>0</v>
      </c>
    </row>
    <row r="170" spans="1:5" s="355" customFormat="1" ht="18" customHeight="1" x14ac:dyDescent="0.2">
      <c r="A170" s="354"/>
      <c r="C170" s="521"/>
      <c r="D170" s="537"/>
      <c r="E170" s="703"/>
    </row>
    <row r="171" spans="1:5" s="355" customFormat="1" ht="18" customHeight="1" x14ac:dyDescent="0.2">
      <c r="A171" s="354"/>
      <c r="C171" s="521"/>
      <c r="D171" s="537"/>
      <c r="E171" s="703"/>
    </row>
    <row r="172" spans="1:5" s="355" customFormat="1" ht="18" customHeight="1" x14ac:dyDescent="0.2">
      <c r="A172" s="354"/>
      <c r="C172" s="521"/>
      <c r="D172" s="537"/>
      <c r="E172" s="703"/>
    </row>
    <row r="173" spans="1:5" s="355" customFormat="1" ht="18" customHeight="1" x14ac:dyDescent="0.2">
      <c r="A173" s="354"/>
      <c r="C173" s="521"/>
      <c r="D173" s="537"/>
      <c r="E173" s="703"/>
    </row>
    <row r="174" spans="1:5" s="355" customFormat="1" ht="18" customHeight="1" x14ac:dyDescent="0.2">
      <c r="A174" s="354"/>
      <c r="C174" s="521"/>
      <c r="D174" s="537"/>
      <c r="E174" s="537"/>
    </row>
    <row r="175" spans="1:5" s="355" customFormat="1" ht="18" customHeight="1" x14ac:dyDescent="0.2">
      <c r="A175" s="354"/>
      <c r="C175" s="521"/>
      <c r="D175" s="537"/>
      <c r="E175" s="537"/>
    </row>
    <row r="176" spans="1:5" s="355" customFormat="1" ht="18" customHeight="1" x14ac:dyDescent="0.2">
      <c r="A176" s="354"/>
      <c r="C176" s="521"/>
      <c r="D176" s="537"/>
      <c r="E176" s="537"/>
    </row>
    <row r="177" spans="4:5" ht="18" customHeight="1" x14ac:dyDescent="0.2">
      <c r="D177" s="530"/>
      <c r="E177" s="530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74803149606299213" bottom="0.78740157480314965" header="0" footer="0"/>
  <pageSetup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showGridLines="0" topLeftCell="B13" workbookViewId="0">
      <selection activeCell="H44" sqref="H44"/>
    </sheetView>
  </sheetViews>
  <sheetFormatPr baseColWidth="10" defaultRowHeight="12.75" x14ac:dyDescent="0.2"/>
  <cols>
    <col min="1" max="1" width="2" customWidth="1"/>
    <col min="2" max="2" width="11.42578125" style="2"/>
    <col min="3" max="3" width="53.42578125" style="2" customWidth="1"/>
    <col min="4" max="4" width="18.7109375" style="52" customWidth="1"/>
    <col min="5" max="5" width="12.28515625" style="2" bestFit="1" customWidth="1"/>
    <col min="6" max="6" width="12.5703125" bestFit="1" customWidth="1"/>
  </cols>
  <sheetData>
    <row r="1" spans="2:5" ht="15" x14ac:dyDescent="0.2">
      <c r="B1" s="1188" t="s">
        <v>260</v>
      </c>
      <c r="C1" s="1188"/>
      <c r="D1" s="1188"/>
    </row>
    <row r="2" spans="2:5" ht="14.25" x14ac:dyDescent="0.2">
      <c r="B2" s="1189" t="s">
        <v>488</v>
      </c>
      <c r="C2" s="1189"/>
      <c r="D2" s="1189"/>
    </row>
    <row r="3" spans="2:5" ht="15" x14ac:dyDescent="0.2">
      <c r="B3" s="1188"/>
      <c r="C3" s="1188"/>
      <c r="D3" s="1188"/>
    </row>
    <row r="4" spans="2:5" ht="15" x14ac:dyDescent="0.2">
      <c r="B4" s="1188" t="s">
        <v>752</v>
      </c>
      <c r="C4" s="1188"/>
      <c r="D4" s="1188"/>
    </row>
    <row r="5" spans="2:5" ht="14.25" thickBot="1" x14ac:dyDescent="0.3">
      <c r="B5" s="152"/>
      <c r="C5" s="152"/>
      <c r="D5" s="202"/>
    </row>
    <row r="6" spans="2:5" ht="14.25" x14ac:dyDescent="0.2">
      <c r="B6" s="1190" t="s">
        <v>261</v>
      </c>
      <c r="C6" s="1191"/>
      <c r="D6" s="1192"/>
    </row>
    <row r="7" spans="2:5" ht="14.25" x14ac:dyDescent="0.2">
      <c r="B7" s="1193" t="s">
        <v>262</v>
      </c>
      <c r="C7" s="1194"/>
      <c r="D7" s="1195"/>
    </row>
    <row r="8" spans="2:5" ht="14.25" x14ac:dyDescent="0.2">
      <c r="B8" s="1196" t="s">
        <v>263</v>
      </c>
      <c r="C8" s="1197"/>
      <c r="D8" s="1198"/>
    </row>
    <row r="9" spans="2:5" ht="14.25" thickBot="1" x14ac:dyDescent="0.3">
      <c r="B9" s="1199" t="s">
        <v>477</v>
      </c>
      <c r="C9" s="1200"/>
      <c r="D9" s="1201"/>
    </row>
    <row r="10" spans="2:5" x14ac:dyDescent="0.2">
      <c r="B10" s="153"/>
      <c r="C10" s="153"/>
      <c r="D10" s="203"/>
    </row>
    <row r="11" spans="2:5" x14ac:dyDescent="0.2">
      <c r="B11" s="154">
        <v>11</v>
      </c>
      <c r="C11" s="155" t="s">
        <v>5</v>
      </c>
      <c r="D11" s="204">
        <f>'ING. REALES'!J8</f>
        <v>19109.14</v>
      </c>
      <c r="E11" s="49"/>
    </row>
    <row r="12" spans="2:5" x14ac:dyDescent="0.2">
      <c r="B12" s="156"/>
      <c r="C12" s="157"/>
      <c r="D12" s="205"/>
      <c r="E12" s="50"/>
    </row>
    <row r="13" spans="2:5" x14ac:dyDescent="0.2">
      <c r="B13" s="154">
        <v>12</v>
      </c>
      <c r="C13" s="158" t="s">
        <v>6</v>
      </c>
      <c r="D13" s="206">
        <f>'ING. REALES'!J18</f>
        <v>112640.34</v>
      </c>
      <c r="E13" s="51"/>
    </row>
    <row r="14" spans="2:5" x14ac:dyDescent="0.2">
      <c r="B14" s="156"/>
      <c r="C14" s="157"/>
      <c r="D14" s="206"/>
      <c r="E14" s="50"/>
    </row>
    <row r="15" spans="2:5" x14ac:dyDescent="0.2">
      <c r="B15" s="154">
        <v>14</v>
      </c>
      <c r="C15" s="158" t="s">
        <v>8</v>
      </c>
      <c r="D15" s="206">
        <f>'ING. REALES'!J35</f>
        <v>153789.44</v>
      </c>
      <c r="E15" s="50"/>
    </row>
    <row r="16" spans="2:5" x14ac:dyDescent="0.2">
      <c r="B16" s="156"/>
      <c r="C16" s="157"/>
      <c r="D16" s="206"/>
      <c r="E16" s="50"/>
    </row>
    <row r="17" spans="2:5" x14ac:dyDescent="0.2">
      <c r="B17" s="154">
        <v>15</v>
      </c>
      <c r="C17" s="158" t="s">
        <v>9</v>
      </c>
      <c r="D17" s="206">
        <f>'ING. REALES'!J39</f>
        <v>6508.57</v>
      </c>
      <c r="E17" s="51"/>
    </row>
    <row r="18" spans="2:5" x14ac:dyDescent="0.2">
      <c r="B18" s="156"/>
      <c r="C18" s="157"/>
      <c r="D18" s="206"/>
      <c r="E18" s="50"/>
    </row>
    <row r="19" spans="2:5" x14ac:dyDescent="0.2">
      <c r="B19" s="154">
        <v>16</v>
      </c>
      <c r="C19" s="158" t="s">
        <v>11</v>
      </c>
      <c r="D19" s="206">
        <f>'ING. REALES'!J52</f>
        <v>328629.85000000003</v>
      </c>
      <c r="E19" s="51"/>
    </row>
    <row r="20" spans="2:5" x14ac:dyDescent="0.2">
      <c r="B20" s="156"/>
      <c r="C20" s="157"/>
      <c r="D20" s="206"/>
      <c r="E20" s="50"/>
    </row>
    <row r="21" spans="2:5" x14ac:dyDescent="0.2">
      <c r="B21" s="154">
        <v>22</v>
      </c>
      <c r="C21" s="158" t="s">
        <v>12</v>
      </c>
      <c r="D21" s="206">
        <f>'ING. REALES'!J60</f>
        <v>985889.66</v>
      </c>
      <c r="E21" s="51"/>
    </row>
    <row r="22" spans="2:5" x14ac:dyDescent="0.2">
      <c r="B22" s="156"/>
      <c r="C22" s="157"/>
      <c r="D22" s="206"/>
      <c r="E22" s="50"/>
    </row>
    <row r="23" spans="2:5" x14ac:dyDescent="0.2">
      <c r="B23" s="154">
        <v>31</v>
      </c>
      <c r="C23" s="158" t="s">
        <v>264</v>
      </c>
      <c r="D23" s="206">
        <f>'ING. REALES'!J63</f>
        <v>0</v>
      </c>
      <c r="E23" s="50"/>
    </row>
    <row r="24" spans="2:5" x14ac:dyDescent="0.2">
      <c r="B24" s="156"/>
      <c r="C24" s="157"/>
      <c r="D24" s="206"/>
      <c r="E24" s="50"/>
    </row>
    <row r="25" spans="2:5" x14ac:dyDescent="0.2">
      <c r="B25" s="154">
        <v>32</v>
      </c>
      <c r="C25" s="158" t="s">
        <v>13</v>
      </c>
      <c r="D25" s="206">
        <f>'ING. REALES'!J66</f>
        <v>1244020.6000000001</v>
      </c>
      <c r="E25" s="51"/>
    </row>
    <row r="26" spans="2:5" ht="13.5" thickBot="1" x14ac:dyDescent="0.25">
      <c r="B26" s="159"/>
      <c r="C26" s="160"/>
      <c r="D26" s="207"/>
    </row>
    <row r="27" spans="2:5" ht="13.5" thickBot="1" x14ac:dyDescent="0.25">
      <c r="B27" s="161"/>
      <c r="C27" s="112" t="s">
        <v>25</v>
      </c>
      <c r="D27" s="208">
        <f>SUM(D11:D25)</f>
        <v>2850587.6</v>
      </c>
      <c r="E27" s="52"/>
    </row>
    <row r="28" spans="2:5" x14ac:dyDescent="0.2">
      <c r="E28" s="7"/>
    </row>
    <row r="29" spans="2:5" ht="13.5" thickBot="1" x14ac:dyDescent="0.25"/>
    <row r="30" spans="2:5" ht="14.25" x14ac:dyDescent="0.2">
      <c r="B30" s="1190" t="s">
        <v>261</v>
      </c>
      <c r="C30" s="1191"/>
      <c r="D30" s="1192"/>
    </row>
    <row r="31" spans="2:5" ht="14.25" x14ac:dyDescent="0.2">
      <c r="B31" s="1193" t="s">
        <v>265</v>
      </c>
      <c r="C31" s="1194"/>
      <c r="D31" s="1195"/>
    </row>
    <row r="32" spans="2:5" ht="14.25" x14ac:dyDescent="0.2">
      <c r="B32" s="1196" t="s">
        <v>266</v>
      </c>
      <c r="C32" s="1197"/>
      <c r="D32" s="1198"/>
    </row>
    <row r="33" spans="2:6" ht="14.25" thickBot="1" x14ac:dyDescent="0.3">
      <c r="B33" s="1199" t="s">
        <v>248</v>
      </c>
      <c r="C33" s="1200"/>
      <c r="D33" s="1201"/>
    </row>
    <row r="34" spans="2:6" x14ac:dyDescent="0.2">
      <c r="B34" s="162"/>
      <c r="C34" s="153"/>
      <c r="D34" s="209"/>
    </row>
    <row r="35" spans="2:6" x14ac:dyDescent="0.2">
      <c r="B35" s="163">
        <v>51</v>
      </c>
      <c r="C35" s="158" t="s">
        <v>122</v>
      </c>
      <c r="D35" s="688">
        <f>CONSOLIDADO!AH9</f>
        <v>411289.80000000005</v>
      </c>
      <c r="F35" s="689"/>
    </row>
    <row r="36" spans="2:6" x14ac:dyDescent="0.2">
      <c r="B36" s="163"/>
      <c r="C36" s="158"/>
      <c r="D36" s="688"/>
      <c r="F36" s="689"/>
    </row>
    <row r="37" spans="2:6" x14ac:dyDescent="0.2">
      <c r="B37" s="163">
        <v>54</v>
      </c>
      <c r="C37" s="158" t="s">
        <v>27</v>
      </c>
      <c r="D37" s="688">
        <f>CONSOLIDADO!AH43</f>
        <v>262621.27</v>
      </c>
      <c r="F37" s="689"/>
    </row>
    <row r="38" spans="2:6" x14ac:dyDescent="0.2">
      <c r="B38" s="163"/>
      <c r="C38" s="158"/>
      <c r="D38" s="688"/>
      <c r="F38" s="689"/>
    </row>
    <row r="39" spans="2:6" x14ac:dyDescent="0.2">
      <c r="B39" s="163">
        <v>55</v>
      </c>
      <c r="C39" s="158" t="s">
        <v>83</v>
      </c>
      <c r="D39" s="688">
        <f>CONSOLIDADO!AH94</f>
        <v>128418.59</v>
      </c>
      <c r="F39" s="689"/>
    </row>
    <row r="40" spans="2:6" x14ac:dyDescent="0.2">
      <c r="B40" s="163"/>
      <c r="C40" s="158"/>
      <c r="D40" s="688"/>
      <c r="F40" s="689"/>
    </row>
    <row r="41" spans="2:6" x14ac:dyDescent="0.2">
      <c r="B41" s="163">
        <v>56</v>
      </c>
      <c r="C41" s="158" t="s">
        <v>96</v>
      </c>
      <c r="D41" s="688">
        <f>CONSOLIDADO!AH112</f>
        <v>20125.16</v>
      </c>
      <c r="F41" s="689"/>
    </row>
    <row r="42" spans="2:6" x14ac:dyDescent="0.2">
      <c r="B42" s="163"/>
      <c r="C42" s="158"/>
      <c r="D42" s="688"/>
      <c r="F42" s="689"/>
    </row>
    <row r="43" spans="2:6" x14ac:dyDescent="0.2">
      <c r="B43" s="163">
        <v>61</v>
      </c>
      <c r="C43" s="158" t="s">
        <v>163</v>
      </c>
      <c r="D43" s="688">
        <f>+CONSOLIDADO!AH120</f>
        <v>1748559.1</v>
      </c>
      <c r="F43" s="689"/>
    </row>
    <row r="44" spans="2:6" x14ac:dyDescent="0.2">
      <c r="B44" s="163"/>
      <c r="C44" s="158"/>
      <c r="D44" s="688"/>
      <c r="F44" s="689"/>
    </row>
    <row r="45" spans="2:6" x14ac:dyDescent="0.2">
      <c r="B45" s="163">
        <v>71</v>
      </c>
      <c r="C45" s="158" t="s">
        <v>216</v>
      </c>
      <c r="D45" s="688">
        <f>CONSOLIDADO!AH148</f>
        <v>269033.29000000004</v>
      </c>
      <c r="F45" s="689"/>
    </row>
    <row r="46" spans="2:6" x14ac:dyDescent="0.2">
      <c r="B46" s="163"/>
      <c r="C46" s="158"/>
      <c r="D46" s="688"/>
      <c r="F46" s="689"/>
    </row>
    <row r="47" spans="2:6" x14ac:dyDescent="0.2">
      <c r="B47" s="163">
        <v>72</v>
      </c>
      <c r="C47" s="158" t="s">
        <v>13</v>
      </c>
      <c r="D47" s="688">
        <f>CONSOLIDADO!AH153</f>
        <v>10540.39</v>
      </c>
      <c r="F47" s="689"/>
    </row>
    <row r="48" spans="2:6" ht="13.5" thickBot="1" x14ac:dyDescent="0.25">
      <c r="B48" s="164"/>
      <c r="C48" s="158"/>
      <c r="D48" s="210"/>
    </row>
    <row r="49" spans="2:6" hidden="1" x14ac:dyDescent="0.2">
      <c r="B49" s="163">
        <v>99</v>
      </c>
      <c r="C49" s="158" t="s">
        <v>183</v>
      </c>
      <c r="D49" s="210"/>
    </row>
    <row r="50" spans="2:6" ht="13.5" hidden="1" thickBot="1" x14ac:dyDescent="0.25">
      <c r="B50" s="165"/>
      <c r="C50" s="166"/>
      <c r="D50" s="211"/>
    </row>
    <row r="51" spans="2:6" ht="13.5" thickBot="1" x14ac:dyDescent="0.25">
      <c r="B51" s="161"/>
      <c r="C51" s="112" t="s">
        <v>25</v>
      </c>
      <c r="D51" s="208">
        <f>SUM(D35:D47)</f>
        <v>2850587.6</v>
      </c>
      <c r="E51" s="54"/>
      <c r="F51" s="689"/>
    </row>
    <row r="55" spans="2:6" x14ac:dyDescent="0.2">
      <c r="F55" s="56"/>
    </row>
  </sheetData>
  <mergeCells count="12">
    <mergeCell ref="B31:D31"/>
    <mergeCell ref="B32:D32"/>
    <mergeCell ref="B33:D33"/>
    <mergeCell ref="B6:D6"/>
    <mergeCell ref="B7:D7"/>
    <mergeCell ref="B8:D8"/>
    <mergeCell ref="B9:D9"/>
    <mergeCell ref="B1:D1"/>
    <mergeCell ref="B2:D2"/>
    <mergeCell ref="B3:D3"/>
    <mergeCell ref="B4:D4"/>
    <mergeCell ref="B30:D30"/>
  </mergeCells>
  <phoneticPr fontId="6" type="noConversion"/>
  <printOptions horizontalCentered="1"/>
  <pageMargins left="0.74803149606299213" right="0.35433070866141736" top="0.98425196850393704" bottom="0.98425196850393704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3"/>
  <sheetViews>
    <sheetView showGridLines="0" zoomScaleNormal="100" workbookViewId="0">
      <selection activeCell="E35" sqref="E35"/>
    </sheetView>
  </sheetViews>
  <sheetFormatPr baseColWidth="10" defaultRowHeight="12.75" x14ac:dyDescent="0.2"/>
  <cols>
    <col min="1" max="1" width="8.5703125" style="2" customWidth="1"/>
    <col min="2" max="2" width="6.42578125" style="72" customWidth="1"/>
    <col min="3" max="3" width="6.85546875" style="72" customWidth="1"/>
    <col min="4" max="4" width="50.28515625" style="2" customWidth="1"/>
    <col min="5" max="7" width="17.42578125" style="2" customWidth="1"/>
    <col min="8" max="8" width="12.28515625" bestFit="1" customWidth="1"/>
  </cols>
  <sheetData>
    <row r="1" spans="1:10" ht="15" x14ac:dyDescent="0.2">
      <c r="A1" s="1188" t="s">
        <v>260</v>
      </c>
      <c r="B1" s="1188"/>
      <c r="C1" s="1188"/>
      <c r="D1" s="1188"/>
      <c r="E1" s="1188"/>
      <c r="F1" s="1188"/>
      <c r="G1" s="1188"/>
    </row>
    <row r="2" spans="1:10" ht="15" x14ac:dyDescent="0.2">
      <c r="A2" s="1202" t="s">
        <v>489</v>
      </c>
      <c r="B2" s="1202"/>
      <c r="C2" s="1202"/>
      <c r="D2" s="1202"/>
      <c r="E2" s="1202"/>
      <c r="F2" s="1202"/>
      <c r="G2" s="1202"/>
    </row>
    <row r="3" spans="1:10" ht="15" x14ac:dyDescent="0.2">
      <c r="A3" s="1202" t="s">
        <v>752</v>
      </c>
      <c r="B3" s="1202"/>
      <c r="C3" s="1202"/>
      <c r="D3" s="1202"/>
      <c r="E3" s="1202"/>
      <c r="F3" s="1202"/>
      <c r="G3" s="1202"/>
    </row>
    <row r="4" spans="1:10" ht="17.25" customHeight="1" x14ac:dyDescent="0.2">
      <c r="A4" s="1204" t="s">
        <v>261</v>
      </c>
      <c r="B4" s="1204"/>
      <c r="C4" s="1204"/>
      <c r="D4" s="1204"/>
      <c r="E4" s="1204"/>
      <c r="F4" s="1204"/>
      <c r="G4" s="1204"/>
    </row>
    <row r="5" spans="1:10" ht="19.5" customHeight="1" thickBot="1" x14ac:dyDescent="0.25">
      <c r="A5" s="1205" t="s">
        <v>267</v>
      </c>
      <c r="B5" s="1205"/>
      <c r="C5" s="1205"/>
      <c r="D5" s="1205"/>
      <c r="E5" s="1205"/>
      <c r="F5" s="1205"/>
      <c r="G5" s="1205"/>
    </row>
    <row r="6" spans="1:10" ht="12.75" customHeight="1" x14ac:dyDescent="0.25">
      <c r="A6" s="167" t="s">
        <v>268</v>
      </c>
      <c r="B6" s="168" t="s">
        <v>269</v>
      </c>
      <c r="C6" s="169" t="s">
        <v>270</v>
      </c>
      <c r="D6" s="1206" t="s">
        <v>103</v>
      </c>
      <c r="E6" s="1208" t="s">
        <v>252</v>
      </c>
      <c r="F6" s="1208" t="s">
        <v>252</v>
      </c>
      <c r="G6" s="1208" t="s">
        <v>25</v>
      </c>
    </row>
    <row r="7" spans="1:10" ht="16.5" customHeight="1" thickBot="1" x14ac:dyDescent="0.3">
      <c r="A7" s="170" t="s">
        <v>271</v>
      </c>
      <c r="B7" s="171" t="s">
        <v>272</v>
      </c>
      <c r="C7" s="172" t="s">
        <v>273</v>
      </c>
      <c r="D7" s="1207"/>
      <c r="E7" s="1209"/>
      <c r="F7" s="1209"/>
      <c r="G7" s="1209"/>
    </row>
    <row r="8" spans="1:10" ht="21.75" customHeight="1" x14ac:dyDescent="0.2">
      <c r="A8" s="58" t="s">
        <v>274</v>
      </c>
      <c r="B8" s="173"/>
      <c r="C8" s="174"/>
      <c r="D8" s="59" t="s">
        <v>275</v>
      </c>
      <c r="E8" s="691"/>
      <c r="F8" s="691"/>
      <c r="G8" s="691">
        <f>+F9+F12</f>
        <v>707430.08000000007</v>
      </c>
      <c r="H8" s="55"/>
    </row>
    <row r="9" spans="1:10" ht="21.75" customHeight="1" x14ac:dyDescent="0.2">
      <c r="A9" s="340"/>
      <c r="B9" s="341" t="s">
        <v>276</v>
      </c>
      <c r="C9" s="342"/>
      <c r="D9" s="67" t="s">
        <v>277</v>
      </c>
      <c r="E9" s="692"/>
      <c r="F9" s="692">
        <f>+E10+E11</f>
        <v>370859.37</v>
      </c>
      <c r="G9" s="693"/>
      <c r="H9" s="55"/>
    </row>
    <row r="10" spans="1:10" ht="21.75" customHeight="1" x14ac:dyDescent="0.2">
      <c r="A10" s="340"/>
      <c r="B10" s="341"/>
      <c r="C10" s="342" t="s">
        <v>20</v>
      </c>
      <c r="D10" s="67" t="s">
        <v>278</v>
      </c>
      <c r="E10" s="692">
        <f>+CONSOLIDADO!C160+CONSOLIDADO!H160</f>
        <v>296274.62</v>
      </c>
      <c r="F10" s="692"/>
      <c r="G10" s="693"/>
      <c r="J10" s="55"/>
    </row>
    <row r="11" spans="1:10" ht="21.75" customHeight="1" x14ac:dyDescent="0.2">
      <c r="A11" s="340"/>
      <c r="B11" s="341"/>
      <c r="C11" s="340" t="s">
        <v>21</v>
      </c>
      <c r="D11" s="67" t="s">
        <v>480</v>
      </c>
      <c r="E11" s="692">
        <f>+CONSOLIDADO!D160+CONSOLIDADO!I160</f>
        <v>74584.75</v>
      </c>
      <c r="F11" s="692"/>
      <c r="G11" s="693"/>
      <c r="J11" s="55"/>
    </row>
    <row r="12" spans="1:10" ht="21.75" customHeight="1" x14ac:dyDescent="0.2">
      <c r="A12" s="340"/>
      <c r="B12" s="341" t="s">
        <v>280</v>
      </c>
      <c r="C12" s="342"/>
      <c r="D12" s="67" t="s">
        <v>281</v>
      </c>
      <c r="E12" s="692"/>
      <c r="F12" s="692">
        <f>E13+E14</f>
        <v>336570.71</v>
      </c>
      <c r="G12" s="693"/>
      <c r="J12" s="55"/>
    </row>
    <row r="13" spans="1:10" ht="21.75" customHeight="1" x14ac:dyDescent="0.2">
      <c r="A13" s="340"/>
      <c r="B13" s="341"/>
      <c r="C13" s="340" t="s">
        <v>24</v>
      </c>
      <c r="D13" s="343" t="s">
        <v>481</v>
      </c>
      <c r="E13" s="692">
        <f>+CONSOLIDADO!E160+CONSOLIDADO!J160</f>
        <v>36671.39</v>
      </c>
      <c r="F13" s="692"/>
      <c r="G13" s="693"/>
      <c r="J13" s="55"/>
    </row>
    <row r="14" spans="1:10" ht="21.75" customHeight="1" thickBot="1" x14ac:dyDescent="0.25">
      <c r="A14" s="344"/>
      <c r="B14" s="345"/>
      <c r="C14" s="346" t="s">
        <v>255</v>
      </c>
      <c r="D14" s="69" t="s">
        <v>482</v>
      </c>
      <c r="E14" s="694">
        <f>+CONSOLIDADO!F160+CONSOLIDADO!K160</f>
        <v>299899.32</v>
      </c>
      <c r="F14" s="694"/>
      <c r="G14" s="695"/>
      <c r="J14" s="57"/>
    </row>
    <row r="15" spans="1:10" ht="21.75" customHeight="1" x14ac:dyDescent="0.2">
      <c r="A15" s="163">
        <v>3</v>
      </c>
      <c r="B15" s="175"/>
      <c r="C15" s="176"/>
      <c r="D15" s="71" t="s">
        <v>282</v>
      </c>
      <c r="E15" s="691"/>
      <c r="F15" s="693"/>
      <c r="G15" s="693">
        <f>+F16</f>
        <v>948650.24</v>
      </c>
    </row>
    <row r="16" spans="1:10" ht="21.75" customHeight="1" x14ac:dyDescent="0.2">
      <c r="A16" s="163"/>
      <c r="B16" s="341" t="s">
        <v>283</v>
      </c>
      <c r="C16" s="342"/>
      <c r="D16" s="67" t="s">
        <v>284</v>
      </c>
      <c r="E16" s="692"/>
      <c r="F16" s="692">
        <f>E17+E18</f>
        <v>948650.24</v>
      </c>
      <c r="G16" s="693"/>
    </row>
    <row r="17" spans="1:7" ht="21.75" customHeight="1" x14ac:dyDescent="0.2">
      <c r="A17" s="163"/>
      <c r="B17" s="341"/>
      <c r="C17" s="340" t="s">
        <v>233</v>
      </c>
      <c r="D17" s="67" t="s">
        <v>285</v>
      </c>
      <c r="E17" s="696">
        <f>+CONSOLIDADO!M160</f>
        <v>85179.200000000012</v>
      </c>
      <c r="F17" s="692"/>
      <c r="G17" s="693"/>
    </row>
    <row r="18" spans="1:7" ht="21.75" customHeight="1" thickBot="1" x14ac:dyDescent="0.25">
      <c r="A18" s="178"/>
      <c r="B18" s="345"/>
      <c r="C18" s="346" t="s">
        <v>234</v>
      </c>
      <c r="D18" s="69" t="s">
        <v>286</v>
      </c>
      <c r="E18" s="697">
        <f>+CONSOLIDADO!N160+CONSOLIDADO!U160+CONSOLIDADO!X160</f>
        <v>863471.04</v>
      </c>
      <c r="F18" s="694"/>
      <c r="G18" s="695"/>
    </row>
    <row r="19" spans="1:7" ht="21.75" customHeight="1" x14ac:dyDescent="0.2">
      <c r="A19" s="163">
        <v>4</v>
      </c>
      <c r="B19" s="175"/>
      <c r="C19" s="176"/>
      <c r="D19" s="71" t="s">
        <v>287</v>
      </c>
      <c r="E19" s="693"/>
      <c r="F19" s="693"/>
      <c r="G19" s="693">
        <f>+F20</f>
        <v>800817.49</v>
      </c>
    </row>
    <row r="20" spans="1:7" ht="21.75" customHeight="1" x14ac:dyDescent="0.2">
      <c r="A20" s="163"/>
      <c r="B20" s="341" t="s">
        <v>288</v>
      </c>
      <c r="C20" s="342"/>
      <c r="D20" s="67" t="s">
        <v>289</v>
      </c>
      <c r="E20" s="692"/>
      <c r="F20" s="692">
        <f>+E21+E22</f>
        <v>800817.49</v>
      </c>
      <c r="G20" s="693"/>
    </row>
    <row r="21" spans="1:7" ht="21.75" customHeight="1" x14ac:dyDescent="0.2">
      <c r="A21" s="163"/>
      <c r="B21" s="341"/>
      <c r="C21" s="342" t="s">
        <v>235</v>
      </c>
      <c r="D21" s="67" t="s">
        <v>290</v>
      </c>
      <c r="E21" s="692">
        <f>+CONSOLIDADO!O160+CONSOLIDADO!V160</f>
        <v>779969.03</v>
      </c>
      <c r="F21" s="692"/>
      <c r="G21" s="693"/>
    </row>
    <row r="22" spans="1:7" ht="21.75" customHeight="1" thickBot="1" x14ac:dyDescent="0.25">
      <c r="A22" s="178"/>
      <c r="B22" s="345"/>
      <c r="C22" s="346" t="s">
        <v>455</v>
      </c>
      <c r="D22" s="69" t="s">
        <v>478</v>
      </c>
      <c r="E22" s="694">
        <f>+CONSOLIDADO!T160</f>
        <v>20848.46</v>
      </c>
      <c r="F22" s="694"/>
      <c r="G22" s="695"/>
    </row>
    <row r="23" spans="1:7" ht="21.75" customHeight="1" x14ac:dyDescent="0.2">
      <c r="A23" s="163">
        <v>5</v>
      </c>
      <c r="B23" s="175"/>
      <c r="C23" s="176"/>
      <c r="D23" s="65" t="s">
        <v>291</v>
      </c>
      <c r="E23" s="693"/>
      <c r="F23" s="693"/>
      <c r="G23" s="693">
        <f>+F24</f>
        <v>393689.79000000004</v>
      </c>
    </row>
    <row r="24" spans="1:7" ht="21.75" customHeight="1" x14ac:dyDescent="0.2">
      <c r="A24" s="63"/>
      <c r="B24" s="341" t="s">
        <v>292</v>
      </c>
      <c r="C24" s="342"/>
      <c r="D24" s="67" t="s">
        <v>293</v>
      </c>
      <c r="E24" s="692"/>
      <c r="F24" s="692">
        <f>E25+E26+E27</f>
        <v>393689.79000000004</v>
      </c>
      <c r="G24" s="693"/>
    </row>
    <row r="25" spans="1:7" ht="21.75" customHeight="1" x14ac:dyDescent="0.2">
      <c r="A25" s="63"/>
      <c r="B25" s="341"/>
      <c r="C25" s="342" t="s">
        <v>236</v>
      </c>
      <c r="D25" s="67" t="s">
        <v>294</v>
      </c>
      <c r="E25" s="692">
        <f>+CONSOLIDADO!P160</f>
        <v>269033.29000000004</v>
      </c>
      <c r="F25" s="692"/>
      <c r="G25" s="693"/>
    </row>
    <row r="26" spans="1:7" ht="21.75" customHeight="1" x14ac:dyDescent="0.2">
      <c r="A26" s="63"/>
      <c r="B26" s="341"/>
      <c r="C26" s="690" t="s">
        <v>639</v>
      </c>
      <c r="D26" s="664" t="s">
        <v>644</v>
      </c>
      <c r="E26" s="692">
        <f>CONSOLIDADO!Q160</f>
        <v>116117.97</v>
      </c>
      <c r="F26" s="692"/>
      <c r="G26" s="693"/>
    </row>
    <row r="27" spans="1:7" ht="21.75" customHeight="1" thickBot="1" x14ac:dyDescent="0.25">
      <c r="A27" s="63"/>
      <c r="B27" s="341"/>
      <c r="C27" s="342" t="s">
        <v>466</v>
      </c>
      <c r="D27" s="67" t="s">
        <v>479</v>
      </c>
      <c r="E27" s="692">
        <f>+CONSOLIDADO!R160</f>
        <v>8538.5299999999988</v>
      </c>
      <c r="F27" s="692"/>
      <c r="G27" s="693"/>
    </row>
    <row r="28" spans="1:7" ht="21.75" customHeight="1" thickBot="1" x14ac:dyDescent="0.25">
      <c r="A28" s="1033" t="s">
        <v>25</v>
      </c>
      <c r="B28" s="1152"/>
      <c r="C28" s="1152"/>
      <c r="D28" s="1203"/>
      <c r="E28" s="698">
        <f>SUM(E8:E27)</f>
        <v>2850587.6</v>
      </c>
      <c r="F28" s="698">
        <f>SUM(F8:F25)</f>
        <v>2850587.6</v>
      </c>
      <c r="G28" s="698">
        <f>SUM(G8:G25)</f>
        <v>2850587.6</v>
      </c>
    </row>
    <row r="30" spans="1:7" x14ac:dyDescent="0.2">
      <c r="G30" s="542">
        <f>+G28-'ING. REALES'!J73</f>
        <v>0</v>
      </c>
    </row>
    <row r="31" spans="1:7" x14ac:dyDescent="0.2">
      <c r="G31" s="7"/>
    </row>
    <row r="33" ht="13.5" customHeight="1" x14ac:dyDescent="0.2"/>
  </sheetData>
  <mergeCells count="10">
    <mergeCell ref="A1:G1"/>
    <mergeCell ref="A2:G2"/>
    <mergeCell ref="A3:G3"/>
    <mergeCell ref="A28:D28"/>
    <mergeCell ref="A4:G4"/>
    <mergeCell ref="A5:G5"/>
    <mergeCell ref="D6:D7"/>
    <mergeCell ref="E6:E7"/>
    <mergeCell ref="F6:F7"/>
    <mergeCell ref="G6:G7"/>
  </mergeCells>
  <phoneticPr fontId="0" type="noConversion"/>
  <printOptions horizontalCentered="1"/>
  <pageMargins left="0.74803149606299213" right="0.19685039370078741" top="0.43307086614173229" bottom="0.23622047244094491" header="0" footer="0"/>
  <pageSetup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showGridLines="0" topLeftCell="A4" workbookViewId="0">
      <selection activeCell="G16" sqref="G16"/>
    </sheetView>
  </sheetViews>
  <sheetFormatPr baseColWidth="10" defaultRowHeight="12.75" x14ac:dyDescent="0.2"/>
  <cols>
    <col min="1" max="1" width="11.42578125" style="2"/>
    <col min="2" max="2" width="34" style="2" customWidth="1"/>
    <col min="3" max="4" width="18" style="52" customWidth="1"/>
    <col min="6" max="6" width="13.85546875" bestFit="1" customWidth="1"/>
  </cols>
  <sheetData>
    <row r="5" spans="1:5" ht="15" x14ac:dyDescent="0.2">
      <c r="A5" s="1188" t="s">
        <v>566</v>
      </c>
      <c r="B5" s="1188"/>
      <c r="C5" s="1188"/>
      <c r="D5" s="1188"/>
    </row>
    <row r="6" spans="1:5" ht="15" x14ac:dyDescent="0.2">
      <c r="A6" s="1188" t="s">
        <v>490</v>
      </c>
      <c r="B6" s="1188"/>
      <c r="C6" s="1188"/>
      <c r="D6" s="1188"/>
    </row>
    <row r="7" spans="1:5" ht="15" x14ac:dyDescent="0.2">
      <c r="A7" s="1210" t="s">
        <v>751</v>
      </c>
      <c r="B7" s="1210"/>
      <c r="C7" s="1210"/>
      <c r="D7" s="1210"/>
    </row>
    <row r="8" spans="1:5" ht="13.5" x14ac:dyDescent="0.25">
      <c r="A8" s="152"/>
      <c r="B8" s="180"/>
      <c r="C8" s="202"/>
      <c r="D8" s="202"/>
    </row>
    <row r="9" spans="1:5" ht="14.25" thickBot="1" x14ac:dyDescent="0.3">
      <c r="A9" s="152"/>
      <c r="B9" s="180"/>
      <c r="C9" s="202"/>
      <c r="D9" s="202"/>
    </row>
    <row r="10" spans="1:5" ht="14.25" x14ac:dyDescent="0.2">
      <c r="A10" s="1190" t="s">
        <v>295</v>
      </c>
      <c r="B10" s="1191"/>
      <c r="C10" s="1191"/>
      <c r="D10" s="1192"/>
    </row>
    <row r="11" spans="1:5" ht="14.25" thickBot="1" x14ac:dyDescent="0.3">
      <c r="A11" s="1199" t="s">
        <v>477</v>
      </c>
      <c r="B11" s="1200"/>
      <c r="C11" s="1200"/>
      <c r="D11" s="1201"/>
    </row>
    <row r="12" spans="1:5" ht="15.75" thickBot="1" x14ac:dyDescent="0.3">
      <c r="A12" s="181" t="s">
        <v>296</v>
      </c>
      <c r="B12" s="182" t="s">
        <v>297</v>
      </c>
      <c r="C12" s="212" t="s">
        <v>298</v>
      </c>
      <c r="D12" s="212" t="s">
        <v>299</v>
      </c>
    </row>
    <row r="13" spans="1:5" x14ac:dyDescent="0.2">
      <c r="A13" s="183"/>
      <c r="C13" s="213"/>
      <c r="D13" s="213"/>
    </row>
    <row r="14" spans="1:5" x14ac:dyDescent="0.2">
      <c r="A14" s="154">
        <v>1</v>
      </c>
      <c r="B14" s="131" t="s">
        <v>483</v>
      </c>
      <c r="C14" s="206">
        <f>+'ING. REALES'!C73+'ING. REALES'!D73+'ING. REALES'!E73</f>
        <v>1730852.5100000002</v>
      </c>
      <c r="D14" s="206">
        <f>+CONSOLIDADO!L160+CONSOLIDADO!S160+CONSOLIDADO!T160</f>
        <v>1730852.5099999998</v>
      </c>
      <c r="E14" s="42"/>
    </row>
    <row r="15" spans="1:5" x14ac:dyDescent="0.2">
      <c r="A15" s="154"/>
      <c r="B15" s="131"/>
      <c r="C15" s="206"/>
      <c r="D15" s="213"/>
    </row>
    <row r="16" spans="1:5" x14ac:dyDescent="0.2">
      <c r="A16" s="154">
        <v>2</v>
      </c>
      <c r="B16" s="131" t="s">
        <v>300</v>
      </c>
      <c r="C16" s="699">
        <f>+'ING. REALES'!G73</f>
        <v>348543.44000000006</v>
      </c>
      <c r="D16" s="699">
        <f>+CONSOLIDADO!G160</f>
        <v>348543.44000000006</v>
      </c>
      <c r="E16" s="42"/>
    </row>
    <row r="17" spans="1:6" x14ac:dyDescent="0.2">
      <c r="A17" s="154"/>
      <c r="B17" s="131"/>
      <c r="C17" s="206"/>
      <c r="D17" s="213"/>
    </row>
    <row r="18" spans="1:6" x14ac:dyDescent="0.2">
      <c r="A18" s="154">
        <v>3</v>
      </c>
      <c r="B18" s="131" t="s">
        <v>301</v>
      </c>
      <c r="C18" s="206">
        <v>0</v>
      </c>
      <c r="D18" s="206">
        <v>0</v>
      </c>
    </row>
    <row r="19" spans="1:6" x14ac:dyDescent="0.2">
      <c r="A19" s="154"/>
      <c r="B19" s="131"/>
      <c r="C19" s="206"/>
      <c r="D19" s="213"/>
    </row>
    <row r="20" spans="1:6" x14ac:dyDescent="0.2">
      <c r="A20" s="154">
        <v>4</v>
      </c>
      <c r="B20" s="131" t="s">
        <v>302</v>
      </c>
      <c r="C20" s="206">
        <f>+'ING. REALES'!I73</f>
        <v>771191.65</v>
      </c>
      <c r="D20" s="206">
        <f>+CONSOLIDADO!W160</f>
        <v>771191.65</v>
      </c>
    </row>
    <row r="21" spans="1:6" x14ac:dyDescent="0.2">
      <c r="A21" s="154"/>
      <c r="B21" s="131"/>
      <c r="C21" s="206"/>
      <c r="D21" s="206"/>
    </row>
    <row r="22" spans="1:6" x14ac:dyDescent="0.2">
      <c r="A22" s="154">
        <v>5</v>
      </c>
      <c r="B22" s="131" t="s">
        <v>473</v>
      </c>
      <c r="C22" s="206">
        <f>+'ING. REALES'!H73</f>
        <v>0</v>
      </c>
      <c r="D22" s="206">
        <f>C22</f>
        <v>0</v>
      </c>
    </row>
    <row r="23" spans="1:6" x14ac:dyDescent="0.2">
      <c r="A23" s="154"/>
      <c r="B23" s="131"/>
      <c r="C23" s="206"/>
      <c r="D23" s="213"/>
    </row>
    <row r="24" spans="1:6" ht="13.5" thickBot="1" x14ac:dyDescent="0.25">
      <c r="A24" s="177"/>
      <c r="C24" s="206"/>
      <c r="D24" s="213"/>
    </row>
    <row r="25" spans="1:6" ht="13.5" thickBot="1" x14ac:dyDescent="0.25">
      <c r="A25" s="184"/>
      <c r="B25" s="179" t="s">
        <v>185</v>
      </c>
      <c r="C25" s="214">
        <f>SUM(C13:C24)</f>
        <v>2850587.6</v>
      </c>
      <c r="D25" s="214">
        <f>SUM(D13:D24)</f>
        <v>2850587.5999999996</v>
      </c>
    </row>
    <row r="26" spans="1:6" x14ac:dyDescent="0.2">
      <c r="B26" s="72"/>
      <c r="C26" s="215"/>
    </row>
    <row r="27" spans="1:6" ht="15.75" x14ac:dyDescent="0.25">
      <c r="B27" s="185"/>
      <c r="D27" s="522">
        <f>+C25-D25</f>
        <v>0</v>
      </c>
      <c r="F27" s="53"/>
    </row>
  </sheetData>
  <mergeCells count="5">
    <mergeCell ref="A5:D5"/>
    <mergeCell ref="A10:D10"/>
    <mergeCell ref="A11:D11"/>
    <mergeCell ref="A6:D6"/>
    <mergeCell ref="A7:D7"/>
  </mergeCells>
  <phoneticPr fontId="6" type="noConversion"/>
  <printOptions horizontalCentered="1"/>
  <pageMargins left="0.74803149606299213" right="0.74803149606299213" top="1.3779527559055118" bottom="0.98425196850393704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L33"/>
  <sheetViews>
    <sheetView showGridLines="0" zoomScale="80" zoomScaleNormal="80" workbookViewId="0">
      <selection activeCell="J14" sqref="J14"/>
    </sheetView>
  </sheetViews>
  <sheetFormatPr baseColWidth="10" defaultRowHeight="12.75" x14ac:dyDescent="0.2"/>
  <cols>
    <col min="1" max="1" width="9.7109375" style="72" customWidth="1"/>
    <col min="2" max="2" width="50.85546875" style="2" customWidth="1"/>
    <col min="3" max="4" width="18.140625" style="2" customWidth="1"/>
    <col min="5" max="5" width="18.140625" style="2" hidden="1" customWidth="1"/>
    <col min="6" max="8" width="18.140625" style="2" customWidth="1"/>
    <col min="9" max="9" width="12.28515625" style="2" bestFit="1" customWidth="1"/>
    <col min="10" max="11" width="11.5703125" style="2" bestFit="1" customWidth="1"/>
    <col min="12" max="12" width="12.28515625" style="2" bestFit="1" customWidth="1"/>
    <col min="13" max="16384" width="11.42578125" style="2"/>
  </cols>
  <sheetData>
    <row r="1" spans="1:12" ht="15.75" x14ac:dyDescent="0.25">
      <c r="A1" s="1211" t="s">
        <v>260</v>
      </c>
      <c r="B1" s="1211"/>
      <c r="C1" s="1211"/>
      <c r="D1" s="1211"/>
      <c r="E1" s="1211"/>
      <c r="F1" s="1211"/>
      <c r="G1" s="1211"/>
      <c r="H1" s="1211"/>
      <c r="I1" s="60"/>
    </row>
    <row r="2" spans="1:12" ht="15.75" x14ac:dyDescent="0.25">
      <c r="A2" s="1212" t="s">
        <v>484</v>
      </c>
      <c r="B2" s="1212"/>
      <c r="C2" s="1212"/>
      <c r="D2" s="1212"/>
      <c r="E2" s="1212"/>
      <c r="F2" s="1212"/>
      <c r="G2" s="1212"/>
      <c r="H2" s="1212"/>
      <c r="I2" s="61"/>
    </row>
    <row r="3" spans="1:12" ht="15.75" x14ac:dyDescent="0.25">
      <c r="A3" s="1212" t="s">
        <v>752</v>
      </c>
      <c r="B3" s="1212"/>
      <c r="C3" s="1212"/>
      <c r="D3" s="1212"/>
      <c r="E3" s="1212"/>
      <c r="F3" s="1212"/>
      <c r="G3" s="1212"/>
      <c r="H3" s="1212"/>
      <c r="I3" s="61"/>
    </row>
    <row r="4" spans="1:12" ht="19.5" customHeight="1" x14ac:dyDescent="0.25">
      <c r="A4" s="1211" t="s">
        <v>261</v>
      </c>
      <c r="B4" s="1211"/>
      <c r="C4" s="1211"/>
      <c r="D4" s="1211"/>
      <c r="E4" s="1211"/>
      <c r="F4" s="1211"/>
      <c r="G4" s="1211"/>
      <c r="H4" s="1211"/>
      <c r="I4" s="60"/>
    </row>
    <row r="5" spans="1:12" ht="18.75" customHeight="1" x14ac:dyDescent="0.25">
      <c r="A5" s="1215" t="s">
        <v>303</v>
      </c>
      <c r="B5" s="1215"/>
      <c r="C5" s="1215"/>
      <c r="D5" s="1215"/>
      <c r="E5" s="1215"/>
      <c r="F5" s="1215"/>
      <c r="G5" s="1215"/>
      <c r="H5" s="1215"/>
      <c r="I5" s="62"/>
    </row>
    <row r="6" spans="1:12" ht="18.75" customHeight="1" thickBot="1" x14ac:dyDescent="0.3">
      <c r="A6" s="329"/>
      <c r="B6" s="329"/>
      <c r="C6" s="329"/>
      <c r="D6" s="329"/>
      <c r="E6" s="329"/>
      <c r="F6" s="329"/>
      <c r="G6" s="329"/>
      <c r="H6" s="329"/>
      <c r="I6" s="62"/>
    </row>
    <row r="7" spans="1:12" ht="15" customHeight="1" x14ac:dyDescent="0.2">
      <c r="A7" s="1213" t="s">
        <v>304</v>
      </c>
      <c r="B7" s="1216" t="s">
        <v>305</v>
      </c>
      <c r="C7" s="1218" t="s">
        <v>306</v>
      </c>
      <c r="D7" s="1218" t="s">
        <v>307</v>
      </c>
      <c r="E7" s="1218" t="s">
        <v>308</v>
      </c>
      <c r="F7" s="1218" t="s">
        <v>309</v>
      </c>
      <c r="G7" s="1218" t="s">
        <v>310</v>
      </c>
      <c r="H7" s="1218" t="s">
        <v>25</v>
      </c>
      <c r="I7" s="17"/>
    </row>
    <row r="8" spans="1:12" ht="15" customHeight="1" thickBot="1" x14ac:dyDescent="0.25">
      <c r="A8" s="1214"/>
      <c r="B8" s="1217"/>
      <c r="C8" s="1219"/>
      <c r="D8" s="1219"/>
      <c r="E8" s="1219"/>
      <c r="F8" s="1219"/>
      <c r="G8" s="1219"/>
      <c r="H8" s="1219"/>
    </row>
    <row r="9" spans="1:12" ht="24.95" customHeight="1" x14ac:dyDescent="0.2">
      <c r="A9" s="58" t="s">
        <v>274</v>
      </c>
      <c r="B9" s="59" t="s">
        <v>275</v>
      </c>
      <c r="C9" s="218">
        <f>C10+C13</f>
        <v>358886.64</v>
      </c>
      <c r="D9" s="218">
        <f>D10+D13</f>
        <v>348543.44</v>
      </c>
      <c r="E9" s="218"/>
      <c r="F9" s="218">
        <v>0</v>
      </c>
      <c r="G9" s="218">
        <v>0</v>
      </c>
      <c r="H9" s="218">
        <f>H10+H13</f>
        <v>707430.08000000007</v>
      </c>
    </row>
    <row r="10" spans="1:12" ht="24.95" customHeight="1" x14ac:dyDescent="0.2">
      <c r="A10" s="64" t="s">
        <v>276</v>
      </c>
      <c r="B10" s="65" t="s">
        <v>277</v>
      </c>
      <c r="C10" s="219">
        <f>C11+C12</f>
        <v>173913.77000000002</v>
      </c>
      <c r="D10" s="219">
        <f>D11+D12</f>
        <v>196945.6</v>
      </c>
      <c r="E10" s="219"/>
      <c r="F10" s="219">
        <v>0</v>
      </c>
      <c r="G10" s="219">
        <v>0</v>
      </c>
      <c r="H10" s="219">
        <f>H11+H12</f>
        <v>370859.37</v>
      </c>
      <c r="I10" s="52"/>
      <c r="J10" s="52"/>
      <c r="K10" s="52"/>
      <c r="L10" s="52"/>
    </row>
    <row r="11" spans="1:12" ht="24.95" customHeight="1" x14ac:dyDescent="0.2">
      <c r="A11" s="66" t="s">
        <v>20</v>
      </c>
      <c r="B11" s="67" t="s">
        <v>311</v>
      </c>
      <c r="C11" s="220">
        <f>+CONSOLIDADO!H160</f>
        <v>140679.02000000002</v>
      </c>
      <c r="D11" s="220">
        <f>+CONSOLIDADO!C160</f>
        <v>155595.6</v>
      </c>
      <c r="E11" s="220"/>
      <c r="F11" s="220">
        <v>0</v>
      </c>
      <c r="G11" s="220">
        <v>0</v>
      </c>
      <c r="H11" s="220">
        <f>C11+D11+E11+F11+G11</f>
        <v>296274.62</v>
      </c>
      <c r="I11" s="52"/>
      <c r="J11" s="52"/>
      <c r="K11" s="52"/>
      <c r="L11" s="52"/>
    </row>
    <row r="12" spans="1:12" ht="24.95" customHeight="1" x14ac:dyDescent="0.2">
      <c r="A12" s="66" t="s">
        <v>21</v>
      </c>
      <c r="B12" s="67" t="s">
        <v>279</v>
      </c>
      <c r="C12" s="220">
        <f>+CONSOLIDADO!I160</f>
        <v>33234.75</v>
      </c>
      <c r="D12" s="220">
        <f>+CONSOLIDADO!D160</f>
        <v>41350</v>
      </c>
      <c r="E12" s="220"/>
      <c r="F12" s="220">
        <v>0</v>
      </c>
      <c r="G12" s="220">
        <v>0</v>
      </c>
      <c r="H12" s="220">
        <f>C12+D12+E12+F12+G12</f>
        <v>74584.75</v>
      </c>
      <c r="J12" s="7"/>
    </row>
    <row r="13" spans="1:12" ht="24.95" customHeight="1" x14ac:dyDescent="0.2">
      <c r="A13" s="64" t="s">
        <v>280</v>
      </c>
      <c r="B13" s="65" t="s">
        <v>281</v>
      </c>
      <c r="C13" s="219">
        <f>SUM(C14:C15)</f>
        <v>184972.87</v>
      </c>
      <c r="D13" s="219">
        <f>SUM(D14:D15)</f>
        <v>151597.84</v>
      </c>
      <c r="E13" s="219"/>
      <c r="F13" s="219">
        <v>0</v>
      </c>
      <c r="G13" s="219">
        <v>0</v>
      </c>
      <c r="H13" s="219">
        <f>+H14+H15</f>
        <v>336570.71</v>
      </c>
      <c r="J13" s="7"/>
    </row>
    <row r="14" spans="1:12" ht="24.95" customHeight="1" x14ac:dyDescent="0.2">
      <c r="A14" s="66" t="s">
        <v>24</v>
      </c>
      <c r="B14" s="67" t="s">
        <v>481</v>
      </c>
      <c r="C14" s="220">
        <f>+CONSOLIDADO!J160</f>
        <v>11628.56</v>
      </c>
      <c r="D14" s="220">
        <f>+CONSOLIDADO!E160</f>
        <v>25042.83</v>
      </c>
      <c r="E14" s="219"/>
      <c r="F14" s="701">
        <v>0</v>
      </c>
      <c r="G14" s="701">
        <v>0</v>
      </c>
      <c r="H14" s="220">
        <f>C14+D14+E14+F14+G14</f>
        <v>36671.39</v>
      </c>
      <c r="J14" s="7"/>
    </row>
    <row r="15" spans="1:12" ht="24.95" customHeight="1" thickBot="1" x14ac:dyDescent="0.25">
      <c r="A15" s="68" t="s">
        <v>255</v>
      </c>
      <c r="B15" s="69" t="s">
        <v>482</v>
      </c>
      <c r="C15" s="221">
        <f>+CONSOLIDADO!K160</f>
        <v>173344.31</v>
      </c>
      <c r="D15" s="221">
        <f>+CONSOLIDADO!F160</f>
        <v>126555.01</v>
      </c>
      <c r="E15" s="222"/>
      <c r="F15" s="702">
        <v>0</v>
      </c>
      <c r="G15" s="702">
        <v>0</v>
      </c>
      <c r="H15" s="221">
        <f>C15+D15+E15+F15+G15</f>
        <v>299899.32</v>
      </c>
      <c r="J15" s="70"/>
    </row>
    <row r="16" spans="1:12" ht="24.95" customHeight="1" x14ac:dyDescent="0.2">
      <c r="A16" s="64" t="s">
        <v>312</v>
      </c>
      <c r="B16" s="71" t="s">
        <v>282</v>
      </c>
      <c r="C16" s="219">
        <f t="shared" ref="C16:H16" si="0">C17</f>
        <v>588650.23999999999</v>
      </c>
      <c r="D16" s="219">
        <f t="shared" si="0"/>
        <v>0</v>
      </c>
      <c r="E16" s="219">
        <f t="shared" si="0"/>
        <v>0</v>
      </c>
      <c r="F16" s="219">
        <f t="shared" si="0"/>
        <v>360000</v>
      </c>
      <c r="G16" s="219">
        <f t="shared" si="0"/>
        <v>0</v>
      </c>
      <c r="H16" s="219">
        <f t="shared" si="0"/>
        <v>948650.24</v>
      </c>
    </row>
    <row r="17" spans="1:8" ht="24.95" customHeight="1" x14ac:dyDescent="0.2">
      <c r="A17" s="64" t="s">
        <v>283</v>
      </c>
      <c r="B17" s="65" t="s">
        <v>284</v>
      </c>
      <c r="C17" s="219">
        <f>C18+C19</f>
        <v>588650.23999999999</v>
      </c>
      <c r="D17" s="219">
        <f>D18+D19</f>
        <v>0</v>
      </c>
      <c r="E17" s="219">
        <f>E18+E19</f>
        <v>0</v>
      </c>
      <c r="F17" s="219">
        <f>F18+F19</f>
        <v>360000</v>
      </c>
      <c r="G17" s="219">
        <f>G18+G19</f>
        <v>0</v>
      </c>
      <c r="H17" s="219">
        <f>+H18+H19</f>
        <v>948650.24</v>
      </c>
    </row>
    <row r="18" spans="1:8" ht="24.95" customHeight="1" x14ac:dyDescent="0.2">
      <c r="A18" s="66" t="s">
        <v>233</v>
      </c>
      <c r="B18" s="67" t="s">
        <v>313</v>
      </c>
      <c r="C18" s="220">
        <f>CONSOLIDADO!M160</f>
        <v>85179.200000000012</v>
      </c>
      <c r="D18" s="701">
        <v>0</v>
      </c>
      <c r="E18" s="701">
        <v>0</v>
      </c>
      <c r="F18" s="701">
        <v>0</v>
      </c>
      <c r="G18" s="701">
        <v>0</v>
      </c>
      <c r="H18" s="220">
        <f>C18+D18+E18+F18+G18</f>
        <v>85179.200000000012</v>
      </c>
    </row>
    <row r="19" spans="1:8" ht="24.95" customHeight="1" thickBot="1" x14ac:dyDescent="0.25">
      <c r="A19" s="68" t="s">
        <v>234</v>
      </c>
      <c r="B19" s="69" t="s">
        <v>286</v>
      </c>
      <c r="C19" s="221">
        <f>+CONSOLIDADO!N160</f>
        <v>503471.04</v>
      </c>
      <c r="D19" s="221">
        <v>0</v>
      </c>
      <c r="E19" s="222"/>
      <c r="F19" s="221">
        <f>+CONSOLIDADO!U160</f>
        <v>360000</v>
      </c>
      <c r="G19" s="221">
        <f>+CONSOLIDADO!X160</f>
        <v>0</v>
      </c>
      <c r="H19" s="221">
        <f>C19+D19+E19+F19+G19</f>
        <v>863471.04</v>
      </c>
    </row>
    <row r="20" spans="1:8" ht="24.95" customHeight="1" x14ac:dyDescent="0.2">
      <c r="A20" s="64" t="s">
        <v>314</v>
      </c>
      <c r="B20" s="71" t="s">
        <v>287</v>
      </c>
      <c r="C20" s="219">
        <f>C21</f>
        <v>389625.84</v>
      </c>
      <c r="D20" s="219">
        <f t="shared" ref="D20:G21" si="1">D21</f>
        <v>0</v>
      </c>
      <c r="E20" s="219">
        <f t="shared" si="1"/>
        <v>0</v>
      </c>
      <c r="F20" s="219">
        <f t="shared" si="1"/>
        <v>411191.65</v>
      </c>
      <c r="G20" s="219">
        <f t="shared" si="1"/>
        <v>0</v>
      </c>
      <c r="H20" s="219">
        <f>H21</f>
        <v>800817.49</v>
      </c>
    </row>
    <row r="21" spans="1:8" ht="24.95" customHeight="1" x14ac:dyDescent="0.2">
      <c r="A21" s="64" t="s">
        <v>288</v>
      </c>
      <c r="B21" s="65" t="s">
        <v>289</v>
      </c>
      <c r="C21" s="219">
        <f>C22+C23</f>
        <v>389625.84</v>
      </c>
      <c r="D21" s="219">
        <f t="shared" si="1"/>
        <v>0</v>
      </c>
      <c r="E21" s="219">
        <f t="shared" si="1"/>
        <v>0</v>
      </c>
      <c r="F21" s="219">
        <f t="shared" si="1"/>
        <v>411191.65</v>
      </c>
      <c r="G21" s="219">
        <f t="shared" si="1"/>
        <v>0</v>
      </c>
      <c r="H21" s="219">
        <f>H22+H23</f>
        <v>800817.49</v>
      </c>
    </row>
    <row r="22" spans="1:8" ht="21" customHeight="1" x14ac:dyDescent="0.2">
      <c r="A22" s="66" t="s">
        <v>235</v>
      </c>
      <c r="B22" s="67" t="s">
        <v>290</v>
      </c>
      <c r="C22" s="220">
        <f>+CONSOLIDADO!O160</f>
        <v>368777.38</v>
      </c>
      <c r="D22" s="701">
        <v>0</v>
      </c>
      <c r="E22" s="701">
        <v>0</v>
      </c>
      <c r="F22" s="701">
        <f>CONSOLIDADO!V160</f>
        <v>411191.65</v>
      </c>
      <c r="G22" s="701">
        <v>0</v>
      </c>
      <c r="H22" s="220">
        <f>C22+D22+E22+F22+G22</f>
        <v>779969.03</v>
      </c>
    </row>
    <row r="23" spans="1:8" ht="21" customHeight="1" thickBot="1" x14ac:dyDescent="0.25">
      <c r="A23" s="68" t="s">
        <v>455</v>
      </c>
      <c r="B23" s="69" t="s">
        <v>478</v>
      </c>
      <c r="C23" s="221">
        <f>CONSOLIDADO!T160</f>
        <v>20848.46</v>
      </c>
      <c r="D23" s="702">
        <v>0</v>
      </c>
      <c r="E23" s="702">
        <v>0</v>
      </c>
      <c r="F23" s="702">
        <v>0</v>
      </c>
      <c r="G23" s="702">
        <v>0</v>
      </c>
      <c r="H23" s="221">
        <f>C23+D23+E23+F23+G23</f>
        <v>20848.46</v>
      </c>
    </row>
    <row r="24" spans="1:8" ht="23.25" customHeight="1" x14ac:dyDescent="0.2">
      <c r="A24" s="64" t="s">
        <v>315</v>
      </c>
      <c r="B24" s="65" t="s">
        <v>291</v>
      </c>
      <c r="C24" s="219">
        <f>C25</f>
        <v>393689.79000000004</v>
      </c>
      <c r="D24" s="219">
        <f t="shared" ref="D24:H25" si="2">D25</f>
        <v>0</v>
      </c>
      <c r="E24" s="219">
        <f t="shared" si="2"/>
        <v>0</v>
      </c>
      <c r="F24" s="219">
        <f t="shared" si="2"/>
        <v>0</v>
      </c>
      <c r="G24" s="219">
        <f t="shared" si="2"/>
        <v>0</v>
      </c>
      <c r="H24" s="219">
        <f t="shared" si="2"/>
        <v>393689.79000000004</v>
      </c>
    </row>
    <row r="25" spans="1:8" ht="24.95" customHeight="1" x14ac:dyDescent="0.2">
      <c r="A25" s="64" t="s">
        <v>292</v>
      </c>
      <c r="B25" s="65" t="s">
        <v>293</v>
      </c>
      <c r="C25" s="219">
        <f>C26+C27+C28</f>
        <v>393689.79000000004</v>
      </c>
      <c r="D25" s="219">
        <f t="shared" si="2"/>
        <v>0</v>
      </c>
      <c r="E25" s="219">
        <f t="shared" si="2"/>
        <v>0</v>
      </c>
      <c r="F25" s="219">
        <f t="shared" si="2"/>
        <v>0</v>
      </c>
      <c r="G25" s="219">
        <f t="shared" si="2"/>
        <v>0</v>
      </c>
      <c r="H25" s="219">
        <f>H26+H27+H28</f>
        <v>393689.79000000004</v>
      </c>
    </row>
    <row r="26" spans="1:8" ht="24.95" customHeight="1" x14ac:dyDescent="0.2">
      <c r="A26" s="66" t="s">
        <v>236</v>
      </c>
      <c r="B26" s="67" t="s">
        <v>294</v>
      </c>
      <c r="C26" s="220">
        <f>RESUMEN2!E25</f>
        <v>269033.29000000004</v>
      </c>
      <c r="D26" s="701">
        <v>0</v>
      </c>
      <c r="E26" s="701">
        <v>0</v>
      </c>
      <c r="F26" s="701">
        <v>0</v>
      </c>
      <c r="G26" s="701">
        <v>0</v>
      </c>
      <c r="H26" s="220">
        <f>C26+D26+E26+F26+G26</f>
        <v>269033.29000000004</v>
      </c>
    </row>
    <row r="27" spans="1:8" ht="24.95" customHeight="1" x14ac:dyDescent="0.2">
      <c r="A27" s="700" t="s">
        <v>639</v>
      </c>
      <c r="B27" s="664" t="s">
        <v>644</v>
      </c>
      <c r="C27" s="220">
        <f>RESUMEN2!E26</f>
        <v>116117.97</v>
      </c>
      <c r="D27" s="701">
        <v>0</v>
      </c>
      <c r="E27" s="701">
        <v>0</v>
      </c>
      <c r="F27" s="701">
        <v>0</v>
      </c>
      <c r="G27" s="701">
        <v>0</v>
      </c>
      <c r="H27" s="220">
        <f>C27+D27+E27+F27+G27</f>
        <v>116117.97</v>
      </c>
    </row>
    <row r="28" spans="1:8" ht="24.95" customHeight="1" thickBot="1" x14ac:dyDescent="0.25">
      <c r="A28" s="66" t="s">
        <v>466</v>
      </c>
      <c r="B28" s="67" t="s">
        <v>479</v>
      </c>
      <c r="C28" s="220">
        <f>+CONSOLIDADO!R160</f>
        <v>8538.5299999999988</v>
      </c>
      <c r="D28" s="701">
        <v>0</v>
      </c>
      <c r="E28" s="701">
        <v>0</v>
      </c>
      <c r="F28" s="701">
        <v>0</v>
      </c>
      <c r="G28" s="701">
        <v>0</v>
      </c>
      <c r="H28" s="220">
        <f>C28+D28+E28+F28+G28</f>
        <v>8538.5299999999988</v>
      </c>
    </row>
    <row r="29" spans="1:8" ht="21" customHeight="1" thickBot="1" x14ac:dyDescent="0.25">
      <c r="A29" s="1033" t="s">
        <v>316</v>
      </c>
      <c r="B29" s="1203"/>
      <c r="C29" s="223">
        <f>C9+C16+C20+C24</f>
        <v>1730852.51</v>
      </c>
      <c r="D29" s="223">
        <f>D9+D16+D20+D24</f>
        <v>348543.44</v>
      </c>
      <c r="E29" s="223"/>
      <c r="F29" s="223">
        <f>F9+F16+F20+F24</f>
        <v>771191.65</v>
      </c>
      <c r="G29" s="223"/>
      <c r="H29" s="223">
        <f>H9+H16+H20+H24</f>
        <v>2850587.6</v>
      </c>
    </row>
    <row r="31" spans="1:8" x14ac:dyDescent="0.2">
      <c r="H31" s="554"/>
    </row>
    <row r="32" spans="1:8" x14ac:dyDescent="0.2">
      <c r="F32" s="554"/>
    </row>
    <row r="33" spans="8:8" x14ac:dyDescent="0.2">
      <c r="H33" s="554"/>
    </row>
  </sheetData>
  <mergeCells count="14">
    <mergeCell ref="A1:H1"/>
    <mergeCell ref="A2:H2"/>
    <mergeCell ref="A3:H3"/>
    <mergeCell ref="A4:H4"/>
    <mergeCell ref="A29:B29"/>
    <mergeCell ref="A7:A8"/>
    <mergeCell ref="A5:H5"/>
    <mergeCell ref="B7:B8"/>
    <mergeCell ref="C7:C8"/>
    <mergeCell ref="D7:D8"/>
    <mergeCell ref="E7:E8"/>
    <mergeCell ref="F7:F8"/>
    <mergeCell ref="G7:G8"/>
    <mergeCell ref="H7:H8"/>
  </mergeCells>
  <phoneticPr fontId="0" type="noConversion"/>
  <printOptions horizontalCentered="1"/>
  <pageMargins left="0.35433070866141736" right="0.35433070866141736" top="0.74803149606299213" bottom="0.27559055118110237" header="0.15748031496062992" footer="0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tabSelected="1" workbookViewId="0">
      <selection activeCell="F12" sqref="F12"/>
    </sheetView>
  </sheetViews>
  <sheetFormatPr baseColWidth="10" defaultRowHeight="12.75" x14ac:dyDescent="0.2"/>
  <cols>
    <col min="4" max="5" width="14" style="56" customWidth="1"/>
  </cols>
  <sheetData>
    <row r="3" spans="2:6" x14ac:dyDescent="0.2">
      <c r="D3" s="850" t="s">
        <v>687</v>
      </c>
      <c r="E3" s="850" t="s">
        <v>493</v>
      </c>
    </row>
    <row r="4" spans="2:6" x14ac:dyDescent="0.2">
      <c r="B4" s="619" t="s">
        <v>688</v>
      </c>
      <c r="C4" s="619" t="s">
        <v>689</v>
      </c>
      <c r="D4" s="56">
        <f>729.54/4</f>
        <v>182.38499999999999</v>
      </c>
      <c r="E4" s="56">
        <f>+D4*4</f>
        <v>729.54</v>
      </c>
    </row>
    <row r="5" spans="2:6" x14ac:dyDescent="0.2">
      <c r="B5" s="619" t="s">
        <v>688</v>
      </c>
      <c r="C5" s="619" t="s">
        <v>686</v>
      </c>
      <c r="D5" s="56">
        <f>566.48/4</f>
        <v>141.62</v>
      </c>
      <c r="E5" s="56">
        <f>+D5*4</f>
        <v>566.48</v>
      </c>
    </row>
    <row r="7" spans="2:6" x14ac:dyDescent="0.2">
      <c r="D7" s="850" t="s">
        <v>690</v>
      </c>
    </row>
    <row r="8" spans="2:6" x14ac:dyDescent="0.2">
      <c r="B8" s="619" t="s">
        <v>688</v>
      </c>
      <c r="C8" s="619">
        <v>9986</v>
      </c>
      <c r="D8" s="56">
        <f>1550.78/12</f>
        <v>129.23166666666665</v>
      </c>
      <c r="E8" s="56">
        <f>+D8*12</f>
        <v>1550.7799999999997</v>
      </c>
    </row>
    <row r="11" spans="2:6" x14ac:dyDescent="0.2">
      <c r="D11" s="656" t="s">
        <v>687</v>
      </c>
      <c r="E11" s="656" t="s">
        <v>493</v>
      </c>
    </row>
    <row r="12" spans="2:6" x14ac:dyDescent="0.2">
      <c r="B12" s="619" t="s">
        <v>692</v>
      </c>
      <c r="D12" s="56">
        <f>1063.34/4</f>
        <v>265.83499999999998</v>
      </c>
      <c r="E12" s="56">
        <f>D12*4</f>
        <v>1063.3399999999999</v>
      </c>
      <c r="F12" s="3">
        <f>+E4+E5+E8+E12/2</f>
        <v>3378.47</v>
      </c>
    </row>
    <row r="16" spans="2:6" x14ac:dyDescent="0.2">
      <c r="D16" s="850" t="s">
        <v>687</v>
      </c>
      <c r="E16" s="850" t="s">
        <v>493</v>
      </c>
    </row>
    <row r="17" spans="2:6" x14ac:dyDescent="0.2">
      <c r="B17" s="619" t="s">
        <v>691</v>
      </c>
      <c r="C17" s="619"/>
      <c r="D17" s="56">
        <f>169.5/4</f>
        <v>42.375</v>
      </c>
      <c r="E17" s="56">
        <f>+D17*4</f>
        <v>169.5</v>
      </c>
      <c r="F17" s="3">
        <f>E17/2</f>
        <v>84.75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E24"/>
  <sheetViews>
    <sheetView zoomScale="115" zoomScaleNormal="115" workbookViewId="0">
      <selection activeCell="D6" sqref="D6"/>
    </sheetView>
  </sheetViews>
  <sheetFormatPr baseColWidth="10" defaultRowHeight="12.75" x14ac:dyDescent="0.2"/>
  <cols>
    <col min="1" max="1" width="2.85546875" style="73" customWidth="1"/>
    <col min="2" max="2" width="8.7109375" style="73" customWidth="1"/>
    <col min="3" max="3" width="8.42578125" style="73" customWidth="1"/>
    <col min="4" max="4" width="40.85546875" style="73" customWidth="1"/>
    <col min="5" max="5" width="35.85546875" style="73" customWidth="1"/>
    <col min="6" max="16384" width="11.42578125" style="73"/>
  </cols>
  <sheetData>
    <row r="1" spans="2:5" x14ac:dyDescent="0.2">
      <c r="B1" s="1027" t="s">
        <v>305</v>
      </c>
      <c r="C1" s="1027"/>
      <c r="D1" s="1027"/>
      <c r="E1" s="1027"/>
    </row>
    <row r="2" spans="2:5" x14ac:dyDescent="0.2">
      <c r="B2" s="1027" t="s">
        <v>446</v>
      </c>
      <c r="C2" s="1027"/>
      <c r="D2" s="1027"/>
      <c r="E2" s="1027"/>
    </row>
    <row r="3" spans="2:5" ht="13.5" thickBot="1" x14ac:dyDescent="0.25">
      <c r="B3" s="1027" t="s">
        <v>660</v>
      </c>
      <c r="C3" s="1027"/>
      <c r="D3" s="1027"/>
      <c r="E3" s="1027"/>
    </row>
    <row r="4" spans="2:5" ht="39.75" thickTop="1" thickBot="1" x14ac:dyDescent="0.25">
      <c r="B4" s="84" t="s">
        <v>569</v>
      </c>
      <c r="C4" s="85" t="s">
        <v>568</v>
      </c>
      <c r="D4" s="85" t="s">
        <v>103</v>
      </c>
      <c r="E4" s="86" t="s">
        <v>567</v>
      </c>
    </row>
    <row r="5" spans="2:5" x14ac:dyDescent="0.2">
      <c r="B5" s="790" t="s">
        <v>276</v>
      </c>
      <c r="C5" s="74"/>
      <c r="D5" s="74" t="s">
        <v>317</v>
      </c>
      <c r="E5" s="87"/>
    </row>
    <row r="6" spans="2:5" ht="73.5" customHeight="1" x14ac:dyDescent="0.2">
      <c r="B6" s="88"/>
      <c r="C6" s="720" t="s">
        <v>20</v>
      </c>
      <c r="D6" s="571" t="s">
        <v>458</v>
      </c>
      <c r="E6" s="377" t="s">
        <v>753</v>
      </c>
    </row>
    <row r="7" spans="2:5" ht="42" customHeight="1" x14ac:dyDescent="0.2">
      <c r="B7" s="88"/>
      <c r="C7" s="720" t="s">
        <v>21</v>
      </c>
      <c r="D7" s="571" t="s">
        <v>459</v>
      </c>
      <c r="E7" s="377" t="s">
        <v>754</v>
      </c>
    </row>
    <row r="8" spans="2:5" x14ac:dyDescent="0.2">
      <c r="B8" s="791" t="s">
        <v>280</v>
      </c>
      <c r="C8" s="76"/>
      <c r="D8" s="77" t="s">
        <v>281</v>
      </c>
      <c r="E8" s="89"/>
    </row>
    <row r="9" spans="2:5" ht="77.25" customHeight="1" x14ac:dyDescent="0.2">
      <c r="B9" s="88"/>
      <c r="C9" s="720" t="s">
        <v>24</v>
      </c>
      <c r="D9" s="570" t="s">
        <v>318</v>
      </c>
      <c r="E9" s="360" t="s">
        <v>647</v>
      </c>
    </row>
    <row r="10" spans="2:5" ht="38.25" x14ac:dyDescent="0.2">
      <c r="B10" s="88"/>
      <c r="C10" s="720" t="s">
        <v>255</v>
      </c>
      <c r="D10" s="571" t="s">
        <v>319</v>
      </c>
      <c r="E10" s="377" t="s">
        <v>755</v>
      </c>
    </row>
    <row r="11" spans="2:5" x14ac:dyDescent="0.2">
      <c r="B11" s="1028" t="s">
        <v>320</v>
      </c>
      <c r="C11" s="1029"/>
      <c r="D11" s="1029"/>
      <c r="E11" s="1030"/>
    </row>
    <row r="12" spans="2:5" x14ac:dyDescent="0.2">
      <c r="B12" s="791" t="s">
        <v>283</v>
      </c>
      <c r="C12" s="76"/>
      <c r="D12" s="77" t="s">
        <v>321</v>
      </c>
      <c r="E12" s="89"/>
    </row>
    <row r="13" spans="2:5" ht="45" customHeight="1" x14ac:dyDescent="0.2">
      <c r="B13" s="88"/>
      <c r="C13" s="720" t="s">
        <v>233</v>
      </c>
      <c r="D13" s="78" t="s">
        <v>322</v>
      </c>
      <c r="E13" s="1024" t="s">
        <v>756</v>
      </c>
    </row>
    <row r="14" spans="2:5" ht="63.75" customHeight="1" x14ac:dyDescent="0.2">
      <c r="B14" s="88"/>
      <c r="C14" s="720" t="s">
        <v>234</v>
      </c>
      <c r="D14" s="78" t="s">
        <v>323</v>
      </c>
      <c r="E14" s="1031"/>
    </row>
    <row r="15" spans="2:5" x14ac:dyDescent="0.2">
      <c r="B15" s="1028" t="s">
        <v>324</v>
      </c>
      <c r="C15" s="1029"/>
      <c r="D15" s="1029"/>
      <c r="E15" s="1030"/>
    </row>
    <row r="16" spans="2:5" x14ac:dyDescent="0.2">
      <c r="B16" s="791" t="s">
        <v>288</v>
      </c>
      <c r="C16" s="75"/>
      <c r="D16" s="77" t="s">
        <v>325</v>
      </c>
      <c r="E16" s="90"/>
    </row>
    <row r="17" spans="2:5" ht="102.75" customHeight="1" x14ac:dyDescent="0.2">
      <c r="B17" s="797"/>
      <c r="C17" s="798" t="s">
        <v>235</v>
      </c>
      <c r="D17" s="799" t="s">
        <v>457</v>
      </c>
      <c r="E17" s="1024" t="s">
        <v>460</v>
      </c>
    </row>
    <row r="18" spans="2:5" ht="5.25" customHeight="1" x14ac:dyDescent="0.2">
      <c r="B18" s="794"/>
      <c r="C18" s="795"/>
      <c r="D18" s="796"/>
      <c r="E18" s="1031"/>
    </row>
    <row r="19" spans="2:5" x14ac:dyDescent="0.2">
      <c r="B19" s="1028" t="s">
        <v>326</v>
      </c>
      <c r="C19" s="1029"/>
      <c r="D19" s="1029"/>
      <c r="E19" s="1030"/>
    </row>
    <row r="20" spans="2:5" x14ac:dyDescent="0.2">
      <c r="B20" s="791" t="s">
        <v>292</v>
      </c>
      <c r="C20" s="75"/>
      <c r="D20" s="77" t="s">
        <v>293</v>
      </c>
      <c r="E20" s="91"/>
    </row>
    <row r="21" spans="2:5" ht="39.75" customHeight="1" x14ac:dyDescent="0.2">
      <c r="B21" s="192"/>
      <c r="C21" s="720" t="s">
        <v>236</v>
      </c>
      <c r="D21" s="190" t="s">
        <v>467</v>
      </c>
      <c r="E21" s="1024" t="s">
        <v>465</v>
      </c>
    </row>
    <row r="22" spans="2:5" ht="20.25" customHeight="1" x14ac:dyDescent="0.2">
      <c r="B22" s="192"/>
      <c r="C22" s="800" t="s">
        <v>639</v>
      </c>
      <c r="D22" s="801" t="s">
        <v>661</v>
      </c>
      <c r="E22" s="1025"/>
    </row>
    <row r="23" spans="2:5" ht="13.5" thickBot="1" x14ac:dyDescent="0.25">
      <c r="B23" s="92"/>
      <c r="C23" s="792" t="s">
        <v>466</v>
      </c>
      <c r="D23" s="193" t="s">
        <v>215</v>
      </c>
      <c r="E23" s="1026"/>
    </row>
    <row r="24" spans="2:5" ht="13.5" thickTop="1" x14ac:dyDescent="0.2"/>
  </sheetData>
  <mergeCells count="9">
    <mergeCell ref="E21:E23"/>
    <mergeCell ref="B2:E2"/>
    <mergeCell ref="B1:E1"/>
    <mergeCell ref="B3:E3"/>
    <mergeCell ref="B19:E19"/>
    <mergeCell ref="B11:E11"/>
    <mergeCell ref="E13:E14"/>
    <mergeCell ref="B15:E15"/>
    <mergeCell ref="E17:E18"/>
  </mergeCells>
  <phoneticPr fontId="6" type="noConversion"/>
  <printOptions horizontalCentered="1"/>
  <pageMargins left="0.55118110236220474" right="0.31496062992125984" top="1.0236220472440944" bottom="0.35433070866141736" header="0" footer="0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78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54" sqref="C54"/>
    </sheetView>
  </sheetViews>
  <sheetFormatPr baseColWidth="10" defaultRowHeight="12.75" x14ac:dyDescent="0.2"/>
  <cols>
    <col min="1" max="1" width="9.140625" style="188" customWidth="1"/>
    <col min="2" max="2" width="50.85546875" style="216" customWidth="1"/>
    <col min="3" max="4" width="18" style="216" customWidth="1"/>
    <col min="5" max="5" width="14.5703125" style="216" customWidth="1"/>
    <col min="6" max="6" width="13.7109375" style="216" customWidth="1"/>
    <col min="7" max="7" width="14.42578125" style="216" customWidth="1"/>
    <col min="8" max="8" width="13.7109375" style="216" customWidth="1"/>
    <col min="9" max="9" width="13.7109375" style="188" customWidth="1"/>
    <col min="10" max="10" width="13.7109375" style="216" customWidth="1"/>
    <col min="11" max="16384" width="11.42578125" style="27"/>
  </cols>
  <sheetData>
    <row r="1" spans="1:10" ht="12.75" customHeight="1" x14ac:dyDescent="0.2">
      <c r="A1" s="1043" t="s">
        <v>662</v>
      </c>
      <c r="B1" s="1043"/>
      <c r="C1" s="1043"/>
      <c r="D1" s="1043"/>
      <c r="E1" s="1043"/>
      <c r="F1" s="1043"/>
      <c r="G1" s="1043"/>
      <c r="H1" s="1043"/>
      <c r="I1" s="1043"/>
      <c r="J1" s="1043"/>
    </row>
    <row r="2" spans="1:10" x14ac:dyDescent="0.2">
      <c r="A2" s="1043"/>
      <c r="B2" s="1043"/>
      <c r="C2" s="1043"/>
      <c r="D2" s="1043"/>
      <c r="E2" s="1043"/>
      <c r="F2" s="1043"/>
      <c r="G2" s="1043"/>
      <c r="H2" s="1043"/>
      <c r="I2" s="1043"/>
      <c r="J2" s="1043"/>
    </row>
    <row r="3" spans="1:10" x14ac:dyDescent="0.2">
      <c r="A3" s="1043"/>
      <c r="B3" s="1043"/>
      <c r="C3" s="1043"/>
      <c r="D3" s="1043"/>
      <c r="E3" s="1043"/>
      <c r="F3" s="1043"/>
      <c r="G3" s="1043"/>
      <c r="H3" s="1043"/>
      <c r="I3" s="1043"/>
      <c r="J3" s="1043"/>
    </row>
    <row r="4" spans="1:10" ht="15" customHeight="1" thickBot="1" x14ac:dyDescent="0.25">
      <c r="A4" s="243"/>
      <c r="B4" s="709"/>
      <c r="C4" s="709"/>
      <c r="D4" s="709"/>
      <c r="E4" s="709"/>
      <c r="F4" s="709"/>
      <c r="G4" s="709"/>
      <c r="H4" s="709"/>
      <c r="I4" s="243"/>
      <c r="J4" s="242"/>
    </row>
    <row r="5" spans="1:10" s="188" customFormat="1" ht="12.75" customHeight="1" x14ac:dyDescent="0.2">
      <c r="A5" s="1037" t="s">
        <v>559</v>
      </c>
      <c r="B5" s="1040" t="s">
        <v>103</v>
      </c>
      <c r="C5" s="1050" t="s">
        <v>560</v>
      </c>
      <c r="D5" s="1051"/>
      <c r="E5" s="1051"/>
      <c r="F5" s="1052"/>
      <c r="G5" s="1047" t="s">
        <v>300</v>
      </c>
      <c r="H5" s="1040" t="s">
        <v>473</v>
      </c>
      <c r="I5" s="1034" t="s">
        <v>302</v>
      </c>
      <c r="J5" s="1044" t="s">
        <v>25</v>
      </c>
    </row>
    <row r="6" spans="1:10" s="188" customFormat="1" x14ac:dyDescent="0.2">
      <c r="A6" s="1038"/>
      <c r="B6" s="1041"/>
      <c r="C6" s="1055" t="s">
        <v>0</v>
      </c>
      <c r="D6" s="1056"/>
      <c r="E6" s="1057" t="s">
        <v>437</v>
      </c>
      <c r="F6" s="1053" t="s">
        <v>563</v>
      </c>
      <c r="G6" s="1048"/>
      <c r="H6" s="1041"/>
      <c r="I6" s="1035"/>
      <c r="J6" s="1045"/>
    </row>
    <row r="7" spans="1:10" s="188" customFormat="1" ht="21.75" customHeight="1" thickBot="1" x14ac:dyDescent="0.25">
      <c r="A7" s="1039"/>
      <c r="B7" s="1042"/>
      <c r="C7" s="710" t="s">
        <v>561</v>
      </c>
      <c r="D7" s="711" t="s">
        <v>562</v>
      </c>
      <c r="E7" s="1058"/>
      <c r="F7" s="1054"/>
      <c r="G7" s="1049"/>
      <c r="H7" s="1042"/>
      <c r="I7" s="1036"/>
      <c r="J7" s="1046"/>
    </row>
    <row r="8" spans="1:10" s="188" customFormat="1" x14ac:dyDescent="0.2">
      <c r="A8" s="109">
        <v>11</v>
      </c>
      <c r="B8" s="712" t="s">
        <v>337</v>
      </c>
      <c r="C8" s="875">
        <f>C9</f>
        <v>0</v>
      </c>
      <c r="D8" s="244">
        <f>D9</f>
        <v>0</v>
      </c>
      <c r="E8" s="244">
        <f>E9</f>
        <v>0</v>
      </c>
      <c r="F8" s="876">
        <v>0</v>
      </c>
      <c r="G8" s="877">
        <f>G9</f>
        <v>19109.14</v>
      </c>
      <c r="H8" s="878">
        <f>H9</f>
        <v>0</v>
      </c>
      <c r="I8" s="372">
        <f>I9</f>
        <v>0</v>
      </c>
      <c r="J8" s="368">
        <f>I8+G8</f>
        <v>19109.14</v>
      </c>
    </row>
    <row r="9" spans="1:10" s="188" customFormat="1" x14ac:dyDescent="0.2">
      <c r="A9" s="110">
        <v>118</v>
      </c>
      <c r="B9" s="713" t="s">
        <v>338</v>
      </c>
      <c r="C9" s="879">
        <f>SUM(C10:C17)</f>
        <v>0</v>
      </c>
      <c r="D9" s="245">
        <f>SUM(D10:D17)</f>
        <v>0</v>
      </c>
      <c r="E9" s="245">
        <f>SUM(E10:E17)</f>
        <v>0</v>
      </c>
      <c r="F9" s="880">
        <v>0</v>
      </c>
      <c r="G9" s="365">
        <f>SUM(G10:G17)</f>
        <v>19109.14</v>
      </c>
      <c r="H9" s="881">
        <f>SUM(H10:H17)</f>
        <v>0</v>
      </c>
      <c r="I9" s="373">
        <f>SUM(I10:I17)</f>
        <v>0</v>
      </c>
      <c r="J9" s="369">
        <f>+I9+G9</f>
        <v>19109.14</v>
      </c>
    </row>
    <row r="10" spans="1:10" s="188" customFormat="1" x14ac:dyDescent="0.2">
      <c r="A10" s="95">
        <v>11801</v>
      </c>
      <c r="B10" s="714" t="s">
        <v>520</v>
      </c>
      <c r="C10" s="882">
        <v>0</v>
      </c>
      <c r="D10" s="246">
        <v>0</v>
      </c>
      <c r="E10" s="246">
        <v>0</v>
      </c>
      <c r="F10" s="880">
        <v>0</v>
      </c>
      <c r="G10" s="883">
        <f>398.46*12</f>
        <v>4781.5199999999995</v>
      </c>
      <c r="H10" s="884">
        <v>0</v>
      </c>
      <c r="I10" s="374">
        <v>0</v>
      </c>
      <c r="J10" s="370">
        <f t="shared" ref="J10:J17" si="0">I10+G10</f>
        <v>4781.5199999999995</v>
      </c>
    </row>
    <row r="11" spans="1:10" s="188" customFormat="1" x14ac:dyDescent="0.2">
      <c r="A11" s="95">
        <v>11802</v>
      </c>
      <c r="B11" s="714" t="s">
        <v>521</v>
      </c>
      <c r="C11" s="882">
        <v>0</v>
      </c>
      <c r="D11" s="246">
        <v>0</v>
      </c>
      <c r="E11" s="246">
        <v>0</v>
      </c>
      <c r="F11" s="880">
        <v>0</v>
      </c>
      <c r="G11" s="883">
        <f>138.82*12</f>
        <v>1665.84</v>
      </c>
      <c r="H11" s="884">
        <v>0</v>
      </c>
      <c r="I11" s="374">
        <v>0</v>
      </c>
      <c r="J11" s="370">
        <f t="shared" si="0"/>
        <v>1665.84</v>
      </c>
    </row>
    <row r="12" spans="1:10" s="188" customFormat="1" x14ac:dyDescent="0.2">
      <c r="A12" s="95">
        <v>11804</v>
      </c>
      <c r="B12" s="714" t="s">
        <v>522</v>
      </c>
      <c r="C12" s="882">
        <v>0</v>
      </c>
      <c r="D12" s="246">
        <v>0</v>
      </c>
      <c r="E12" s="246">
        <v>0</v>
      </c>
      <c r="F12" s="880">
        <v>0</v>
      </c>
      <c r="G12" s="883">
        <f>819.23*12</f>
        <v>9830.76</v>
      </c>
      <c r="H12" s="884">
        <v>0</v>
      </c>
      <c r="I12" s="374">
        <v>0</v>
      </c>
      <c r="J12" s="370">
        <f t="shared" si="0"/>
        <v>9830.76</v>
      </c>
    </row>
    <row r="13" spans="1:10" s="188" customFormat="1" x14ac:dyDescent="0.2">
      <c r="A13" s="95">
        <v>11812</v>
      </c>
      <c r="B13" s="715" t="s">
        <v>523</v>
      </c>
      <c r="C13" s="882">
        <v>0</v>
      </c>
      <c r="D13" s="246">
        <v>0</v>
      </c>
      <c r="E13" s="246">
        <v>0</v>
      </c>
      <c r="F13" s="880">
        <v>0</v>
      </c>
      <c r="G13" s="883">
        <f>34.32*12</f>
        <v>411.84000000000003</v>
      </c>
      <c r="H13" s="884">
        <v>0</v>
      </c>
      <c r="I13" s="374">
        <v>0</v>
      </c>
      <c r="J13" s="370">
        <f t="shared" si="0"/>
        <v>411.84000000000003</v>
      </c>
    </row>
    <row r="14" spans="1:10" s="188" customFormat="1" x14ac:dyDescent="0.2">
      <c r="A14" s="95">
        <v>11813</v>
      </c>
      <c r="B14" s="715" t="s">
        <v>646</v>
      </c>
      <c r="C14" s="882">
        <v>0</v>
      </c>
      <c r="D14" s="246">
        <v>0</v>
      </c>
      <c r="E14" s="246">
        <v>0</v>
      </c>
      <c r="F14" s="880">
        <v>0</v>
      </c>
      <c r="G14" s="883">
        <f>6.86*12</f>
        <v>82.320000000000007</v>
      </c>
      <c r="H14" s="884">
        <v>0</v>
      </c>
      <c r="I14" s="374">
        <v>0</v>
      </c>
      <c r="J14" s="370">
        <f t="shared" si="0"/>
        <v>82.320000000000007</v>
      </c>
    </row>
    <row r="15" spans="1:10" s="188" customFormat="1" x14ac:dyDescent="0.2">
      <c r="A15" s="95">
        <v>11816</v>
      </c>
      <c r="B15" s="714" t="s">
        <v>524</v>
      </c>
      <c r="C15" s="882">
        <v>0</v>
      </c>
      <c r="D15" s="246">
        <v>0</v>
      </c>
      <c r="E15" s="246">
        <v>0</v>
      </c>
      <c r="F15" s="880">
        <v>0</v>
      </c>
      <c r="G15" s="883">
        <f>123.28*12</f>
        <v>1479.3600000000001</v>
      </c>
      <c r="H15" s="884">
        <v>0</v>
      </c>
      <c r="I15" s="374">
        <v>0</v>
      </c>
      <c r="J15" s="370">
        <f t="shared" si="0"/>
        <v>1479.3600000000001</v>
      </c>
    </row>
    <row r="16" spans="1:10" s="188" customFormat="1" x14ac:dyDescent="0.2">
      <c r="A16" s="95">
        <v>11818</v>
      </c>
      <c r="B16" s="714" t="s">
        <v>525</v>
      </c>
      <c r="C16" s="882">
        <v>0</v>
      </c>
      <c r="D16" s="246">
        <v>0</v>
      </c>
      <c r="E16" s="246">
        <v>0</v>
      </c>
      <c r="F16" s="880">
        <v>0</v>
      </c>
      <c r="G16" s="366">
        <f>250*3.43</f>
        <v>857.5</v>
      </c>
      <c r="H16" s="884">
        <v>0</v>
      </c>
      <c r="I16" s="374">
        <v>0</v>
      </c>
      <c r="J16" s="370">
        <f t="shared" si="0"/>
        <v>857.5</v>
      </c>
    </row>
    <row r="17" spans="1:10" s="188" customFormat="1" hidden="1" x14ac:dyDescent="0.2">
      <c r="A17" s="95">
        <v>11899</v>
      </c>
      <c r="B17" s="714" t="s">
        <v>526</v>
      </c>
      <c r="C17" s="882"/>
      <c r="D17" s="246"/>
      <c r="E17" s="246"/>
      <c r="F17" s="880"/>
      <c r="G17" s="366"/>
      <c r="H17" s="884"/>
      <c r="I17" s="374"/>
      <c r="J17" s="370">
        <f t="shared" si="0"/>
        <v>0</v>
      </c>
    </row>
    <row r="18" spans="1:10" s="188" customFormat="1" x14ac:dyDescent="0.2">
      <c r="A18" s="110">
        <v>12</v>
      </c>
      <c r="B18" s="713" t="s">
        <v>6</v>
      </c>
      <c r="C18" s="879">
        <f>C19+C32</f>
        <v>0</v>
      </c>
      <c r="D18" s="245">
        <f>D19+D32</f>
        <v>0</v>
      </c>
      <c r="E18" s="245">
        <f>E19+E32</f>
        <v>0</v>
      </c>
      <c r="F18" s="885">
        <v>0</v>
      </c>
      <c r="G18" s="365">
        <f>+G19+G32</f>
        <v>112640.34</v>
      </c>
      <c r="H18" s="881">
        <f>H19+H32</f>
        <v>0</v>
      </c>
      <c r="I18" s="373">
        <f>I19+I32</f>
        <v>0</v>
      </c>
      <c r="J18" s="369">
        <f>+I18+G18</f>
        <v>112640.34</v>
      </c>
    </row>
    <row r="19" spans="1:10" s="188" customFormat="1" x14ac:dyDescent="0.2">
      <c r="A19" s="110">
        <v>121</v>
      </c>
      <c r="B19" s="713" t="s">
        <v>339</v>
      </c>
      <c r="C19" s="879">
        <f>SUM(C22:C30)</f>
        <v>0</v>
      </c>
      <c r="D19" s="245">
        <f>SUM(D22:D30)</f>
        <v>0</v>
      </c>
      <c r="E19" s="245">
        <f>SUM(E22:E30)</f>
        <v>0</v>
      </c>
      <c r="F19" s="885">
        <v>0</v>
      </c>
      <c r="G19" s="365">
        <f>SUM(G20:G31)</f>
        <v>112538.34</v>
      </c>
      <c r="H19" s="881">
        <f>SUM(H22:H30)</f>
        <v>0</v>
      </c>
      <c r="I19" s="373">
        <f>SUM(I22:I30)</f>
        <v>0</v>
      </c>
      <c r="J19" s="369">
        <f t="shared" ref="J19:J46" si="1">I19+G19</f>
        <v>112538.34</v>
      </c>
    </row>
    <row r="20" spans="1:10" s="188" customFormat="1" x14ac:dyDescent="0.2">
      <c r="A20" s="95">
        <v>12105</v>
      </c>
      <c r="B20" s="714" t="s">
        <v>527</v>
      </c>
      <c r="C20" s="882">
        <v>0</v>
      </c>
      <c r="D20" s="246">
        <v>0</v>
      </c>
      <c r="E20" s="246">
        <v>0</v>
      </c>
      <c r="F20" s="880">
        <v>0</v>
      </c>
      <c r="G20" s="366">
        <v>5000</v>
      </c>
      <c r="H20" s="884">
        <v>0</v>
      </c>
      <c r="I20" s="374">
        <v>0</v>
      </c>
      <c r="J20" s="370">
        <f t="shared" si="1"/>
        <v>5000</v>
      </c>
    </row>
    <row r="21" spans="1:10" s="188" customFormat="1" x14ac:dyDescent="0.2">
      <c r="A21" s="95">
        <v>12106</v>
      </c>
      <c r="B21" s="714" t="s">
        <v>528</v>
      </c>
      <c r="C21" s="882">
        <v>0</v>
      </c>
      <c r="D21" s="246">
        <v>0</v>
      </c>
      <c r="E21" s="246">
        <v>0</v>
      </c>
      <c r="F21" s="880">
        <v>0</v>
      </c>
      <c r="G21" s="366">
        <v>200</v>
      </c>
      <c r="H21" s="884">
        <v>0</v>
      </c>
      <c r="I21" s="374">
        <v>0</v>
      </c>
      <c r="J21" s="370">
        <f t="shared" si="1"/>
        <v>200</v>
      </c>
    </row>
    <row r="22" spans="1:10" s="188" customFormat="1" x14ac:dyDescent="0.2">
      <c r="A22" s="95">
        <v>12108</v>
      </c>
      <c r="B22" s="714" t="s">
        <v>529</v>
      </c>
      <c r="C22" s="882">
        <v>0</v>
      </c>
      <c r="D22" s="246">
        <v>0</v>
      </c>
      <c r="E22" s="246">
        <v>0</v>
      </c>
      <c r="F22" s="880">
        <v>0</v>
      </c>
      <c r="G22" s="883">
        <f>150.37*12</f>
        <v>1804.44</v>
      </c>
      <c r="H22" s="884">
        <v>0</v>
      </c>
      <c r="I22" s="374">
        <v>0</v>
      </c>
      <c r="J22" s="370">
        <f t="shared" si="1"/>
        <v>1804.44</v>
      </c>
    </row>
    <row r="23" spans="1:10" s="188" customFormat="1" x14ac:dyDescent="0.2">
      <c r="A23" s="95">
        <v>12109</v>
      </c>
      <c r="B23" s="714" t="s">
        <v>530</v>
      </c>
      <c r="C23" s="882">
        <v>0</v>
      </c>
      <c r="D23" s="246">
        <v>0</v>
      </c>
      <c r="E23" s="246">
        <v>0</v>
      </c>
      <c r="F23" s="880">
        <v>0</v>
      </c>
      <c r="G23" s="883">
        <f>578.04*12</f>
        <v>6936.48</v>
      </c>
      <c r="H23" s="884">
        <v>0</v>
      </c>
      <c r="I23" s="374">
        <v>0</v>
      </c>
      <c r="J23" s="370">
        <f t="shared" si="1"/>
        <v>6936.48</v>
      </c>
    </row>
    <row r="24" spans="1:10" s="188" customFormat="1" hidden="1" x14ac:dyDescent="0.2">
      <c r="A24" s="95">
        <v>12110</v>
      </c>
      <c r="B24" s="714" t="s">
        <v>531</v>
      </c>
      <c r="C24" s="882">
        <v>0</v>
      </c>
      <c r="D24" s="246">
        <v>0</v>
      </c>
      <c r="E24" s="246">
        <v>0</v>
      </c>
      <c r="F24" s="880">
        <v>0</v>
      </c>
      <c r="G24" s="366"/>
      <c r="H24" s="884">
        <v>0</v>
      </c>
      <c r="I24" s="374">
        <v>0</v>
      </c>
      <c r="J24" s="370">
        <f t="shared" si="1"/>
        <v>0</v>
      </c>
    </row>
    <row r="25" spans="1:10" s="188" customFormat="1" x14ac:dyDescent="0.2">
      <c r="A25" s="95">
        <v>12111</v>
      </c>
      <c r="B25" s="714" t="s">
        <v>532</v>
      </c>
      <c r="C25" s="882">
        <v>0</v>
      </c>
      <c r="D25" s="246">
        <v>0</v>
      </c>
      <c r="E25" s="246">
        <v>0</v>
      </c>
      <c r="F25" s="880">
        <v>0</v>
      </c>
      <c r="G25" s="366">
        <v>1000</v>
      </c>
      <c r="H25" s="884">
        <v>0</v>
      </c>
      <c r="I25" s="374">
        <v>0</v>
      </c>
      <c r="J25" s="370">
        <f t="shared" si="1"/>
        <v>1000</v>
      </c>
    </row>
    <row r="26" spans="1:10" s="188" customFormat="1" x14ac:dyDescent="0.2">
      <c r="A26" s="95">
        <v>12114</v>
      </c>
      <c r="B26" s="714" t="s">
        <v>533</v>
      </c>
      <c r="C26" s="882">
        <v>0</v>
      </c>
      <c r="D26" s="246">
        <v>0</v>
      </c>
      <c r="E26" s="246">
        <v>0</v>
      </c>
      <c r="F26" s="880">
        <v>0</v>
      </c>
      <c r="G26" s="366">
        <f>ROUND(((G10+G11+G12+G13+G15+G20+G21+G22+G23+G25+G28+G29+G30+G31+G33+G34+G37+G38+G49)*5%),2)</f>
        <v>13551.86</v>
      </c>
      <c r="H26" s="884">
        <v>0</v>
      </c>
      <c r="I26" s="374">
        <v>0</v>
      </c>
      <c r="J26" s="370">
        <f t="shared" si="1"/>
        <v>13551.86</v>
      </c>
    </row>
    <row r="27" spans="1:10" s="188" customFormat="1" x14ac:dyDescent="0.2">
      <c r="A27" s="95">
        <v>12115</v>
      </c>
      <c r="B27" s="714" t="s">
        <v>534</v>
      </c>
      <c r="C27" s="882">
        <v>0</v>
      </c>
      <c r="D27" s="246">
        <v>0</v>
      </c>
      <c r="E27" s="246">
        <v>0</v>
      </c>
      <c r="F27" s="880">
        <v>0</v>
      </c>
      <c r="G27" s="366">
        <v>10</v>
      </c>
      <c r="H27" s="884">
        <v>0</v>
      </c>
      <c r="I27" s="374">
        <v>0</v>
      </c>
      <c r="J27" s="370">
        <f t="shared" si="1"/>
        <v>10</v>
      </c>
    </row>
    <row r="28" spans="1:10" s="188" customFormat="1" x14ac:dyDescent="0.2">
      <c r="A28" s="95">
        <v>12117</v>
      </c>
      <c r="B28" s="714" t="s">
        <v>535</v>
      </c>
      <c r="C28" s="882">
        <v>0</v>
      </c>
      <c r="D28" s="246">
        <v>0</v>
      </c>
      <c r="E28" s="246">
        <v>0</v>
      </c>
      <c r="F28" s="880">
        <v>0</v>
      </c>
      <c r="G28" s="883">
        <f>29.79*12</f>
        <v>357.48</v>
      </c>
      <c r="H28" s="884">
        <v>0</v>
      </c>
      <c r="I28" s="374">
        <v>0</v>
      </c>
      <c r="J28" s="370">
        <f t="shared" si="1"/>
        <v>357.48</v>
      </c>
    </row>
    <row r="29" spans="1:10" s="188" customFormat="1" x14ac:dyDescent="0.2">
      <c r="A29" s="95">
        <v>12118</v>
      </c>
      <c r="B29" s="714" t="s">
        <v>536</v>
      </c>
      <c r="C29" s="882">
        <v>0</v>
      </c>
      <c r="D29" s="246">
        <v>0</v>
      </c>
      <c r="E29" s="246">
        <v>0</v>
      </c>
      <c r="F29" s="880">
        <v>0</v>
      </c>
      <c r="G29" s="883">
        <f>6264.34*12</f>
        <v>75172.08</v>
      </c>
      <c r="H29" s="884">
        <v>0</v>
      </c>
      <c r="I29" s="374">
        <v>0</v>
      </c>
      <c r="J29" s="370">
        <f t="shared" si="1"/>
        <v>75172.08</v>
      </c>
    </row>
    <row r="30" spans="1:10" s="188" customFormat="1" x14ac:dyDescent="0.2">
      <c r="A30" s="95">
        <v>12119</v>
      </c>
      <c r="B30" s="714" t="s">
        <v>537</v>
      </c>
      <c r="C30" s="882">
        <v>0</v>
      </c>
      <c r="D30" s="246">
        <v>0</v>
      </c>
      <c r="E30" s="246">
        <v>0</v>
      </c>
      <c r="F30" s="880">
        <v>0</v>
      </c>
      <c r="G30" s="886">
        <v>10</v>
      </c>
      <c r="H30" s="884">
        <v>0</v>
      </c>
      <c r="I30" s="374">
        <v>0</v>
      </c>
      <c r="J30" s="370">
        <f t="shared" si="1"/>
        <v>10</v>
      </c>
    </row>
    <row r="31" spans="1:10" s="188" customFormat="1" x14ac:dyDescent="0.2">
      <c r="A31" s="95">
        <v>12199</v>
      </c>
      <c r="B31" s="714" t="s">
        <v>538</v>
      </c>
      <c r="C31" s="882">
        <v>0</v>
      </c>
      <c r="D31" s="246">
        <v>0</v>
      </c>
      <c r="E31" s="246">
        <v>0</v>
      </c>
      <c r="F31" s="880">
        <v>0</v>
      </c>
      <c r="G31" s="883">
        <f>708*12</f>
        <v>8496</v>
      </c>
      <c r="H31" s="884">
        <v>0</v>
      </c>
      <c r="I31" s="374">
        <v>0</v>
      </c>
      <c r="J31" s="370">
        <f t="shared" si="1"/>
        <v>8496</v>
      </c>
    </row>
    <row r="32" spans="1:10" s="188" customFormat="1" x14ac:dyDescent="0.2">
      <c r="A32" s="110">
        <v>122</v>
      </c>
      <c r="B32" s="713" t="s">
        <v>340</v>
      </c>
      <c r="C32" s="879">
        <f>SUM(C33:C34)</f>
        <v>0</v>
      </c>
      <c r="D32" s="245">
        <f>SUM(D33:D34)</f>
        <v>0</v>
      </c>
      <c r="E32" s="245">
        <f>SUM(E33:E34)</f>
        <v>0</v>
      </c>
      <c r="F32" s="885">
        <v>0</v>
      </c>
      <c r="G32" s="365">
        <f>SUM(G33:G34)</f>
        <v>102</v>
      </c>
      <c r="H32" s="881">
        <f>SUM(H33:H34)</f>
        <v>0</v>
      </c>
      <c r="I32" s="373">
        <f>SUM(I33:I34)</f>
        <v>0</v>
      </c>
      <c r="J32" s="369">
        <f t="shared" si="1"/>
        <v>102</v>
      </c>
    </row>
    <row r="33" spans="1:10" s="188" customFormat="1" x14ac:dyDescent="0.2">
      <c r="A33" s="95">
        <v>12210</v>
      </c>
      <c r="B33" s="714" t="s">
        <v>539</v>
      </c>
      <c r="C33" s="882">
        <v>0</v>
      </c>
      <c r="D33" s="246">
        <v>0</v>
      </c>
      <c r="E33" s="246">
        <v>0</v>
      </c>
      <c r="F33" s="880">
        <v>0</v>
      </c>
      <c r="G33" s="366">
        <v>100</v>
      </c>
      <c r="H33" s="884">
        <v>0</v>
      </c>
      <c r="I33" s="374">
        <v>0</v>
      </c>
      <c r="J33" s="370">
        <f t="shared" si="1"/>
        <v>100</v>
      </c>
    </row>
    <row r="34" spans="1:10" s="188" customFormat="1" x14ac:dyDescent="0.2">
      <c r="A34" s="95">
        <v>12211</v>
      </c>
      <c r="B34" s="714" t="s">
        <v>540</v>
      </c>
      <c r="C34" s="882">
        <v>0</v>
      </c>
      <c r="D34" s="246">
        <v>0</v>
      </c>
      <c r="E34" s="246">
        <v>0</v>
      </c>
      <c r="F34" s="880">
        <v>0</v>
      </c>
      <c r="G34" s="366">
        <v>2</v>
      </c>
      <c r="H34" s="884">
        <v>0</v>
      </c>
      <c r="I34" s="374">
        <v>0</v>
      </c>
      <c r="J34" s="370">
        <f t="shared" si="1"/>
        <v>2</v>
      </c>
    </row>
    <row r="35" spans="1:10" s="188" customFormat="1" x14ac:dyDescent="0.2">
      <c r="A35" s="110">
        <v>14</v>
      </c>
      <c r="B35" s="713" t="s">
        <v>8</v>
      </c>
      <c r="C35" s="879">
        <f>C36</f>
        <v>0</v>
      </c>
      <c r="D35" s="245">
        <f>D36</f>
        <v>0</v>
      </c>
      <c r="E35" s="245">
        <f>E36</f>
        <v>0</v>
      </c>
      <c r="F35" s="885">
        <v>0</v>
      </c>
      <c r="G35" s="365">
        <f>+G36</f>
        <v>153789.44</v>
      </c>
      <c r="H35" s="881">
        <f>H36</f>
        <v>0</v>
      </c>
      <c r="I35" s="373">
        <f>I36</f>
        <v>0</v>
      </c>
      <c r="J35" s="369">
        <f t="shared" si="1"/>
        <v>153789.44</v>
      </c>
    </row>
    <row r="36" spans="1:10" s="188" customFormat="1" x14ac:dyDescent="0.2">
      <c r="A36" s="110">
        <v>142</v>
      </c>
      <c r="B36" s="713" t="s">
        <v>456</v>
      </c>
      <c r="C36" s="879">
        <v>0</v>
      </c>
      <c r="D36" s="245">
        <v>0</v>
      </c>
      <c r="E36" s="245">
        <v>0</v>
      </c>
      <c r="F36" s="885">
        <v>0</v>
      </c>
      <c r="G36" s="365">
        <f>SUM(G37:G38)</f>
        <v>153789.44</v>
      </c>
      <c r="H36" s="881">
        <v>0</v>
      </c>
      <c r="I36" s="373">
        <v>0</v>
      </c>
      <c r="J36" s="369">
        <f t="shared" si="1"/>
        <v>153789.44</v>
      </c>
    </row>
    <row r="37" spans="1:10" s="188" customFormat="1" x14ac:dyDescent="0.2">
      <c r="A37" s="95">
        <v>14201</v>
      </c>
      <c r="B37" s="714" t="s">
        <v>541</v>
      </c>
      <c r="C37" s="882">
        <v>0</v>
      </c>
      <c r="D37" s="246">
        <v>0</v>
      </c>
      <c r="E37" s="246">
        <v>0</v>
      </c>
      <c r="F37" s="880">
        <v>0</v>
      </c>
      <c r="G37" s="366">
        <f>ROUND((((1851+455)*4.76+272*5.23)*12),2)</f>
        <v>148789.44</v>
      </c>
      <c r="H37" s="884">
        <v>0</v>
      </c>
      <c r="I37" s="374">
        <v>0</v>
      </c>
      <c r="J37" s="370">
        <f t="shared" si="1"/>
        <v>148789.44</v>
      </c>
    </row>
    <row r="38" spans="1:10" s="188" customFormat="1" x14ac:dyDescent="0.2">
      <c r="A38" s="95">
        <v>14299</v>
      </c>
      <c r="B38" s="714" t="s">
        <v>542</v>
      </c>
      <c r="C38" s="882">
        <v>0</v>
      </c>
      <c r="D38" s="246">
        <v>0</v>
      </c>
      <c r="E38" s="246">
        <v>0</v>
      </c>
      <c r="F38" s="880">
        <v>0</v>
      </c>
      <c r="G38" s="366">
        <v>5000</v>
      </c>
      <c r="H38" s="884">
        <v>0</v>
      </c>
      <c r="I38" s="374">
        <v>0</v>
      </c>
      <c r="J38" s="370">
        <f t="shared" si="1"/>
        <v>5000</v>
      </c>
    </row>
    <row r="39" spans="1:10" s="188" customFormat="1" x14ac:dyDescent="0.2">
      <c r="A39" s="110">
        <v>15</v>
      </c>
      <c r="B39" s="713" t="s">
        <v>9</v>
      </c>
      <c r="C39" s="879">
        <f>C40</f>
        <v>0</v>
      </c>
      <c r="D39" s="245">
        <f>D40</f>
        <v>0</v>
      </c>
      <c r="E39" s="245">
        <f>E40+E50</f>
        <v>0</v>
      </c>
      <c r="F39" s="885">
        <v>0</v>
      </c>
      <c r="G39" s="365">
        <f>G42+G48+G50</f>
        <v>6508.57</v>
      </c>
      <c r="H39" s="885">
        <f>H40</f>
        <v>0</v>
      </c>
      <c r="I39" s="365">
        <f>I40+I50</f>
        <v>0</v>
      </c>
      <c r="J39" s="369">
        <f t="shared" si="1"/>
        <v>6508.57</v>
      </c>
    </row>
    <row r="40" spans="1:10" s="188" customFormat="1" hidden="1" x14ac:dyDescent="0.2">
      <c r="A40" s="110">
        <v>151</v>
      </c>
      <c r="B40" s="713" t="s">
        <v>10</v>
      </c>
      <c r="C40" s="879">
        <f>SUM(C41)</f>
        <v>0</v>
      </c>
      <c r="D40" s="245">
        <f>SUM(D41)</f>
        <v>0</v>
      </c>
      <c r="E40" s="245">
        <f>SUM(E41)</f>
        <v>0</v>
      </c>
      <c r="F40" s="885">
        <v>0</v>
      </c>
      <c r="G40" s="365">
        <f>SUM(G41)</f>
        <v>0</v>
      </c>
      <c r="H40" s="881">
        <f>SUM(H41)</f>
        <v>0</v>
      </c>
      <c r="I40" s="373">
        <f>SUM(I41)</f>
        <v>0</v>
      </c>
      <c r="J40" s="369">
        <f t="shared" si="1"/>
        <v>0</v>
      </c>
    </row>
    <row r="41" spans="1:10" s="188" customFormat="1" hidden="1" x14ac:dyDescent="0.2">
      <c r="A41" s="95">
        <v>15105</v>
      </c>
      <c r="B41" s="714" t="s">
        <v>543</v>
      </c>
      <c r="C41" s="882"/>
      <c r="D41" s="246"/>
      <c r="E41" s="246"/>
      <c r="F41" s="885">
        <v>0</v>
      </c>
      <c r="G41" s="366"/>
      <c r="H41" s="884"/>
      <c r="I41" s="374"/>
      <c r="J41" s="370">
        <f t="shared" si="1"/>
        <v>0</v>
      </c>
    </row>
    <row r="42" spans="1:10" s="188" customFormat="1" x14ac:dyDescent="0.2">
      <c r="A42" s="110">
        <v>153</v>
      </c>
      <c r="B42" s="713" t="s">
        <v>10</v>
      </c>
      <c r="C42" s="879">
        <f>SUM(C47)</f>
        <v>0</v>
      </c>
      <c r="D42" s="245">
        <f>SUM(D47)</f>
        <v>0</v>
      </c>
      <c r="E42" s="245">
        <f>SUM(E47)</f>
        <v>0</v>
      </c>
      <c r="F42" s="885">
        <v>0</v>
      </c>
      <c r="G42" s="365">
        <f>SUM(G43:G46)</f>
        <v>6508.57</v>
      </c>
      <c r="H42" s="881">
        <f>SUM(H47)</f>
        <v>0</v>
      </c>
      <c r="I42" s="373">
        <f>SUM(I47)</f>
        <v>0</v>
      </c>
      <c r="J42" s="369">
        <f t="shared" si="1"/>
        <v>6508.57</v>
      </c>
    </row>
    <row r="43" spans="1:10" s="188" customFormat="1" x14ac:dyDescent="0.2">
      <c r="A43" s="95">
        <v>15301</v>
      </c>
      <c r="B43" s="714" t="s">
        <v>544</v>
      </c>
      <c r="C43" s="887">
        <v>0</v>
      </c>
      <c r="D43" s="348">
        <v>0</v>
      </c>
      <c r="E43" s="348">
        <v>0</v>
      </c>
      <c r="F43" s="888">
        <v>0</v>
      </c>
      <c r="G43" s="366">
        <v>5000</v>
      </c>
      <c r="H43" s="889">
        <v>0</v>
      </c>
      <c r="I43" s="707">
        <v>0</v>
      </c>
      <c r="J43" s="370">
        <f t="shared" si="1"/>
        <v>5000</v>
      </c>
    </row>
    <row r="44" spans="1:10" s="188" customFormat="1" x14ac:dyDescent="0.2">
      <c r="A44" s="95">
        <v>15302</v>
      </c>
      <c r="B44" s="714" t="s">
        <v>545</v>
      </c>
      <c r="C44" s="887">
        <v>0</v>
      </c>
      <c r="D44" s="348">
        <v>0</v>
      </c>
      <c r="E44" s="348">
        <v>0</v>
      </c>
      <c r="F44" s="888">
        <v>0</v>
      </c>
      <c r="G44" s="366">
        <v>1500</v>
      </c>
      <c r="H44" s="889">
        <v>0</v>
      </c>
      <c r="I44" s="707">
        <v>0</v>
      </c>
      <c r="J44" s="370">
        <f t="shared" si="1"/>
        <v>1500</v>
      </c>
    </row>
    <row r="45" spans="1:10" s="188" customFormat="1" hidden="1" x14ac:dyDescent="0.2">
      <c r="A45" s="95">
        <v>15310</v>
      </c>
      <c r="B45" s="714" t="s">
        <v>546</v>
      </c>
      <c r="C45" s="887">
        <v>0</v>
      </c>
      <c r="D45" s="348">
        <v>0</v>
      </c>
      <c r="E45" s="348">
        <v>0</v>
      </c>
      <c r="F45" s="888">
        <v>0</v>
      </c>
      <c r="G45" s="366"/>
      <c r="H45" s="881"/>
      <c r="I45" s="373">
        <v>0</v>
      </c>
      <c r="J45" s="370">
        <f t="shared" si="1"/>
        <v>0</v>
      </c>
    </row>
    <row r="46" spans="1:10" s="188" customFormat="1" x14ac:dyDescent="0.2">
      <c r="A46" s="95">
        <v>15312</v>
      </c>
      <c r="B46" s="714" t="s">
        <v>547</v>
      </c>
      <c r="C46" s="887">
        <v>0</v>
      </c>
      <c r="D46" s="348">
        <v>0</v>
      </c>
      <c r="E46" s="348">
        <v>0</v>
      </c>
      <c r="F46" s="888">
        <v>0</v>
      </c>
      <c r="G46" s="366">
        <f>2.86+5.71</f>
        <v>8.57</v>
      </c>
      <c r="H46" s="884"/>
      <c r="I46" s="374">
        <v>0</v>
      </c>
      <c r="J46" s="370">
        <f t="shared" si="1"/>
        <v>8.57</v>
      </c>
    </row>
    <row r="47" spans="1:10" s="188" customFormat="1" ht="13.5" hidden="1" customHeight="1" x14ac:dyDescent="0.2">
      <c r="A47" s="95">
        <v>15314</v>
      </c>
      <c r="B47" s="714" t="s">
        <v>548</v>
      </c>
      <c r="C47" s="882"/>
      <c r="D47" s="246"/>
      <c r="E47" s="246"/>
      <c r="F47" s="880"/>
      <c r="G47" s="366"/>
      <c r="H47" s="884"/>
      <c r="I47" s="374"/>
      <c r="J47" s="370"/>
    </row>
    <row r="48" spans="1:10" s="188" customFormat="1" hidden="1" x14ac:dyDescent="0.2">
      <c r="A48" s="110">
        <v>154</v>
      </c>
      <c r="B48" s="713" t="s">
        <v>438</v>
      </c>
      <c r="C48" s="879">
        <f>SUM(C49)</f>
        <v>0</v>
      </c>
      <c r="D48" s="245">
        <f>SUM(D52)</f>
        <v>0</v>
      </c>
      <c r="E48" s="245">
        <f>SUM(E52)</f>
        <v>0</v>
      </c>
      <c r="F48" s="885">
        <v>0</v>
      </c>
      <c r="G48" s="365">
        <f>SUM(G49)</f>
        <v>0</v>
      </c>
      <c r="H48" s="881">
        <f>SUM(H52)</f>
        <v>0</v>
      </c>
      <c r="I48" s="373">
        <f>SUM(I52)</f>
        <v>0</v>
      </c>
      <c r="J48" s="369">
        <f>I48+G48</f>
        <v>0</v>
      </c>
    </row>
    <row r="49" spans="1:10" s="188" customFormat="1" hidden="1" x14ac:dyDescent="0.2">
      <c r="A49" s="95">
        <v>15402</v>
      </c>
      <c r="B49" s="714" t="s">
        <v>549</v>
      </c>
      <c r="C49" s="887">
        <v>0</v>
      </c>
      <c r="D49" s="348">
        <v>0</v>
      </c>
      <c r="E49" s="348">
        <v>0</v>
      </c>
      <c r="F49" s="888">
        <v>0</v>
      </c>
      <c r="G49" s="366">
        <v>0</v>
      </c>
      <c r="H49" s="881">
        <v>0</v>
      </c>
      <c r="I49" s="373">
        <v>0</v>
      </c>
      <c r="J49" s="370">
        <f>I49+G49</f>
        <v>0</v>
      </c>
    </row>
    <row r="50" spans="1:10" s="188" customFormat="1" hidden="1" x14ac:dyDescent="0.2">
      <c r="A50" s="110">
        <v>157</v>
      </c>
      <c r="B50" s="713" t="s">
        <v>341</v>
      </c>
      <c r="C50" s="879">
        <f>C51</f>
        <v>0</v>
      </c>
      <c r="D50" s="245">
        <f>D51</f>
        <v>0</v>
      </c>
      <c r="E50" s="245">
        <f>E51</f>
        <v>0</v>
      </c>
      <c r="F50" s="885">
        <v>0</v>
      </c>
      <c r="G50" s="365">
        <f>G51</f>
        <v>0</v>
      </c>
      <c r="H50" s="881">
        <f>H51</f>
        <v>0</v>
      </c>
      <c r="I50" s="373">
        <f>I51</f>
        <v>0</v>
      </c>
      <c r="J50" s="369">
        <f>I50+G50</f>
        <v>0</v>
      </c>
    </row>
    <row r="51" spans="1:10" s="188" customFormat="1" hidden="1" x14ac:dyDescent="0.2">
      <c r="A51" s="95">
        <v>15703</v>
      </c>
      <c r="B51" s="714" t="s">
        <v>550</v>
      </c>
      <c r="C51" s="882">
        <v>0</v>
      </c>
      <c r="D51" s="246">
        <v>0</v>
      </c>
      <c r="E51" s="246">
        <v>0</v>
      </c>
      <c r="F51" s="880">
        <v>0</v>
      </c>
      <c r="G51" s="366">
        <v>0</v>
      </c>
      <c r="H51" s="884">
        <v>0</v>
      </c>
      <c r="I51" s="374">
        <v>0</v>
      </c>
      <c r="J51" s="370">
        <f>+I51+G51</f>
        <v>0</v>
      </c>
    </row>
    <row r="52" spans="1:10" s="188" customFormat="1" x14ac:dyDescent="0.2">
      <c r="A52" s="110">
        <v>16</v>
      </c>
      <c r="B52" s="713" t="s">
        <v>96</v>
      </c>
      <c r="C52" s="879">
        <f t="shared" ref="C52:I53" si="2">C53</f>
        <v>328629.85000000003</v>
      </c>
      <c r="D52" s="245">
        <f t="shared" si="2"/>
        <v>0</v>
      </c>
      <c r="E52" s="245">
        <f t="shared" si="2"/>
        <v>0</v>
      </c>
      <c r="F52" s="885">
        <f t="shared" si="2"/>
        <v>328629.85000000003</v>
      </c>
      <c r="G52" s="365">
        <f t="shared" si="2"/>
        <v>0</v>
      </c>
      <c r="H52" s="881">
        <f t="shared" si="2"/>
        <v>0</v>
      </c>
      <c r="I52" s="373">
        <f t="shared" si="2"/>
        <v>0</v>
      </c>
      <c r="J52" s="369">
        <f>G52+F52</f>
        <v>328629.85000000003</v>
      </c>
    </row>
    <row r="53" spans="1:10" s="188" customFormat="1" x14ac:dyDescent="0.2">
      <c r="A53" s="110">
        <v>162</v>
      </c>
      <c r="B53" s="713" t="s">
        <v>342</v>
      </c>
      <c r="C53" s="879">
        <f t="shared" si="2"/>
        <v>328629.85000000003</v>
      </c>
      <c r="D53" s="245">
        <f t="shared" si="2"/>
        <v>0</v>
      </c>
      <c r="E53" s="245">
        <f t="shared" si="2"/>
        <v>0</v>
      </c>
      <c r="F53" s="885">
        <f t="shared" si="2"/>
        <v>328629.85000000003</v>
      </c>
      <c r="G53" s="365">
        <f t="shared" si="2"/>
        <v>0</v>
      </c>
      <c r="H53" s="881">
        <f t="shared" si="2"/>
        <v>0</v>
      </c>
      <c r="I53" s="373">
        <f t="shared" si="2"/>
        <v>0</v>
      </c>
      <c r="J53" s="369">
        <f>J54</f>
        <v>328629.85000000003</v>
      </c>
    </row>
    <row r="54" spans="1:10" s="188" customFormat="1" x14ac:dyDescent="0.2">
      <c r="A54" s="95">
        <v>16201</v>
      </c>
      <c r="B54" s="714" t="s">
        <v>551</v>
      </c>
      <c r="C54" s="882">
        <f>(27385.82*11)+27385.83</f>
        <v>328629.85000000003</v>
      </c>
      <c r="D54" s="246">
        <v>0</v>
      </c>
      <c r="E54" s="246">
        <v>0</v>
      </c>
      <c r="F54" s="880">
        <f>E54+D54+C54</f>
        <v>328629.85000000003</v>
      </c>
      <c r="G54" s="366">
        <v>0</v>
      </c>
      <c r="H54" s="884"/>
      <c r="I54" s="374">
        <v>0</v>
      </c>
      <c r="J54" s="370">
        <f>G54+F54</f>
        <v>328629.85000000003</v>
      </c>
    </row>
    <row r="55" spans="1:10" s="188" customFormat="1" hidden="1" x14ac:dyDescent="0.2">
      <c r="A55" s="110">
        <v>163</v>
      </c>
      <c r="B55" s="713" t="s">
        <v>552</v>
      </c>
      <c r="C55" s="879">
        <v>0</v>
      </c>
      <c r="D55" s="245">
        <v>0</v>
      </c>
      <c r="E55" s="245">
        <v>0</v>
      </c>
      <c r="F55" s="885">
        <v>0</v>
      </c>
      <c r="G55" s="365">
        <v>0</v>
      </c>
      <c r="H55" s="881">
        <v>0</v>
      </c>
      <c r="I55" s="373">
        <v>0</v>
      </c>
      <c r="J55" s="369">
        <v>0</v>
      </c>
    </row>
    <row r="56" spans="1:10" s="188" customFormat="1" hidden="1" x14ac:dyDescent="0.2">
      <c r="A56" s="95">
        <v>16304</v>
      </c>
      <c r="B56" s="714" t="s">
        <v>553</v>
      </c>
      <c r="C56" s="882">
        <v>0</v>
      </c>
      <c r="D56" s="246">
        <v>0</v>
      </c>
      <c r="E56" s="246">
        <v>0</v>
      </c>
      <c r="F56" s="880">
        <v>0</v>
      </c>
      <c r="G56" s="366">
        <v>0</v>
      </c>
      <c r="H56" s="884">
        <v>0</v>
      </c>
      <c r="I56" s="374">
        <v>0</v>
      </c>
      <c r="J56" s="370">
        <v>0</v>
      </c>
    </row>
    <row r="57" spans="1:10" s="188" customFormat="1" hidden="1" x14ac:dyDescent="0.2">
      <c r="A57" s="110">
        <v>21</v>
      </c>
      <c r="B57" s="713" t="s">
        <v>554</v>
      </c>
      <c r="C57" s="879">
        <v>0</v>
      </c>
      <c r="D57" s="245">
        <v>0</v>
      </c>
      <c r="E57" s="245">
        <v>0</v>
      </c>
      <c r="F57" s="885">
        <v>0</v>
      </c>
      <c r="G57" s="365">
        <f>+G58</f>
        <v>0</v>
      </c>
      <c r="H57" s="884">
        <v>0</v>
      </c>
      <c r="I57" s="373">
        <v>0</v>
      </c>
      <c r="J57" s="369">
        <v>0</v>
      </c>
    </row>
    <row r="58" spans="1:10" s="188" customFormat="1" hidden="1" x14ac:dyDescent="0.2">
      <c r="A58" s="95">
        <v>212</v>
      </c>
      <c r="B58" s="714" t="s">
        <v>555</v>
      </c>
      <c r="C58" s="882">
        <v>0</v>
      </c>
      <c r="D58" s="246">
        <v>0</v>
      </c>
      <c r="E58" s="246">
        <v>0</v>
      </c>
      <c r="F58" s="880">
        <v>0</v>
      </c>
      <c r="G58" s="366">
        <v>0</v>
      </c>
      <c r="H58" s="884">
        <v>0</v>
      </c>
      <c r="I58" s="374">
        <v>0</v>
      </c>
      <c r="J58" s="370">
        <v>0</v>
      </c>
    </row>
    <row r="59" spans="1:10" s="188" customFormat="1" hidden="1" x14ac:dyDescent="0.2">
      <c r="A59" s="95">
        <v>21201</v>
      </c>
      <c r="B59" s="714" t="s">
        <v>556</v>
      </c>
      <c r="C59" s="882">
        <v>0</v>
      </c>
      <c r="D59" s="246">
        <v>0</v>
      </c>
      <c r="E59" s="246">
        <v>0</v>
      </c>
      <c r="F59" s="880">
        <v>0</v>
      </c>
      <c r="G59" s="366">
        <v>0</v>
      </c>
      <c r="H59" s="884">
        <v>0</v>
      </c>
      <c r="I59" s="374">
        <v>0</v>
      </c>
      <c r="J59" s="370">
        <v>0</v>
      </c>
    </row>
    <row r="60" spans="1:10" s="188" customFormat="1" x14ac:dyDescent="0.2">
      <c r="A60" s="110">
        <v>22</v>
      </c>
      <c r="B60" s="713" t="s">
        <v>12</v>
      </c>
      <c r="C60" s="879">
        <f t="shared" ref="C60:J60" si="3">C61</f>
        <v>0</v>
      </c>
      <c r="D60" s="245">
        <f t="shared" si="3"/>
        <v>985889.66</v>
      </c>
      <c r="E60" s="245">
        <f t="shared" si="3"/>
        <v>0</v>
      </c>
      <c r="F60" s="885">
        <f t="shared" si="3"/>
        <v>985889.66</v>
      </c>
      <c r="G60" s="365">
        <f t="shared" si="3"/>
        <v>0</v>
      </c>
      <c r="H60" s="881">
        <f t="shared" si="3"/>
        <v>0</v>
      </c>
      <c r="I60" s="373">
        <f t="shared" si="3"/>
        <v>0</v>
      </c>
      <c r="J60" s="369">
        <f t="shared" si="3"/>
        <v>985889.66</v>
      </c>
    </row>
    <row r="61" spans="1:10" s="188" customFormat="1" x14ac:dyDescent="0.2">
      <c r="A61" s="110">
        <v>222</v>
      </c>
      <c r="B61" s="713" t="s">
        <v>343</v>
      </c>
      <c r="C61" s="879">
        <f t="shared" ref="C61:I61" si="4">C62</f>
        <v>0</v>
      </c>
      <c r="D61" s="245">
        <f t="shared" si="4"/>
        <v>985889.66</v>
      </c>
      <c r="E61" s="245">
        <f t="shared" si="4"/>
        <v>0</v>
      </c>
      <c r="F61" s="885">
        <f t="shared" si="4"/>
        <v>985889.66</v>
      </c>
      <c r="G61" s="365">
        <f t="shared" si="4"/>
        <v>0</v>
      </c>
      <c r="H61" s="881">
        <f t="shared" si="4"/>
        <v>0</v>
      </c>
      <c r="I61" s="373">
        <f t="shared" si="4"/>
        <v>0</v>
      </c>
      <c r="J61" s="369">
        <f>I61+G61+F61</f>
        <v>985889.66</v>
      </c>
    </row>
    <row r="62" spans="1:10" s="188" customFormat="1" x14ac:dyDescent="0.2">
      <c r="A62" s="95">
        <v>22201</v>
      </c>
      <c r="B62" s="714" t="s">
        <v>557</v>
      </c>
      <c r="C62" s="882">
        <v>0</v>
      </c>
      <c r="D62" s="246">
        <f>(82157.47*11)+82157.49</f>
        <v>985889.66</v>
      </c>
      <c r="E62" s="246">
        <v>0</v>
      </c>
      <c r="F62" s="880">
        <f>D62</f>
        <v>985889.66</v>
      </c>
      <c r="G62" s="366">
        <v>0</v>
      </c>
      <c r="H62" s="884"/>
      <c r="I62" s="374">
        <v>0</v>
      </c>
      <c r="J62" s="370">
        <f>+I62+G62+F62+H62</f>
        <v>985889.66</v>
      </c>
    </row>
    <row r="63" spans="1:10" s="188" customFormat="1" hidden="1" x14ac:dyDescent="0.2">
      <c r="A63" s="110">
        <v>31</v>
      </c>
      <c r="B63" s="713" t="s">
        <v>344</v>
      </c>
      <c r="C63" s="879">
        <f t="shared" ref="C63:E64" si="5">C64</f>
        <v>0</v>
      </c>
      <c r="D63" s="245">
        <f t="shared" si="5"/>
        <v>0</v>
      </c>
      <c r="E63" s="245">
        <f t="shared" si="5"/>
        <v>0</v>
      </c>
      <c r="F63" s="885">
        <v>0</v>
      </c>
      <c r="G63" s="365">
        <f>G64</f>
        <v>0</v>
      </c>
      <c r="H63" s="881">
        <f>H64</f>
        <v>0</v>
      </c>
      <c r="I63" s="373">
        <v>0</v>
      </c>
      <c r="J63" s="369">
        <f>I63+G63</f>
        <v>0</v>
      </c>
    </row>
    <row r="64" spans="1:10" s="188" customFormat="1" hidden="1" x14ac:dyDescent="0.2">
      <c r="A64" s="110">
        <v>313</v>
      </c>
      <c r="B64" s="713" t="s">
        <v>345</v>
      </c>
      <c r="C64" s="879">
        <f t="shared" si="5"/>
        <v>0</v>
      </c>
      <c r="D64" s="245">
        <f t="shared" si="5"/>
        <v>0</v>
      </c>
      <c r="E64" s="245">
        <f t="shared" si="5"/>
        <v>0</v>
      </c>
      <c r="F64" s="885">
        <v>0</v>
      </c>
      <c r="G64" s="365">
        <f>G65</f>
        <v>0</v>
      </c>
      <c r="H64" s="881">
        <f>H65</f>
        <v>0</v>
      </c>
      <c r="I64" s="373">
        <f>I65</f>
        <v>0</v>
      </c>
      <c r="J64" s="370">
        <f>+I64+G64</f>
        <v>0</v>
      </c>
    </row>
    <row r="65" spans="1:10" s="188" customFormat="1" hidden="1" x14ac:dyDescent="0.2">
      <c r="A65" s="95">
        <v>31308</v>
      </c>
      <c r="B65" s="714" t="s">
        <v>239</v>
      </c>
      <c r="C65" s="882">
        <v>0</v>
      </c>
      <c r="D65" s="246">
        <v>0</v>
      </c>
      <c r="E65" s="246">
        <v>0</v>
      </c>
      <c r="F65" s="880">
        <v>0</v>
      </c>
      <c r="G65" s="366">
        <v>0</v>
      </c>
      <c r="H65" s="884">
        <v>0</v>
      </c>
      <c r="I65" s="374">
        <v>0</v>
      </c>
      <c r="J65" s="370">
        <v>0</v>
      </c>
    </row>
    <row r="66" spans="1:10" s="188" customFormat="1" x14ac:dyDescent="0.2">
      <c r="A66" s="110">
        <v>32</v>
      </c>
      <c r="B66" s="713" t="s">
        <v>13</v>
      </c>
      <c r="C66" s="879">
        <f>C67+C70</f>
        <v>30256.789999999997</v>
      </c>
      <c r="D66" s="245">
        <f>D67+D70</f>
        <v>365227.75</v>
      </c>
      <c r="E66" s="245">
        <f>E67</f>
        <v>20848.46</v>
      </c>
      <c r="F66" s="885">
        <f>+F67</f>
        <v>307556.26</v>
      </c>
      <c r="G66" s="365">
        <f>G67+G70</f>
        <v>56495.950000000004</v>
      </c>
      <c r="H66" s="881">
        <f>H67</f>
        <v>0</v>
      </c>
      <c r="I66" s="373">
        <f>I67</f>
        <v>771191.65</v>
      </c>
      <c r="J66" s="369">
        <f>+J67+J70</f>
        <v>1244020.6000000001</v>
      </c>
    </row>
    <row r="67" spans="1:10" s="188" customFormat="1" x14ac:dyDescent="0.2">
      <c r="A67" s="110">
        <v>321</v>
      </c>
      <c r="B67" s="713" t="s">
        <v>346</v>
      </c>
      <c r="C67" s="1015">
        <f>SUM(C68:C69)</f>
        <v>3062.6</v>
      </c>
      <c r="D67" s="245">
        <f>SUM(D68:D69)</f>
        <v>283645.2</v>
      </c>
      <c r="E67" s="365">
        <f>SUM(E68:E69)</f>
        <v>20848.46</v>
      </c>
      <c r="F67" s="885">
        <f>SUM(F68:F69)</f>
        <v>307556.26</v>
      </c>
      <c r="G67" s="365">
        <f>SUM(G68:G69)</f>
        <v>9147.2300000000014</v>
      </c>
      <c r="H67" s="881">
        <f t="shared" ref="H67:J67" si="6">SUM(H68:H69)</f>
        <v>0</v>
      </c>
      <c r="I67" s="373">
        <f t="shared" si="6"/>
        <v>771191.65</v>
      </c>
      <c r="J67" s="369">
        <f t="shared" si="6"/>
        <v>1087895.1400000001</v>
      </c>
    </row>
    <row r="68" spans="1:10" s="188" customFormat="1" x14ac:dyDescent="0.2">
      <c r="A68" s="1016">
        <v>32102</v>
      </c>
      <c r="B68" s="716" t="s">
        <v>758</v>
      </c>
      <c r="C68" s="1017">
        <v>0</v>
      </c>
      <c r="D68" s="348">
        <v>0</v>
      </c>
      <c r="E68" s="348">
        <v>0</v>
      </c>
      <c r="F68" s="880">
        <f>+D68+C68+E68</f>
        <v>0</v>
      </c>
      <c r="G68" s="366">
        <v>1276.56</v>
      </c>
      <c r="H68" s="881">
        <v>0</v>
      </c>
      <c r="I68" s="707">
        <v>0</v>
      </c>
      <c r="J68" s="370">
        <f>+I68+G68+F68+H68</f>
        <v>1276.56</v>
      </c>
    </row>
    <row r="69" spans="1:10" s="188" customFormat="1" x14ac:dyDescent="0.2">
      <c r="A69" s="95">
        <v>32102</v>
      </c>
      <c r="B69" s="716" t="s">
        <v>591</v>
      </c>
      <c r="C69" s="890">
        <v>3062.6</v>
      </c>
      <c r="D69" s="246">
        <f>73293.49+29.4+77.5+4797.84+52415.01+156.26+10301.83+254.21+23.6+53461.06+30000+13833.3+45000+1.7</f>
        <v>283645.2</v>
      </c>
      <c r="E69" s="348">
        <f>20846.76+1.7</f>
        <v>20848.46</v>
      </c>
      <c r="F69" s="880">
        <f>+D69+C69+E69</f>
        <v>307556.26</v>
      </c>
      <c r="G69" s="366">
        <f>1844.44+67.62+5960.31-1.7</f>
        <v>7870.670000000001</v>
      </c>
      <c r="H69" s="884">
        <v>0</v>
      </c>
      <c r="I69" s="374">
        <f>653389.49+117802.16</f>
        <v>771191.65</v>
      </c>
      <c r="J69" s="370">
        <f>+I69+G69+F69+H69</f>
        <v>1086618.58</v>
      </c>
    </row>
    <row r="70" spans="1:10" s="188" customFormat="1" x14ac:dyDescent="0.2">
      <c r="A70" s="110">
        <v>322</v>
      </c>
      <c r="B70" s="713" t="s">
        <v>347</v>
      </c>
      <c r="C70" s="879">
        <f>C71</f>
        <v>27194.19</v>
      </c>
      <c r="D70" s="245">
        <f>D71</f>
        <v>81582.55</v>
      </c>
      <c r="E70" s="245">
        <f>E71</f>
        <v>0</v>
      </c>
      <c r="F70" s="885">
        <f>+F71</f>
        <v>108776.74</v>
      </c>
      <c r="G70" s="365">
        <f>G71</f>
        <v>47348.72</v>
      </c>
      <c r="H70" s="881">
        <f>H71</f>
        <v>0</v>
      </c>
      <c r="I70" s="373">
        <f>I71</f>
        <v>0</v>
      </c>
      <c r="J70" s="369">
        <f>F70+I70+G70</f>
        <v>156125.46000000002</v>
      </c>
    </row>
    <row r="71" spans="1:10" s="188" customFormat="1" ht="13.5" thickBot="1" x14ac:dyDescent="0.25">
      <c r="A71" s="111">
        <v>32201</v>
      </c>
      <c r="B71" s="717" t="s">
        <v>347</v>
      </c>
      <c r="C71" s="891">
        <v>27194.19</v>
      </c>
      <c r="D71" s="892">
        <v>81582.55</v>
      </c>
      <c r="E71" s="893">
        <v>0</v>
      </c>
      <c r="F71" s="880">
        <f>+D71+C71+E71</f>
        <v>108776.74</v>
      </c>
      <c r="G71" s="894">
        <f>ROUND(((118371.81)*40%),2)</f>
        <v>47348.72</v>
      </c>
      <c r="H71" s="895">
        <v>0</v>
      </c>
      <c r="I71" s="896">
        <v>0</v>
      </c>
      <c r="J71" s="370">
        <f>+I71+G71+F71+H71</f>
        <v>156125.46000000002</v>
      </c>
    </row>
    <row r="72" spans="1:10" s="188" customFormat="1" ht="13.5" thickBot="1" x14ac:dyDescent="0.25">
      <c r="A72" s="1032" t="s">
        <v>558</v>
      </c>
      <c r="B72" s="1033"/>
      <c r="C72" s="718">
        <f>C8+C18+C35+C39+C52+C57+C60+C63+C66</f>
        <v>358886.64</v>
      </c>
      <c r="D72" s="718">
        <f>D8+D18+D35+D39+D52+D57+D60+D63+D66</f>
        <v>1351117.4100000001</v>
      </c>
      <c r="E72" s="718">
        <f>E8+E18+E35+E39+E52+E57+E60+E63+E66</f>
        <v>20848.46</v>
      </c>
      <c r="F72" s="718">
        <f>SUM(C72:E72)</f>
        <v>1730852.5100000002</v>
      </c>
      <c r="G72" s="371">
        <f>G66+G39+G35+G18+G8</f>
        <v>348543.44000000006</v>
      </c>
      <c r="H72" s="719">
        <f>H8+H18+H35+H39+H52+H57+H60+H63+H66</f>
        <v>0</v>
      </c>
      <c r="I72" s="718">
        <f>I8+I18+I35+I39+I52+I57+I60+I63+I66</f>
        <v>771191.65</v>
      </c>
      <c r="J72" s="371">
        <f>+J66+J60+J52+J39+J35+J18+J8</f>
        <v>2850587.6</v>
      </c>
    </row>
    <row r="73" spans="1:10" s="188" customFormat="1" ht="13.5" thickBot="1" x14ac:dyDescent="0.25">
      <c r="A73" s="1032" t="s">
        <v>348</v>
      </c>
      <c r="B73" s="1033"/>
      <c r="C73" s="718">
        <f t="shared" ref="C73:I73" si="7">+C72</f>
        <v>358886.64</v>
      </c>
      <c r="D73" s="718">
        <f t="shared" si="7"/>
        <v>1351117.4100000001</v>
      </c>
      <c r="E73" s="718">
        <f t="shared" si="7"/>
        <v>20848.46</v>
      </c>
      <c r="F73" s="718">
        <f t="shared" si="7"/>
        <v>1730852.5100000002</v>
      </c>
      <c r="G73" s="371">
        <f t="shared" si="7"/>
        <v>348543.44000000006</v>
      </c>
      <c r="H73" s="719">
        <f t="shared" si="7"/>
        <v>0</v>
      </c>
      <c r="I73" s="718">
        <f t="shared" si="7"/>
        <v>771191.65</v>
      </c>
      <c r="J73" s="371">
        <f>+J72</f>
        <v>2850587.6</v>
      </c>
    </row>
    <row r="75" spans="1:10" x14ac:dyDescent="0.2">
      <c r="D75" s="1014"/>
    </row>
    <row r="76" spans="1:10" x14ac:dyDescent="0.2">
      <c r="D76" s="1014"/>
    </row>
    <row r="78" spans="1:10" x14ac:dyDescent="0.2">
      <c r="D78" s="1014"/>
    </row>
  </sheetData>
  <mergeCells count="13">
    <mergeCell ref="A1:J3"/>
    <mergeCell ref="J5:J7"/>
    <mergeCell ref="G5:G7"/>
    <mergeCell ref="C5:F5"/>
    <mergeCell ref="F6:F7"/>
    <mergeCell ref="C6:D6"/>
    <mergeCell ref="E6:E7"/>
    <mergeCell ref="H5:H7"/>
    <mergeCell ref="A72:B72"/>
    <mergeCell ref="A73:B73"/>
    <mergeCell ref="I5:I7"/>
    <mergeCell ref="A5:A7"/>
    <mergeCell ref="B5:B7"/>
  </mergeCells>
  <phoneticPr fontId="7" type="noConversion"/>
  <printOptions horizontalCentered="1" verticalCentered="1"/>
  <pageMargins left="0.11811023622047245" right="0.11811023622047245" top="0.6692913385826772" bottom="0.15748031496062992" header="0" footer="0"/>
  <pageSetup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Q77"/>
  <sheetViews>
    <sheetView showGridLines="0" workbookViewId="0">
      <selection activeCell="A4" sqref="A4"/>
    </sheetView>
  </sheetViews>
  <sheetFormatPr baseColWidth="10" defaultRowHeight="12.75" x14ac:dyDescent="0.2"/>
  <cols>
    <col min="1" max="1" width="9.140625" style="188" customWidth="1"/>
    <col min="2" max="2" width="50.85546875" style="188" customWidth="1"/>
    <col min="3" max="3" width="14.85546875" style="188" customWidth="1"/>
    <col min="4" max="15" width="12.5703125" style="188" customWidth="1"/>
    <col min="16" max="16" width="13.5703125" style="188" customWidth="1"/>
    <col min="17" max="18" width="0" style="27" hidden="1" customWidth="1"/>
    <col min="19" max="16384" width="11.42578125" style="27"/>
  </cols>
  <sheetData>
    <row r="1" spans="1:17" ht="12.75" customHeight="1" x14ac:dyDescent="0.2">
      <c r="A1" s="1043" t="s">
        <v>662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1043"/>
      <c r="O1" s="1043"/>
      <c r="P1" s="1043"/>
    </row>
    <row r="2" spans="1:17" x14ac:dyDescent="0.2">
      <c r="A2" s="1043"/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1043"/>
      <c r="N2" s="1043"/>
      <c r="O2" s="1043"/>
      <c r="P2" s="1043"/>
    </row>
    <row r="3" spans="1:17" x14ac:dyDescent="0.2">
      <c r="A3" s="1043"/>
      <c r="B3" s="1043"/>
      <c r="C3" s="1043"/>
      <c r="D3" s="1043"/>
      <c r="E3" s="1043"/>
      <c r="F3" s="1043"/>
      <c r="G3" s="1043"/>
      <c r="H3" s="1043"/>
      <c r="I3" s="1043"/>
      <c r="J3" s="1043"/>
      <c r="K3" s="1043"/>
      <c r="L3" s="1043"/>
      <c r="M3" s="1043"/>
      <c r="N3" s="1043"/>
      <c r="O3" s="1043"/>
      <c r="P3" s="1043"/>
    </row>
    <row r="4" spans="1:17" ht="15" customHeight="1" thickBot="1" x14ac:dyDescent="0.25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</row>
    <row r="5" spans="1:17" s="188" customFormat="1" ht="12.75" customHeight="1" x14ac:dyDescent="0.2">
      <c r="A5" s="1037" t="s">
        <v>559</v>
      </c>
      <c r="B5" s="1059" t="s">
        <v>103</v>
      </c>
      <c r="C5" s="574" t="s">
        <v>560</v>
      </c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</row>
    <row r="6" spans="1:17" s="188" customFormat="1" x14ac:dyDescent="0.2">
      <c r="A6" s="1038"/>
      <c r="B6" s="1060"/>
      <c r="C6" s="572" t="s">
        <v>0</v>
      </c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3"/>
    </row>
    <row r="7" spans="1:17" s="188" customFormat="1" ht="21.75" customHeight="1" thickBot="1" x14ac:dyDescent="0.25">
      <c r="A7" s="1039"/>
      <c r="B7" s="1061"/>
      <c r="C7" s="367" t="s">
        <v>298</v>
      </c>
      <c r="D7" s="577" t="s">
        <v>608</v>
      </c>
      <c r="E7" s="577" t="s">
        <v>609</v>
      </c>
      <c r="F7" s="577" t="s">
        <v>610</v>
      </c>
      <c r="G7" s="577" t="s">
        <v>611</v>
      </c>
      <c r="H7" s="577" t="s">
        <v>612</v>
      </c>
      <c r="I7" s="577" t="s">
        <v>613</v>
      </c>
      <c r="J7" s="577" t="s">
        <v>614</v>
      </c>
      <c r="K7" s="577" t="s">
        <v>615</v>
      </c>
      <c r="L7" s="577" t="s">
        <v>616</v>
      </c>
      <c r="M7" s="577" t="s">
        <v>617</v>
      </c>
      <c r="N7" s="577" t="s">
        <v>618</v>
      </c>
      <c r="O7" s="577" t="s">
        <v>619</v>
      </c>
      <c r="P7" s="569" t="s">
        <v>25</v>
      </c>
    </row>
    <row r="8" spans="1:17" s="188" customFormat="1" x14ac:dyDescent="0.2">
      <c r="A8" s="109">
        <v>11</v>
      </c>
      <c r="B8" s="712" t="s">
        <v>337</v>
      </c>
      <c r="C8" s="578">
        <f>C9</f>
        <v>19109.14</v>
      </c>
      <c r="D8" s="578" t="e">
        <f>D9</f>
        <v>#REF!</v>
      </c>
      <c r="E8" s="578" t="e">
        <f t="shared" ref="E8:O8" si="0">E9</f>
        <v>#REF!</v>
      </c>
      <c r="F8" s="578" t="e">
        <f t="shared" si="0"/>
        <v>#REF!</v>
      </c>
      <c r="G8" s="578" t="e">
        <f t="shared" si="0"/>
        <v>#REF!</v>
      </c>
      <c r="H8" s="578" t="e">
        <f t="shared" si="0"/>
        <v>#REF!</v>
      </c>
      <c r="I8" s="578" t="e">
        <f t="shared" si="0"/>
        <v>#REF!</v>
      </c>
      <c r="J8" s="578" t="e">
        <f t="shared" si="0"/>
        <v>#REF!</v>
      </c>
      <c r="K8" s="578" t="e">
        <f t="shared" si="0"/>
        <v>#REF!</v>
      </c>
      <c r="L8" s="578" t="e">
        <f t="shared" si="0"/>
        <v>#REF!</v>
      </c>
      <c r="M8" s="578" t="e">
        <f t="shared" si="0"/>
        <v>#REF!</v>
      </c>
      <c r="N8" s="578" t="e">
        <f t="shared" si="0"/>
        <v>#REF!</v>
      </c>
      <c r="O8" s="578" t="e">
        <f t="shared" si="0"/>
        <v>#REF!</v>
      </c>
      <c r="P8" s="244" t="e">
        <f>P9</f>
        <v>#REF!</v>
      </c>
      <c r="Q8" s="347" t="e">
        <f>C8-P8</f>
        <v>#REF!</v>
      </c>
    </row>
    <row r="9" spans="1:17" s="188" customFormat="1" x14ac:dyDescent="0.2">
      <c r="A9" s="110">
        <v>118</v>
      </c>
      <c r="B9" s="713" t="s">
        <v>338</v>
      </c>
      <c r="C9" s="373">
        <f>SUM(C10:C17)</f>
        <v>19109.14</v>
      </c>
      <c r="D9" s="373" t="e">
        <f>SUM(D10:D17)</f>
        <v>#REF!</v>
      </c>
      <c r="E9" s="373" t="e">
        <f t="shared" ref="E9:O9" si="1">SUM(E10:E17)</f>
        <v>#REF!</v>
      </c>
      <c r="F9" s="373" t="e">
        <f t="shared" si="1"/>
        <v>#REF!</v>
      </c>
      <c r="G9" s="373" t="e">
        <f t="shared" si="1"/>
        <v>#REF!</v>
      </c>
      <c r="H9" s="373" t="e">
        <f t="shared" si="1"/>
        <v>#REF!</v>
      </c>
      <c r="I9" s="373" t="e">
        <f t="shared" si="1"/>
        <v>#REF!</v>
      </c>
      <c r="J9" s="373" t="e">
        <f t="shared" si="1"/>
        <v>#REF!</v>
      </c>
      <c r="K9" s="373" t="e">
        <f t="shared" si="1"/>
        <v>#REF!</v>
      </c>
      <c r="L9" s="373" t="e">
        <f t="shared" si="1"/>
        <v>#REF!</v>
      </c>
      <c r="M9" s="373" t="e">
        <f t="shared" si="1"/>
        <v>#REF!</v>
      </c>
      <c r="N9" s="373" t="e">
        <f t="shared" si="1"/>
        <v>#REF!</v>
      </c>
      <c r="O9" s="373" t="e">
        <f t="shared" si="1"/>
        <v>#REF!</v>
      </c>
      <c r="P9" s="245" t="e">
        <f>SUM(P10:P16)</f>
        <v>#REF!</v>
      </c>
      <c r="Q9" s="347" t="e">
        <f t="shared" ref="Q9:Q73" si="2">C9-P9</f>
        <v>#REF!</v>
      </c>
    </row>
    <row r="10" spans="1:17" s="188" customFormat="1" x14ac:dyDescent="0.2">
      <c r="A10" s="95">
        <v>11801</v>
      </c>
      <c r="B10" s="714" t="s">
        <v>520</v>
      </c>
      <c r="C10" s="374">
        <f>'ING. REALES'!J10</f>
        <v>4781.5199999999995</v>
      </c>
      <c r="D10" s="374" t="e">
        <f>'ING. REALES'!#REF!</f>
        <v>#REF!</v>
      </c>
      <c r="E10" s="374" t="e">
        <f>'ING. REALES'!#REF!</f>
        <v>#REF!</v>
      </c>
      <c r="F10" s="374" t="e">
        <f>'ING. REALES'!#REF!</f>
        <v>#REF!</v>
      </c>
      <c r="G10" s="374" t="e">
        <f>'ING. REALES'!#REF!</f>
        <v>#REF!</v>
      </c>
      <c r="H10" s="374" t="e">
        <f>'ING. REALES'!#REF!</f>
        <v>#REF!</v>
      </c>
      <c r="I10" s="374" t="e">
        <f>'ING. REALES'!#REF!</f>
        <v>#REF!</v>
      </c>
      <c r="J10" s="374" t="e">
        <f>'ING. REALES'!#REF!</f>
        <v>#REF!</v>
      </c>
      <c r="K10" s="374" t="e">
        <f>'ING. REALES'!#REF!</f>
        <v>#REF!</v>
      </c>
      <c r="L10" s="374" t="e">
        <f>'ING. REALES'!#REF!</f>
        <v>#REF!</v>
      </c>
      <c r="M10" s="374" t="e">
        <f>'ING. REALES'!#REF!</f>
        <v>#REF!</v>
      </c>
      <c r="N10" s="374" t="e">
        <f>'ING. REALES'!#REF!</f>
        <v>#REF!</v>
      </c>
      <c r="O10" s="374" t="e">
        <f>'ING. REALES'!#REF!</f>
        <v>#REF!</v>
      </c>
      <c r="P10" s="246" t="e">
        <f>SUM(D10:O10)</f>
        <v>#REF!</v>
      </c>
      <c r="Q10" s="347" t="e">
        <f t="shared" si="2"/>
        <v>#REF!</v>
      </c>
    </row>
    <row r="11" spans="1:17" s="188" customFormat="1" x14ac:dyDescent="0.2">
      <c r="A11" s="95">
        <v>11802</v>
      </c>
      <c r="B11" s="714" t="s">
        <v>521</v>
      </c>
      <c r="C11" s="374">
        <f>'ING. REALES'!J11</f>
        <v>1665.84</v>
      </c>
      <c r="D11" s="374" t="e">
        <f>'ING. REALES'!#REF!</f>
        <v>#REF!</v>
      </c>
      <c r="E11" s="374" t="e">
        <f>'ING. REALES'!#REF!</f>
        <v>#REF!</v>
      </c>
      <c r="F11" s="374" t="e">
        <f>'ING. REALES'!#REF!</f>
        <v>#REF!</v>
      </c>
      <c r="G11" s="374" t="e">
        <f>'ING. REALES'!#REF!</f>
        <v>#REF!</v>
      </c>
      <c r="H11" s="374" t="e">
        <f>'ING. REALES'!#REF!</f>
        <v>#REF!</v>
      </c>
      <c r="I11" s="374" t="e">
        <f>'ING. REALES'!#REF!</f>
        <v>#REF!</v>
      </c>
      <c r="J11" s="374" t="e">
        <f>'ING. REALES'!#REF!</f>
        <v>#REF!</v>
      </c>
      <c r="K11" s="374" t="e">
        <f>'ING. REALES'!#REF!</f>
        <v>#REF!</v>
      </c>
      <c r="L11" s="374" t="e">
        <f>'ING. REALES'!#REF!</f>
        <v>#REF!</v>
      </c>
      <c r="M11" s="374" t="e">
        <f>'ING. REALES'!#REF!</f>
        <v>#REF!</v>
      </c>
      <c r="N11" s="374" t="e">
        <f>'ING. REALES'!#REF!</f>
        <v>#REF!</v>
      </c>
      <c r="O11" s="374" t="e">
        <f>'ING. REALES'!#REF!</f>
        <v>#REF!</v>
      </c>
      <c r="P11" s="246" t="e">
        <f t="shared" ref="P11:P15" si="3">SUM(D11:O11)</f>
        <v>#REF!</v>
      </c>
      <c r="Q11" s="347" t="e">
        <f t="shared" si="2"/>
        <v>#REF!</v>
      </c>
    </row>
    <row r="12" spans="1:17" s="188" customFormat="1" x14ac:dyDescent="0.2">
      <c r="A12" s="95">
        <v>11804</v>
      </c>
      <c r="B12" s="714" t="s">
        <v>522</v>
      </c>
      <c r="C12" s="374">
        <f>'ING. REALES'!J12</f>
        <v>9830.76</v>
      </c>
      <c r="D12" s="374" t="e">
        <f>'ING. REALES'!#REF!</f>
        <v>#REF!</v>
      </c>
      <c r="E12" s="374" t="e">
        <f>'ING. REALES'!#REF!</f>
        <v>#REF!</v>
      </c>
      <c r="F12" s="374" t="e">
        <f>'ING. REALES'!#REF!</f>
        <v>#REF!</v>
      </c>
      <c r="G12" s="374" t="e">
        <f>'ING. REALES'!#REF!</f>
        <v>#REF!</v>
      </c>
      <c r="H12" s="374" t="e">
        <f>'ING. REALES'!#REF!</f>
        <v>#REF!</v>
      </c>
      <c r="I12" s="374" t="e">
        <f>'ING. REALES'!#REF!</f>
        <v>#REF!</v>
      </c>
      <c r="J12" s="374" t="e">
        <f>'ING. REALES'!#REF!</f>
        <v>#REF!</v>
      </c>
      <c r="K12" s="374" t="e">
        <f>'ING. REALES'!#REF!</f>
        <v>#REF!</v>
      </c>
      <c r="L12" s="374" t="e">
        <f>'ING. REALES'!#REF!</f>
        <v>#REF!</v>
      </c>
      <c r="M12" s="374" t="e">
        <f>'ING. REALES'!#REF!</f>
        <v>#REF!</v>
      </c>
      <c r="N12" s="374" t="e">
        <f>'ING. REALES'!#REF!</f>
        <v>#REF!</v>
      </c>
      <c r="O12" s="374" t="e">
        <f>'ING. REALES'!#REF!</f>
        <v>#REF!</v>
      </c>
      <c r="P12" s="246" t="e">
        <f t="shared" si="3"/>
        <v>#REF!</v>
      </c>
      <c r="Q12" s="347" t="e">
        <f t="shared" si="2"/>
        <v>#REF!</v>
      </c>
    </row>
    <row r="13" spans="1:17" s="188" customFormat="1" x14ac:dyDescent="0.2">
      <c r="A13" s="95">
        <v>11812</v>
      </c>
      <c r="B13" s="715" t="s">
        <v>523</v>
      </c>
      <c r="C13" s="374">
        <f>'ING. REALES'!J13</f>
        <v>411.84000000000003</v>
      </c>
      <c r="D13" s="374" t="e">
        <f>'ING. REALES'!#REF!</f>
        <v>#REF!</v>
      </c>
      <c r="E13" s="374" t="e">
        <f>'ING. REALES'!#REF!</f>
        <v>#REF!</v>
      </c>
      <c r="F13" s="374" t="e">
        <f>'ING. REALES'!#REF!</f>
        <v>#REF!</v>
      </c>
      <c r="G13" s="374" t="e">
        <f>'ING. REALES'!#REF!</f>
        <v>#REF!</v>
      </c>
      <c r="H13" s="374" t="e">
        <f>'ING. REALES'!#REF!</f>
        <v>#REF!</v>
      </c>
      <c r="I13" s="374" t="e">
        <f>'ING. REALES'!#REF!</f>
        <v>#REF!</v>
      </c>
      <c r="J13" s="374" t="e">
        <f>'ING. REALES'!#REF!</f>
        <v>#REF!</v>
      </c>
      <c r="K13" s="374" t="e">
        <f>'ING. REALES'!#REF!</f>
        <v>#REF!</v>
      </c>
      <c r="L13" s="374" t="e">
        <f>'ING. REALES'!#REF!</f>
        <v>#REF!</v>
      </c>
      <c r="M13" s="374" t="e">
        <f>'ING. REALES'!#REF!</f>
        <v>#REF!</v>
      </c>
      <c r="N13" s="374" t="e">
        <f>'ING. REALES'!#REF!</f>
        <v>#REF!</v>
      </c>
      <c r="O13" s="374" t="e">
        <f>'ING. REALES'!#REF!</f>
        <v>#REF!</v>
      </c>
      <c r="P13" s="246" t="e">
        <f t="shared" si="3"/>
        <v>#REF!</v>
      </c>
      <c r="Q13" s="347" t="e">
        <f t="shared" si="2"/>
        <v>#REF!</v>
      </c>
    </row>
    <row r="14" spans="1:17" s="188" customFormat="1" x14ac:dyDescent="0.2">
      <c r="A14" s="95">
        <v>11813</v>
      </c>
      <c r="B14" s="715" t="s">
        <v>646</v>
      </c>
      <c r="C14" s="374">
        <f>'ING. REALES'!J14</f>
        <v>82.320000000000007</v>
      </c>
      <c r="D14" s="374" t="e">
        <f>'ING. REALES'!#REF!</f>
        <v>#REF!</v>
      </c>
      <c r="E14" s="374" t="e">
        <f>'ING. REALES'!#REF!</f>
        <v>#REF!</v>
      </c>
      <c r="F14" s="374" t="e">
        <f>'ING. REALES'!#REF!</f>
        <v>#REF!</v>
      </c>
      <c r="G14" s="374" t="e">
        <f>'ING. REALES'!#REF!</f>
        <v>#REF!</v>
      </c>
      <c r="H14" s="374" t="e">
        <f>'ING. REALES'!#REF!</f>
        <v>#REF!</v>
      </c>
      <c r="I14" s="374" t="e">
        <f>'ING. REALES'!#REF!</f>
        <v>#REF!</v>
      </c>
      <c r="J14" s="374" t="e">
        <f>'ING. REALES'!#REF!</f>
        <v>#REF!</v>
      </c>
      <c r="K14" s="374" t="e">
        <f>'ING. REALES'!#REF!</f>
        <v>#REF!</v>
      </c>
      <c r="L14" s="374" t="e">
        <f>'ING. REALES'!#REF!</f>
        <v>#REF!</v>
      </c>
      <c r="M14" s="374" t="e">
        <f>'ING. REALES'!#REF!</f>
        <v>#REF!</v>
      </c>
      <c r="N14" s="374" t="e">
        <f>'ING. REALES'!#REF!</f>
        <v>#REF!</v>
      </c>
      <c r="O14" s="374" t="e">
        <f>'ING. REALES'!#REF!</f>
        <v>#REF!</v>
      </c>
      <c r="P14" s="246" t="e">
        <f t="shared" si="3"/>
        <v>#REF!</v>
      </c>
      <c r="Q14" s="347" t="e">
        <f t="shared" si="2"/>
        <v>#REF!</v>
      </c>
    </row>
    <row r="15" spans="1:17" s="188" customFormat="1" x14ac:dyDescent="0.2">
      <c r="A15" s="95">
        <v>11816</v>
      </c>
      <c r="B15" s="714" t="s">
        <v>524</v>
      </c>
      <c r="C15" s="374">
        <f>'ING. REALES'!J15</f>
        <v>1479.3600000000001</v>
      </c>
      <c r="D15" s="374" t="e">
        <f>'ING. REALES'!#REF!</f>
        <v>#REF!</v>
      </c>
      <c r="E15" s="374" t="e">
        <f>'ING. REALES'!#REF!</f>
        <v>#REF!</v>
      </c>
      <c r="F15" s="374" t="e">
        <f>'ING. REALES'!#REF!</f>
        <v>#REF!</v>
      </c>
      <c r="G15" s="374" t="e">
        <f>'ING. REALES'!#REF!</f>
        <v>#REF!</v>
      </c>
      <c r="H15" s="374" t="e">
        <f>'ING. REALES'!#REF!</f>
        <v>#REF!</v>
      </c>
      <c r="I15" s="374" t="e">
        <f>'ING. REALES'!#REF!</f>
        <v>#REF!</v>
      </c>
      <c r="J15" s="374" t="e">
        <f>'ING. REALES'!#REF!</f>
        <v>#REF!</v>
      </c>
      <c r="K15" s="374" t="e">
        <f>'ING. REALES'!#REF!</f>
        <v>#REF!</v>
      </c>
      <c r="L15" s="374" t="e">
        <f>'ING. REALES'!#REF!</f>
        <v>#REF!</v>
      </c>
      <c r="M15" s="374" t="e">
        <f>'ING. REALES'!#REF!</f>
        <v>#REF!</v>
      </c>
      <c r="N15" s="374" t="e">
        <f>'ING. REALES'!#REF!</f>
        <v>#REF!</v>
      </c>
      <c r="O15" s="374" t="e">
        <f>'ING. REALES'!#REF!</f>
        <v>#REF!</v>
      </c>
      <c r="P15" s="246" t="e">
        <f t="shared" si="3"/>
        <v>#REF!</v>
      </c>
      <c r="Q15" s="347" t="e">
        <f t="shared" si="2"/>
        <v>#REF!</v>
      </c>
    </row>
    <row r="16" spans="1:17" s="188" customFormat="1" x14ac:dyDescent="0.2">
      <c r="A16" s="95">
        <v>11818</v>
      </c>
      <c r="B16" s="714" t="s">
        <v>525</v>
      </c>
      <c r="C16" s="374">
        <f>'ING. REALES'!J16</f>
        <v>857.5</v>
      </c>
      <c r="D16" s="374" t="e">
        <f>'ING. REALES'!#REF!</f>
        <v>#REF!</v>
      </c>
      <c r="E16" s="374" t="e">
        <f>'ING. REALES'!#REF!</f>
        <v>#REF!</v>
      </c>
      <c r="F16" s="374" t="e">
        <f>'ING. REALES'!#REF!</f>
        <v>#REF!</v>
      </c>
      <c r="G16" s="374" t="e">
        <f>'ING. REALES'!#REF!</f>
        <v>#REF!</v>
      </c>
      <c r="H16" s="374" t="e">
        <f>'ING. REALES'!#REF!</f>
        <v>#REF!</v>
      </c>
      <c r="I16" s="374" t="e">
        <f>'ING. REALES'!#REF!</f>
        <v>#REF!</v>
      </c>
      <c r="J16" s="374" t="e">
        <f>'ING. REALES'!#REF!</f>
        <v>#REF!</v>
      </c>
      <c r="K16" s="374" t="e">
        <f>'ING. REALES'!#REF!</f>
        <v>#REF!</v>
      </c>
      <c r="L16" s="374" t="e">
        <f>'ING. REALES'!#REF!</f>
        <v>#REF!</v>
      </c>
      <c r="M16" s="374" t="e">
        <f>'ING. REALES'!#REF!</f>
        <v>#REF!</v>
      </c>
      <c r="N16" s="374" t="e">
        <f>'ING. REALES'!#REF!</f>
        <v>#REF!</v>
      </c>
      <c r="O16" s="374" t="e">
        <f>'ING. REALES'!#REF!</f>
        <v>#REF!</v>
      </c>
      <c r="P16" s="246"/>
      <c r="Q16" s="347">
        <f t="shared" si="2"/>
        <v>857.5</v>
      </c>
    </row>
    <row r="17" spans="1:17" s="188" customFormat="1" x14ac:dyDescent="0.2">
      <c r="A17" s="95">
        <v>11899</v>
      </c>
      <c r="B17" s="714" t="s">
        <v>526</v>
      </c>
      <c r="C17" s="374">
        <f>'ING. REALES'!J17</f>
        <v>0</v>
      </c>
      <c r="D17" s="374" t="e">
        <f>'ING. REALES'!#REF!</f>
        <v>#REF!</v>
      </c>
      <c r="E17" s="374" t="e">
        <f>'ING. REALES'!#REF!</f>
        <v>#REF!</v>
      </c>
      <c r="F17" s="374" t="e">
        <f>'ING. REALES'!#REF!</f>
        <v>#REF!</v>
      </c>
      <c r="G17" s="374" t="e">
        <f>'ING. REALES'!#REF!</f>
        <v>#REF!</v>
      </c>
      <c r="H17" s="374" t="e">
        <f>'ING. REALES'!#REF!</f>
        <v>#REF!</v>
      </c>
      <c r="I17" s="374" t="e">
        <f>'ING. REALES'!#REF!</f>
        <v>#REF!</v>
      </c>
      <c r="J17" s="374" t="e">
        <f>'ING. REALES'!#REF!</f>
        <v>#REF!</v>
      </c>
      <c r="K17" s="374" t="e">
        <f>'ING. REALES'!#REF!</f>
        <v>#REF!</v>
      </c>
      <c r="L17" s="374" t="e">
        <f>'ING. REALES'!#REF!</f>
        <v>#REF!</v>
      </c>
      <c r="M17" s="374" t="e">
        <f>'ING. REALES'!#REF!</f>
        <v>#REF!</v>
      </c>
      <c r="N17" s="374" t="e">
        <f>'ING. REALES'!#REF!</f>
        <v>#REF!</v>
      </c>
      <c r="O17" s="374" t="e">
        <f>'ING. REALES'!#REF!</f>
        <v>#REF!</v>
      </c>
      <c r="P17" s="245" t="e">
        <f t="shared" ref="P17" si="4">+P18+P31</f>
        <v>#REF!</v>
      </c>
      <c r="Q17" s="347" t="e">
        <f t="shared" si="2"/>
        <v>#REF!</v>
      </c>
    </row>
    <row r="18" spans="1:17" s="188" customFormat="1" x14ac:dyDescent="0.2">
      <c r="A18" s="110">
        <v>12</v>
      </c>
      <c r="B18" s="713" t="s">
        <v>6</v>
      </c>
      <c r="C18" s="373">
        <f>C19+C32</f>
        <v>112640.34</v>
      </c>
      <c r="D18" s="373" t="e">
        <f>D19+D32</f>
        <v>#REF!</v>
      </c>
      <c r="E18" s="373" t="e">
        <f t="shared" ref="E18:O18" si="5">E19+E32</f>
        <v>#REF!</v>
      </c>
      <c r="F18" s="373" t="e">
        <f t="shared" si="5"/>
        <v>#REF!</v>
      </c>
      <c r="G18" s="373" t="e">
        <f t="shared" si="5"/>
        <v>#REF!</v>
      </c>
      <c r="H18" s="373" t="e">
        <f t="shared" si="5"/>
        <v>#REF!</v>
      </c>
      <c r="I18" s="373" t="e">
        <f t="shared" si="5"/>
        <v>#REF!</v>
      </c>
      <c r="J18" s="373" t="e">
        <f t="shared" si="5"/>
        <v>#REF!</v>
      </c>
      <c r="K18" s="373" t="e">
        <f t="shared" si="5"/>
        <v>#REF!</v>
      </c>
      <c r="L18" s="373" t="e">
        <f t="shared" si="5"/>
        <v>#REF!</v>
      </c>
      <c r="M18" s="373" t="e">
        <f t="shared" si="5"/>
        <v>#REF!</v>
      </c>
      <c r="N18" s="373" t="e">
        <f t="shared" si="5"/>
        <v>#REF!</v>
      </c>
      <c r="O18" s="373" t="e">
        <f t="shared" si="5"/>
        <v>#REF!</v>
      </c>
      <c r="P18" s="245" t="e">
        <f t="shared" ref="P18" si="6">SUM(P19:P30)</f>
        <v>#REF!</v>
      </c>
      <c r="Q18" s="347" t="e">
        <f t="shared" si="2"/>
        <v>#REF!</v>
      </c>
    </row>
    <row r="19" spans="1:17" s="188" customFormat="1" x14ac:dyDescent="0.2">
      <c r="A19" s="110">
        <v>121</v>
      </c>
      <c r="B19" s="713" t="s">
        <v>339</v>
      </c>
      <c r="C19" s="373">
        <f>SUM(C20:C31)</f>
        <v>112538.34</v>
      </c>
      <c r="D19" s="373" t="e">
        <f>SUM(D20:D31)</f>
        <v>#REF!</v>
      </c>
      <c r="E19" s="373" t="e">
        <f t="shared" ref="E19:O19" si="7">SUM(E20:E31)</f>
        <v>#REF!</v>
      </c>
      <c r="F19" s="373" t="e">
        <f t="shared" si="7"/>
        <v>#REF!</v>
      </c>
      <c r="G19" s="373" t="e">
        <f t="shared" si="7"/>
        <v>#REF!</v>
      </c>
      <c r="H19" s="373" t="e">
        <f t="shared" si="7"/>
        <v>#REF!</v>
      </c>
      <c r="I19" s="373" t="e">
        <f t="shared" si="7"/>
        <v>#REF!</v>
      </c>
      <c r="J19" s="373" t="e">
        <f t="shared" si="7"/>
        <v>#REF!</v>
      </c>
      <c r="K19" s="373" t="e">
        <f t="shared" si="7"/>
        <v>#REF!</v>
      </c>
      <c r="L19" s="373" t="e">
        <f t="shared" si="7"/>
        <v>#REF!</v>
      </c>
      <c r="M19" s="373" t="e">
        <f t="shared" si="7"/>
        <v>#REF!</v>
      </c>
      <c r="N19" s="373" t="e">
        <f t="shared" si="7"/>
        <v>#REF!</v>
      </c>
      <c r="O19" s="373" t="e">
        <f t="shared" si="7"/>
        <v>#REF!</v>
      </c>
      <c r="P19" s="246" t="e">
        <f t="shared" ref="P19:P33" si="8">SUM(D19:O19)</f>
        <v>#REF!</v>
      </c>
      <c r="Q19" s="347" t="e">
        <f t="shared" si="2"/>
        <v>#REF!</v>
      </c>
    </row>
    <row r="20" spans="1:17" s="188" customFormat="1" x14ac:dyDescent="0.2">
      <c r="A20" s="95">
        <v>12105</v>
      </c>
      <c r="B20" s="714" t="s">
        <v>527</v>
      </c>
      <c r="C20" s="374">
        <f>'ING. REALES'!J20</f>
        <v>5000</v>
      </c>
      <c r="D20" s="374" t="e">
        <f>'ING. REALES'!#REF!</f>
        <v>#REF!</v>
      </c>
      <c r="E20" s="374" t="e">
        <f>'ING. REALES'!#REF!</f>
        <v>#REF!</v>
      </c>
      <c r="F20" s="374" t="e">
        <f>'ING. REALES'!#REF!</f>
        <v>#REF!</v>
      </c>
      <c r="G20" s="374" t="e">
        <f>'ING. REALES'!#REF!</f>
        <v>#REF!</v>
      </c>
      <c r="H20" s="374" t="e">
        <f>'ING. REALES'!#REF!</f>
        <v>#REF!</v>
      </c>
      <c r="I20" s="374" t="e">
        <f>'ING. REALES'!#REF!</f>
        <v>#REF!</v>
      </c>
      <c r="J20" s="374" t="e">
        <f>'ING. REALES'!#REF!</f>
        <v>#REF!</v>
      </c>
      <c r="K20" s="374" t="e">
        <f>'ING. REALES'!#REF!</f>
        <v>#REF!</v>
      </c>
      <c r="L20" s="374" t="e">
        <f>'ING. REALES'!#REF!</f>
        <v>#REF!</v>
      </c>
      <c r="M20" s="374" t="e">
        <f>'ING. REALES'!#REF!</f>
        <v>#REF!</v>
      </c>
      <c r="N20" s="374" t="e">
        <f>'ING. REALES'!#REF!</f>
        <v>#REF!</v>
      </c>
      <c r="O20" s="374" t="e">
        <f>'ING. REALES'!#REF!</f>
        <v>#REF!</v>
      </c>
      <c r="P20" s="246" t="e">
        <f t="shared" si="8"/>
        <v>#REF!</v>
      </c>
      <c r="Q20" s="347" t="e">
        <f t="shared" si="2"/>
        <v>#REF!</v>
      </c>
    </row>
    <row r="21" spans="1:17" s="188" customFormat="1" x14ac:dyDescent="0.2">
      <c r="A21" s="95">
        <v>12106</v>
      </c>
      <c r="B21" s="714" t="s">
        <v>528</v>
      </c>
      <c r="C21" s="374">
        <f>'ING. REALES'!J21</f>
        <v>200</v>
      </c>
      <c r="D21" s="374" t="e">
        <f>'ING. REALES'!#REF!</f>
        <v>#REF!</v>
      </c>
      <c r="E21" s="374" t="e">
        <f>'ING. REALES'!#REF!</f>
        <v>#REF!</v>
      </c>
      <c r="F21" s="374" t="e">
        <f>'ING. REALES'!#REF!</f>
        <v>#REF!</v>
      </c>
      <c r="G21" s="374" t="e">
        <f>'ING. REALES'!#REF!</f>
        <v>#REF!</v>
      </c>
      <c r="H21" s="374" t="e">
        <f>'ING. REALES'!#REF!</f>
        <v>#REF!</v>
      </c>
      <c r="I21" s="374" t="e">
        <f>'ING. REALES'!#REF!</f>
        <v>#REF!</v>
      </c>
      <c r="J21" s="374" t="e">
        <f>'ING. REALES'!#REF!</f>
        <v>#REF!</v>
      </c>
      <c r="K21" s="374" t="e">
        <f>'ING. REALES'!#REF!</f>
        <v>#REF!</v>
      </c>
      <c r="L21" s="374" t="e">
        <f>'ING. REALES'!#REF!</f>
        <v>#REF!</v>
      </c>
      <c r="M21" s="374" t="e">
        <f>'ING. REALES'!#REF!</f>
        <v>#REF!</v>
      </c>
      <c r="N21" s="374" t="e">
        <f>'ING. REALES'!#REF!</f>
        <v>#REF!</v>
      </c>
      <c r="O21" s="374" t="e">
        <f>'ING. REALES'!#REF!</f>
        <v>#REF!</v>
      </c>
      <c r="P21" s="246" t="e">
        <f t="shared" si="8"/>
        <v>#REF!</v>
      </c>
      <c r="Q21" s="347" t="e">
        <f t="shared" si="2"/>
        <v>#REF!</v>
      </c>
    </row>
    <row r="22" spans="1:17" s="188" customFormat="1" x14ac:dyDescent="0.2">
      <c r="A22" s="95">
        <v>12108</v>
      </c>
      <c r="B22" s="714" t="s">
        <v>529</v>
      </c>
      <c r="C22" s="374">
        <f>'ING. REALES'!J22</f>
        <v>1804.44</v>
      </c>
      <c r="D22" s="374" t="e">
        <f>'ING. REALES'!#REF!</f>
        <v>#REF!</v>
      </c>
      <c r="E22" s="374" t="e">
        <f>'ING. REALES'!#REF!</f>
        <v>#REF!</v>
      </c>
      <c r="F22" s="374" t="e">
        <f>'ING. REALES'!#REF!</f>
        <v>#REF!</v>
      </c>
      <c r="G22" s="374" t="e">
        <f>'ING. REALES'!#REF!</f>
        <v>#REF!</v>
      </c>
      <c r="H22" s="374" t="e">
        <f>'ING. REALES'!#REF!</f>
        <v>#REF!</v>
      </c>
      <c r="I22" s="374" t="e">
        <f>'ING. REALES'!#REF!</f>
        <v>#REF!</v>
      </c>
      <c r="J22" s="374" t="e">
        <f>'ING. REALES'!#REF!</f>
        <v>#REF!</v>
      </c>
      <c r="K22" s="374" t="e">
        <f>'ING. REALES'!#REF!</f>
        <v>#REF!</v>
      </c>
      <c r="L22" s="374" t="e">
        <f>'ING. REALES'!#REF!</f>
        <v>#REF!</v>
      </c>
      <c r="M22" s="374" t="e">
        <f>'ING. REALES'!#REF!</f>
        <v>#REF!</v>
      </c>
      <c r="N22" s="374" t="e">
        <f>'ING. REALES'!#REF!</f>
        <v>#REF!</v>
      </c>
      <c r="O22" s="374" t="e">
        <f>'ING. REALES'!#REF!</f>
        <v>#REF!</v>
      </c>
      <c r="P22" s="246" t="e">
        <f t="shared" si="8"/>
        <v>#REF!</v>
      </c>
      <c r="Q22" s="347" t="e">
        <f t="shared" si="2"/>
        <v>#REF!</v>
      </c>
    </row>
    <row r="23" spans="1:17" s="188" customFormat="1" x14ac:dyDescent="0.2">
      <c r="A23" s="95">
        <v>12109</v>
      </c>
      <c r="B23" s="714" t="s">
        <v>530</v>
      </c>
      <c r="C23" s="374">
        <f>'ING. REALES'!J23</f>
        <v>6936.48</v>
      </c>
      <c r="D23" s="374" t="e">
        <f>'ING. REALES'!#REF!</f>
        <v>#REF!</v>
      </c>
      <c r="E23" s="374" t="e">
        <f>'ING. REALES'!#REF!</f>
        <v>#REF!</v>
      </c>
      <c r="F23" s="374" t="e">
        <f>'ING. REALES'!#REF!</f>
        <v>#REF!</v>
      </c>
      <c r="G23" s="374" t="e">
        <f>'ING. REALES'!#REF!</f>
        <v>#REF!</v>
      </c>
      <c r="H23" s="374" t="e">
        <f>'ING. REALES'!#REF!</f>
        <v>#REF!</v>
      </c>
      <c r="I23" s="374" t="e">
        <f>'ING. REALES'!#REF!</f>
        <v>#REF!</v>
      </c>
      <c r="J23" s="374" t="e">
        <f>'ING. REALES'!#REF!</f>
        <v>#REF!</v>
      </c>
      <c r="K23" s="374" t="e">
        <f>'ING. REALES'!#REF!</f>
        <v>#REF!</v>
      </c>
      <c r="L23" s="374" t="e">
        <f>'ING. REALES'!#REF!</f>
        <v>#REF!</v>
      </c>
      <c r="M23" s="374" t="e">
        <f>'ING. REALES'!#REF!</f>
        <v>#REF!</v>
      </c>
      <c r="N23" s="374" t="e">
        <f>'ING. REALES'!#REF!</f>
        <v>#REF!</v>
      </c>
      <c r="O23" s="374" t="e">
        <f>'ING. REALES'!#REF!</f>
        <v>#REF!</v>
      </c>
      <c r="P23" s="246" t="e">
        <f t="shared" si="8"/>
        <v>#REF!</v>
      </c>
      <c r="Q23" s="347" t="e">
        <f t="shared" si="2"/>
        <v>#REF!</v>
      </c>
    </row>
    <row r="24" spans="1:17" s="188" customFormat="1" x14ac:dyDescent="0.2">
      <c r="A24" s="95">
        <v>12110</v>
      </c>
      <c r="B24" s="714" t="s">
        <v>531</v>
      </c>
      <c r="C24" s="374">
        <f>'ING. REALES'!J24</f>
        <v>0</v>
      </c>
      <c r="D24" s="374" t="e">
        <f>'ING. REALES'!#REF!</f>
        <v>#REF!</v>
      </c>
      <c r="E24" s="374" t="e">
        <f>'ING. REALES'!#REF!</f>
        <v>#REF!</v>
      </c>
      <c r="F24" s="374" t="e">
        <f>'ING. REALES'!#REF!</f>
        <v>#REF!</v>
      </c>
      <c r="G24" s="374" t="e">
        <f>'ING. REALES'!#REF!</f>
        <v>#REF!</v>
      </c>
      <c r="H24" s="374" t="e">
        <f>'ING. REALES'!#REF!</f>
        <v>#REF!</v>
      </c>
      <c r="I24" s="374" t="e">
        <f>'ING. REALES'!#REF!</f>
        <v>#REF!</v>
      </c>
      <c r="J24" s="374" t="e">
        <f>'ING. REALES'!#REF!</f>
        <v>#REF!</v>
      </c>
      <c r="K24" s="374" t="e">
        <f>'ING. REALES'!#REF!</f>
        <v>#REF!</v>
      </c>
      <c r="L24" s="374" t="e">
        <f>'ING. REALES'!#REF!</f>
        <v>#REF!</v>
      </c>
      <c r="M24" s="374" t="e">
        <f>'ING. REALES'!#REF!</f>
        <v>#REF!</v>
      </c>
      <c r="N24" s="374" t="e">
        <f>'ING. REALES'!#REF!</f>
        <v>#REF!</v>
      </c>
      <c r="O24" s="374" t="e">
        <f>'ING. REALES'!#REF!</f>
        <v>#REF!</v>
      </c>
      <c r="P24" s="246" t="e">
        <f t="shared" si="8"/>
        <v>#REF!</v>
      </c>
      <c r="Q24" s="347" t="e">
        <f t="shared" si="2"/>
        <v>#REF!</v>
      </c>
    </row>
    <row r="25" spans="1:17" s="188" customFormat="1" x14ac:dyDescent="0.2">
      <c r="A25" s="95">
        <v>12111</v>
      </c>
      <c r="B25" s="714" t="s">
        <v>532</v>
      </c>
      <c r="C25" s="374">
        <f>'ING. REALES'!J25</f>
        <v>1000</v>
      </c>
      <c r="D25" s="374" t="e">
        <f>'ING. REALES'!#REF!</f>
        <v>#REF!</v>
      </c>
      <c r="E25" s="374" t="e">
        <f>'ING. REALES'!#REF!</f>
        <v>#REF!</v>
      </c>
      <c r="F25" s="374" t="e">
        <f>'ING. REALES'!#REF!</f>
        <v>#REF!</v>
      </c>
      <c r="G25" s="374" t="e">
        <f>'ING. REALES'!#REF!</f>
        <v>#REF!</v>
      </c>
      <c r="H25" s="374" t="e">
        <f>'ING. REALES'!#REF!</f>
        <v>#REF!</v>
      </c>
      <c r="I25" s="374" t="e">
        <f>'ING. REALES'!#REF!</f>
        <v>#REF!</v>
      </c>
      <c r="J25" s="374" t="e">
        <f>'ING. REALES'!#REF!</f>
        <v>#REF!</v>
      </c>
      <c r="K25" s="374" t="e">
        <f>'ING. REALES'!#REF!</f>
        <v>#REF!</v>
      </c>
      <c r="L25" s="374" t="e">
        <f>'ING. REALES'!#REF!</f>
        <v>#REF!</v>
      </c>
      <c r="M25" s="374" t="e">
        <f>'ING. REALES'!#REF!</f>
        <v>#REF!</v>
      </c>
      <c r="N25" s="374" t="e">
        <f>'ING. REALES'!#REF!</f>
        <v>#REF!</v>
      </c>
      <c r="O25" s="374" t="e">
        <f>'ING. REALES'!#REF!</f>
        <v>#REF!</v>
      </c>
      <c r="P25" s="246" t="e">
        <f t="shared" si="8"/>
        <v>#REF!</v>
      </c>
      <c r="Q25" s="347" t="e">
        <f t="shared" si="2"/>
        <v>#REF!</v>
      </c>
    </row>
    <row r="26" spans="1:17" s="188" customFormat="1" x14ac:dyDescent="0.2">
      <c r="A26" s="95">
        <v>12114</v>
      </c>
      <c r="B26" s="714" t="s">
        <v>533</v>
      </c>
      <c r="C26" s="374">
        <f>'ING. REALES'!J26</f>
        <v>13551.86</v>
      </c>
      <c r="D26" s="374" t="e">
        <f>'ING. REALES'!#REF!</f>
        <v>#REF!</v>
      </c>
      <c r="E26" s="374" t="e">
        <f>'ING. REALES'!#REF!</f>
        <v>#REF!</v>
      </c>
      <c r="F26" s="374" t="e">
        <f>'ING. REALES'!#REF!</f>
        <v>#REF!</v>
      </c>
      <c r="G26" s="374" t="e">
        <f>'ING. REALES'!#REF!</f>
        <v>#REF!</v>
      </c>
      <c r="H26" s="374" t="e">
        <f>'ING. REALES'!#REF!</f>
        <v>#REF!</v>
      </c>
      <c r="I26" s="374" t="e">
        <f>'ING. REALES'!#REF!</f>
        <v>#REF!</v>
      </c>
      <c r="J26" s="374" t="e">
        <f>'ING. REALES'!#REF!</f>
        <v>#REF!</v>
      </c>
      <c r="K26" s="374" t="e">
        <f>'ING. REALES'!#REF!</f>
        <v>#REF!</v>
      </c>
      <c r="L26" s="374" t="e">
        <f>'ING. REALES'!#REF!</f>
        <v>#REF!</v>
      </c>
      <c r="M26" s="374" t="e">
        <f>'ING. REALES'!#REF!</f>
        <v>#REF!</v>
      </c>
      <c r="N26" s="374" t="e">
        <f>'ING. REALES'!#REF!</f>
        <v>#REF!</v>
      </c>
      <c r="O26" s="374" t="e">
        <f>'ING. REALES'!#REF!</f>
        <v>#REF!</v>
      </c>
      <c r="P26" s="246" t="e">
        <f t="shared" si="8"/>
        <v>#REF!</v>
      </c>
      <c r="Q26" s="347" t="e">
        <f t="shared" si="2"/>
        <v>#REF!</v>
      </c>
    </row>
    <row r="27" spans="1:17" s="188" customFormat="1" x14ac:dyDescent="0.2">
      <c r="A27" s="95">
        <v>12115</v>
      </c>
      <c r="B27" s="714" t="s">
        <v>534</v>
      </c>
      <c r="C27" s="374">
        <f>'ING. REALES'!J27</f>
        <v>10</v>
      </c>
      <c r="D27" s="374" t="e">
        <f>'ING. REALES'!#REF!</f>
        <v>#REF!</v>
      </c>
      <c r="E27" s="374" t="e">
        <f>'ING. REALES'!#REF!</f>
        <v>#REF!</v>
      </c>
      <c r="F27" s="374" t="e">
        <f>'ING. REALES'!#REF!</f>
        <v>#REF!</v>
      </c>
      <c r="G27" s="374" t="e">
        <f>'ING. REALES'!#REF!</f>
        <v>#REF!</v>
      </c>
      <c r="H27" s="374" t="e">
        <f>'ING. REALES'!#REF!</f>
        <v>#REF!</v>
      </c>
      <c r="I27" s="374" t="e">
        <f>'ING. REALES'!#REF!</f>
        <v>#REF!</v>
      </c>
      <c r="J27" s="374" t="e">
        <f>'ING. REALES'!#REF!</f>
        <v>#REF!</v>
      </c>
      <c r="K27" s="374" t="e">
        <f>'ING. REALES'!#REF!</f>
        <v>#REF!</v>
      </c>
      <c r="L27" s="374" t="e">
        <f>'ING. REALES'!#REF!</f>
        <v>#REF!</v>
      </c>
      <c r="M27" s="374" t="e">
        <f>'ING. REALES'!#REF!</f>
        <v>#REF!</v>
      </c>
      <c r="N27" s="374" t="e">
        <f>'ING. REALES'!#REF!</f>
        <v>#REF!</v>
      </c>
      <c r="O27" s="374" t="e">
        <f>'ING. REALES'!#REF!</f>
        <v>#REF!</v>
      </c>
      <c r="P27" s="246" t="e">
        <f t="shared" si="8"/>
        <v>#REF!</v>
      </c>
      <c r="Q27" s="347" t="e">
        <f t="shared" si="2"/>
        <v>#REF!</v>
      </c>
    </row>
    <row r="28" spans="1:17" s="188" customFormat="1" x14ac:dyDescent="0.2">
      <c r="A28" s="95">
        <v>12117</v>
      </c>
      <c r="B28" s="714" t="s">
        <v>535</v>
      </c>
      <c r="C28" s="374">
        <f>'ING. REALES'!J28</f>
        <v>357.48</v>
      </c>
      <c r="D28" s="374" t="e">
        <f>'ING. REALES'!#REF!</f>
        <v>#REF!</v>
      </c>
      <c r="E28" s="374" t="e">
        <f>'ING. REALES'!#REF!</f>
        <v>#REF!</v>
      </c>
      <c r="F28" s="374" t="e">
        <f>'ING. REALES'!#REF!</f>
        <v>#REF!</v>
      </c>
      <c r="G28" s="374" t="e">
        <f>'ING. REALES'!#REF!</f>
        <v>#REF!</v>
      </c>
      <c r="H28" s="374" t="e">
        <f>'ING. REALES'!#REF!</f>
        <v>#REF!</v>
      </c>
      <c r="I28" s="374" t="e">
        <f>'ING. REALES'!#REF!</f>
        <v>#REF!</v>
      </c>
      <c r="J28" s="374" t="e">
        <f>'ING. REALES'!#REF!</f>
        <v>#REF!</v>
      </c>
      <c r="K28" s="374" t="e">
        <f>'ING. REALES'!#REF!</f>
        <v>#REF!</v>
      </c>
      <c r="L28" s="374" t="e">
        <f>'ING. REALES'!#REF!</f>
        <v>#REF!</v>
      </c>
      <c r="M28" s="374" t="e">
        <f>'ING. REALES'!#REF!</f>
        <v>#REF!</v>
      </c>
      <c r="N28" s="374" t="e">
        <f>'ING. REALES'!#REF!</f>
        <v>#REF!</v>
      </c>
      <c r="O28" s="374" t="e">
        <f>'ING. REALES'!#REF!</f>
        <v>#REF!</v>
      </c>
      <c r="P28" s="246" t="e">
        <f t="shared" si="8"/>
        <v>#REF!</v>
      </c>
      <c r="Q28" s="347" t="e">
        <f t="shared" si="2"/>
        <v>#REF!</v>
      </c>
    </row>
    <row r="29" spans="1:17" s="188" customFormat="1" x14ac:dyDescent="0.2">
      <c r="A29" s="95">
        <v>12118</v>
      </c>
      <c r="B29" s="714" t="s">
        <v>536</v>
      </c>
      <c r="C29" s="374">
        <f>'ING. REALES'!J29</f>
        <v>75172.08</v>
      </c>
      <c r="D29" s="374" t="e">
        <f>'ING. REALES'!#REF!</f>
        <v>#REF!</v>
      </c>
      <c r="E29" s="374" t="e">
        <f>'ING. REALES'!#REF!</f>
        <v>#REF!</v>
      </c>
      <c r="F29" s="374" t="e">
        <f>'ING. REALES'!#REF!</f>
        <v>#REF!</v>
      </c>
      <c r="G29" s="374" t="e">
        <f>'ING. REALES'!#REF!</f>
        <v>#REF!</v>
      </c>
      <c r="H29" s="374" t="e">
        <f>'ING. REALES'!#REF!</f>
        <v>#REF!</v>
      </c>
      <c r="I29" s="374" t="e">
        <f>'ING. REALES'!#REF!</f>
        <v>#REF!</v>
      </c>
      <c r="J29" s="374" t="e">
        <f>'ING. REALES'!#REF!</f>
        <v>#REF!</v>
      </c>
      <c r="K29" s="374" t="e">
        <f>'ING. REALES'!#REF!</f>
        <v>#REF!</v>
      </c>
      <c r="L29" s="374" t="e">
        <f>'ING. REALES'!#REF!</f>
        <v>#REF!</v>
      </c>
      <c r="M29" s="374" t="e">
        <f>'ING. REALES'!#REF!</f>
        <v>#REF!</v>
      </c>
      <c r="N29" s="374" t="e">
        <f>'ING. REALES'!#REF!</f>
        <v>#REF!</v>
      </c>
      <c r="O29" s="374" t="e">
        <f>'ING. REALES'!#REF!</f>
        <v>#REF!</v>
      </c>
      <c r="P29" s="246" t="e">
        <f t="shared" si="8"/>
        <v>#REF!</v>
      </c>
      <c r="Q29" s="347" t="e">
        <f t="shared" si="2"/>
        <v>#REF!</v>
      </c>
    </row>
    <row r="30" spans="1:17" s="188" customFormat="1" x14ac:dyDescent="0.2">
      <c r="A30" s="95">
        <v>12119</v>
      </c>
      <c r="B30" s="714" t="s">
        <v>537</v>
      </c>
      <c r="C30" s="374">
        <f>'ING. REALES'!J30</f>
        <v>10</v>
      </c>
      <c r="D30" s="374" t="e">
        <f>'ING. REALES'!#REF!</f>
        <v>#REF!</v>
      </c>
      <c r="E30" s="374" t="e">
        <f>'ING. REALES'!#REF!</f>
        <v>#REF!</v>
      </c>
      <c r="F30" s="374" t="e">
        <f>'ING. REALES'!#REF!</f>
        <v>#REF!</v>
      </c>
      <c r="G30" s="374" t="e">
        <f>'ING. REALES'!#REF!</f>
        <v>#REF!</v>
      </c>
      <c r="H30" s="374" t="e">
        <f>'ING. REALES'!#REF!</f>
        <v>#REF!</v>
      </c>
      <c r="I30" s="374" t="e">
        <f>'ING. REALES'!#REF!</f>
        <v>#REF!</v>
      </c>
      <c r="J30" s="374" t="e">
        <f>'ING. REALES'!#REF!</f>
        <v>#REF!</v>
      </c>
      <c r="K30" s="374" t="e">
        <f>'ING. REALES'!#REF!</f>
        <v>#REF!</v>
      </c>
      <c r="L30" s="374" t="e">
        <f>'ING. REALES'!#REF!</f>
        <v>#REF!</v>
      </c>
      <c r="M30" s="374" t="e">
        <f>'ING. REALES'!#REF!</f>
        <v>#REF!</v>
      </c>
      <c r="N30" s="374" t="e">
        <f>'ING. REALES'!#REF!</f>
        <v>#REF!</v>
      </c>
      <c r="O30" s="374" t="e">
        <f>'ING. REALES'!#REF!</f>
        <v>#REF!</v>
      </c>
      <c r="P30" s="246" t="e">
        <f t="shared" si="8"/>
        <v>#REF!</v>
      </c>
      <c r="Q30" s="347" t="e">
        <f t="shared" si="2"/>
        <v>#REF!</v>
      </c>
    </row>
    <row r="31" spans="1:17" s="188" customFormat="1" x14ac:dyDescent="0.2">
      <c r="A31" s="95">
        <v>12199</v>
      </c>
      <c r="B31" s="714" t="s">
        <v>538</v>
      </c>
      <c r="C31" s="374">
        <f>'ING. REALES'!J31</f>
        <v>8496</v>
      </c>
      <c r="D31" s="374" t="e">
        <f>'ING. REALES'!#REF!</f>
        <v>#REF!</v>
      </c>
      <c r="E31" s="374" t="e">
        <f>'ING. REALES'!#REF!</f>
        <v>#REF!</v>
      </c>
      <c r="F31" s="374" t="e">
        <f>'ING. REALES'!#REF!</f>
        <v>#REF!</v>
      </c>
      <c r="G31" s="374" t="e">
        <f>'ING. REALES'!#REF!</f>
        <v>#REF!</v>
      </c>
      <c r="H31" s="374" t="e">
        <f>'ING. REALES'!#REF!</f>
        <v>#REF!</v>
      </c>
      <c r="I31" s="374" t="e">
        <f>'ING. REALES'!#REF!</f>
        <v>#REF!</v>
      </c>
      <c r="J31" s="374" t="e">
        <f>'ING. REALES'!#REF!</f>
        <v>#REF!</v>
      </c>
      <c r="K31" s="374" t="e">
        <f>'ING. REALES'!#REF!</f>
        <v>#REF!</v>
      </c>
      <c r="L31" s="374" t="e">
        <f>'ING. REALES'!#REF!</f>
        <v>#REF!</v>
      </c>
      <c r="M31" s="374" t="e">
        <f>'ING. REALES'!#REF!</f>
        <v>#REF!</v>
      </c>
      <c r="N31" s="374" t="e">
        <f>'ING. REALES'!#REF!</f>
        <v>#REF!</v>
      </c>
      <c r="O31" s="374" t="e">
        <f>'ING. REALES'!#REF!</f>
        <v>#REF!</v>
      </c>
      <c r="P31" s="245" t="e">
        <f t="shared" ref="P31" si="9">SUM(P32:P33)</f>
        <v>#REF!</v>
      </c>
      <c r="Q31" s="347" t="e">
        <f t="shared" si="2"/>
        <v>#REF!</v>
      </c>
    </row>
    <row r="32" spans="1:17" s="188" customFormat="1" x14ac:dyDescent="0.2">
      <c r="A32" s="110">
        <v>122</v>
      </c>
      <c r="B32" s="713" t="s">
        <v>340</v>
      </c>
      <c r="C32" s="373">
        <f>SUM(C33:C34)</f>
        <v>102</v>
      </c>
      <c r="D32" s="373" t="e">
        <f>SUM(D33:D34)</f>
        <v>#REF!</v>
      </c>
      <c r="E32" s="373" t="e">
        <f t="shared" ref="E32:O32" si="10">SUM(E33:E34)</f>
        <v>#REF!</v>
      </c>
      <c r="F32" s="373" t="e">
        <f t="shared" si="10"/>
        <v>#REF!</v>
      </c>
      <c r="G32" s="373" t="e">
        <f t="shared" si="10"/>
        <v>#REF!</v>
      </c>
      <c r="H32" s="373" t="e">
        <f t="shared" si="10"/>
        <v>#REF!</v>
      </c>
      <c r="I32" s="373" t="e">
        <f t="shared" si="10"/>
        <v>#REF!</v>
      </c>
      <c r="J32" s="373" t="e">
        <f t="shared" si="10"/>
        <v>#REF!</v>
      </c>
      <c r="K32" s="373" t="e">
        <f t="shared" si="10"/>
        <v>#REF!</v>
      </c>
      <c r="L32" s="373" t="e">
        <f t="shared" si="10"/>
        <v>#REF!</v>
      </c>
      <c r="M32" s="373" t="e">
        <f t="shared" si="10"/>
        <v>#REF!</v>
      </c>
      <c r="N32" s="373" t="e">
        <f t="shared" si="10"/>
        <v>#REF!</v>
      </c>
      <c r="O32" s="373" t="e">
        <f t="shared" si="10"/>
        <v>#REF!</v>
      </c>
      <c r="P32" s="246" t="e">
        <f t="shared" si="8"/>
        <v>#REF!</v>
      </c>
      <c r="Q32" s="347" t="e">
        <f t="shared" si="2"/>
        <v>#REF!</v>
      </c>
    </row>
    <row r="33" spans="1:17" s="188" customFormat="1" x14ac:dyDescent="0.2">
      <c r="A33" s="95">
        <v>12210</v>
      </c>
      <c r="B33" s="714" t="s">
        <v>539</v>
      </c>
      <c r="C33" s="374">
        <f>'ING. REALES'!J33</f>
        <v>100</v>
      </c>
      <c r="D33" s="374" t="e">
        <f>'ING. REALES'!#REF!</f>
        <v>#REF!</v>
      </c>
      <c r="E33" s="374" t="e">
        <f>'ING. REALES'!#REF!</f>
        <v>#REF!</v>
      </c>
      <c r="F33" s="374" t="e">
        <f>'ING. REALES'!#REF!</f>
        <v>#REF!</v>
      </c>
      <c r="G33" s="374" t="e">
        <f>'ING. REALES'!#REF!</f>
        <v>#REF!</v>
      </c>
      <c r="H33" s="374" t="e">
        <f>'ING. REALES'!#REF!</f>
        <v>#REF!</v>
      </c>
      <c r="I33" s="374" t="e">
        <f>'ING. REALES'!#REF!</f>
        <v>#REF!</v>
      </c>
      <c r="J33" s="374" t="e">
        <f>'ING. REALES'!#REF!</f>
        <v>#REF!</v>
      </c>
      <c r="K33" s="374" t="e">
        <f>'ING. REALES'!#REF!</f>
        <v>#REF!</v>
      </c>
      <c r="L33" s="374" t="e">
        <f>'ING. REALES'!#REF!</f>
        <v>#REF!</v>
      </c>
      <c r="M33" s="374" t="e">
        <f>'ING. REALES'!#REF!</f>
        <v>#REF!</v>
      </c>
      <c r="N33" s="374" t="e">
        <f>'ING. REALES'!#REF!</f>
        <v>#REF!</v>
      </c>
      <c r="O33" s="374" t="e">
        <f>'ING. REALES'!#REF!</f>
        <v>#REF!</v>
      </c>
      <c r="P33" s="246" t="e">
        <f t="shared" si="8"/>
        <v>#REF!</v>
      </c>
      <c r="Q33" s="347" t="e">
        <f t="shared" si="2"/>
        <v>#REF!</v>
      </c>
    </row>
    <row r="34" spans="1:17" s="188" customFormat="1" x14ac:dyDescent="0.2">
      <c r="A34" s="95">
        <v>12211</v>
      </c>
      <c r="B34" s="714" t="s">
        <v>540</v>
      </c>
      <c r="C34" s="374">
        <f>'ING. REALES'!J34</f>
        <v>2</v>
      </c>
      <c r="D34" s="374" t="e">
        <f>'ING. REALES'!#REF!</f>
        <v>#REF!</v>
      </c>
      <c r="E34" s="374" t="e">
        <f>'ING. REALES'!#REF!</f>
        <v>#REF!</v>
      </c>
      <c r="F34" s="374" t="e">
        <f>'ING. REALES'!#REF!</f>
        <v>#REF!</v>
      </c>
      <c r="G34" s="374" t="e">
        <f>'ING. REALES'!#REF!</f>
        <v>#REF!</v>
      </c>
      <c r="H34" s="374" t="e">
        <f>'ING. REALES'!#REF!</f>
        <v>#REF!</v>
      </c>
      <c r="I34" s="374" t="e">
        <f>'ING. REALES'!#REF!</f>
        <v>#REF!</v>
      </c>
      <c r="J34" s="374" t="e">
        <f>'ING. REALES'!#REF!</f>
        <v>#REF!</v>
      </c>
      <c r="K34" s="374" t="e">
        <f>'ING. REALES'!#REF!</f>
        <v>#REF!</v>
      </c>
      <c r="L34" s="374" t="e">
        <f>'ING. REALES'!#REF!</f>
        <v>#REF!</v>
      </c>
      <c r="M34" s="374" t="e">
        <f>'ING. REALES'!#REF!</f>
        <v>#REF!</v>
      </c>
      <c r="N34" s="374" t="e">
        <f>'ING. REALES'!#REF!</f>
        <v>#REF!</v>
      </c>
      <c r="O34" s="374" t="e">
        <f>'ING. REALES'!#REF!</f>
        <v>#REF!</v>
      </c>
      <c r="P34" s="245" t="e">
        <f t="shared" ref="P34" si="11">+P35</f>
        <v>#REF!</v>
      </c>
      <c r="Q34" s="347" t="e">
        <f t="shared" si="2"/>
        <v>#REF!</v>
      </c>
    </row>
    <row r="35" spans="1:17" s="188" customFormat="1" x14ac:dyDescent="0.2">
      <c r="A35" s="110">
        <v>14</v>
      </c>
      <c r="B35" s="713" t="s">
        <v>8</v>
      </c>
      <c r="C35" s="373">
        <f>C36</f>
        <v>153789.44</v>
      </c>
      <c r="D35" s="373" t="e">
        <f>D36</f>
        <v>#REF!</v>
      </c>
      <c r="E35" s="373" t="e">
        <f t="shared" ref="E35:O35" si="12">E36</f>
        <v>#REF!</v>
      </c>
      <c r="F35" s="373" t="e">
        <f t="shared" si="12"/>
        <v>#REF!</v>
      </c>
      <c r="G35" s="373" t="e">
        <f t="shared" si="12"/>
        <v>#REF!</v>
      </c>
      <c r="H35" s="373" t="e">
        <f t="shared" si="12"/>
        <v>#REF!</v>
      </c>
      <c r="I35" s="373" t="e">
        <f t="shared" si="12"/>
        <v>#REF!</v>
      </c>
      <c r="J35" s="373" t="e">
        <f t="shared" si="12"/>
        <v>#REF!</v>
      </c>
      <c r="K35" s="373" t="e">
        <f t="shared" si="12"/>
        <v>#REF!</v>
      </c>
      <c r="L35" s="373" t="e">
        <f t="shared" si="12"/>
        <v>#REF!</v>
      </c>
      <c r="M35" s="373" t="e">
        <f t="shared" si="12"/>
        <v>#REF!</v>
      </c>
      <c r="N35" s="373" t="e">
        <f t="shared" si="12"/>
        <v>#REF!</v>
      </c>
      <c r="O35" s="373" t="e">
        <f t="shared" si="12"/>
        <v>#REF!</v>
      </c>
      <c r="P35" s="245" t="e">
        <f t="shared" ref="P35" si="13">SUM(P36:P37)</f>
        <v>#REF!</v>
      </c>
      <c r="Q35" s="347" t="e">
        <f t="shared" si="2"/>
        <v>#REF!</v>
      </c>
    </row>
    <row r="36" spans="1:17" s="188" customFormat="1" x14ac:dyDescent="0.2">
      <c r="A36" s="110">
        <v>142</v>
      </c>
      <c r="B36" s="713" t="s">
        <v>456</v>
      </c>
      <c r="C36" s="373">
        <f>SUM(C37:C38)</f>
        <v>153789.44</v>
      </c>
      <c r="D36" s="373" t="e">
        <f>SUM(D37:D38)</f>
        <v>#REF!</v>
      </c>
      <c r="E36" s="373" t="e">
        <f t="shared" ref="E36:O36" si="14">SUM(E37:E38)</f>
        <v>#REF!</v>
      </c>
      <c r="F36" s="373" t="e">
        <f t="shared" si="14"/>
        <v>#REF!</v>
      </c>
      <c r="G36" s="373" t="e">
        <f t="shared" si="14"/>
        <v>#REF!</v>
      </c>
      <c r="H36" s="373" t="e">
        <f t="shared" si="14"/>
        <v>#REF!</v>
      </c>
      <c r="I36" s="373" t="e">
        <f t="shared" si="14"/>
        <v>#REF!</v>
      </c>
      <c r="J36" s="373" t="e">
        <f t="shared" si="14"/>
        <v>#REF!</v>
      </c>
      <c r="K36" s="373" t="e">
        <f t="shared" si="14"/>
        <v>#REF!</v>
      </c>
      <c r="L36" s="373" t="e">
        <f t="shared" si="14"/>
        <v>#REF!</v>
      </c>
      <c r="M36" s="373" t="e">
        <f t="shared" si="14"/>
        <v>#REF!</v>
      </c>
      <c r="N36" s="373" t="e">
        <f t="shared" si="14"/>
        <v>#REF!</v>
      </c>
      <c r="O36" s="373" t="e">
        <f t="shared" si="14"/>
        <v>#REF!</v>
      </c>
      <c r="P36" s="246" t="e">
        <f t="shared" ref="P36:P37" si="15">SUM(D36:O36)</f>
        <v>#REF!</v>
      </c>
      <c r="Q36" s="347" t="e">
        <f t="shared" si="2"/>
        <v>#REF!</v>
      </c>
    </row>
    <row r="37" spans="1:17" s="188" customFormat="1" x14ac:dyDescent="0.2">
      <c r="A37" s="95">
        <v>14201</v>
      </c>
      <c r="B37" s="714" t="s">
        <v>541</v>
      </c>
      <c r="C37" s="374">
        <f>'ING. REALES'!J37</f>
        <v>148789.44</v>
      </c>
      <c r="D37" s="374" t="e">
        <f>'ING. REALES'!#REF!</f>
        <v>#REF!</v>
      </c>
      <c r="E37" s="374" t="e">
        <f>'ING. REALES'!#REF!</f>
        <v>#REF!</v>
      </c>
      <c r="F37" s="374" t="e">
        <f>'ING. REALES'!#REF!</f>
        <v>#REF!</v>
      </c>
      <c r="G37" s="374" t="e">
        <f>'ING. REALES'!#REF!</f>
        <v>#REF!</v>
      </c>
      <c r="H37" s="374" t="e">
        <f>'ING. REALES'!#REF!</f>
        <v>#REF!</v>
      </c>
      <c r="I37" s="374" t="e">
        <f>'ING. REALES'!#REF!</f>
        <v>#REF!</v>
      </c>
      <c r="J37" s="374" t="e">
        <f>'ING. REALES'!#REF!</f>
        <v>#REF!</v>
      </c>
      <c r="K37" s="374" t="e">
        <f>'ING. REALES'!#REF!</f>
        <v>#REF!</v>
      </c>
      <c r="L37" s="374" t="e">
        <f>'ING. REALES'!#REF!</f>
        <v>#REF!</v>
      </c>
      <c r="M37" s="374" t="e">
        <f>'ING. REALES'!#REF!</f>
        <v>#REF!</v>
      </c>
      <c r="N37" s="374" t="e">
        <f>'ING. REALES'!#REF!</f>
        <v>#REF!</v>
      </c>
      <c r="O37" s="374" t="e">
        <f>'ING. REALES'!#REF!</f>
        <v>#REF!</v>
      </c>
      <c r="P37" s="246" t="e">
        <f t="shared" si="15"/>
        <v>#REF!</v>
      </c>
      <c r="Q37" s="347" t="e">
        <f t="shared" si="2"/>
        <v>#REF!</v>
      </c>
    </row>
    <row r="38" spans="1:17" s="188" customFormat="1" x14ac:dyDescent="0.2">
      <c r="A38" s="95">
        <v>14299</v>
      </c>
      <c r="B38" s="714" t="s">
        <v>542</v>
      </c>
      <c r="C38" s="374">
        <f>'ING. REALES'!J38</f>
        <v>5000</v>
      </c>
      <c r="D38" s="374" t="e">
        <f>'ING. REALES'!#REF!</f>
        <v>#REF!</v>
      </c>
      <c r="E38" s="374" t="e">
        <f>'ING. REALES'!#REF!</f>
        <v>#REF!</v>
      </c>
      <c r="F38" s="374" t="e">
        <f>'ING. REALES'!#REF!</f>
        <v>#REF!</v>
      </c>
      <c r="G38" s="374" t="e">
        <f>'ING. REALES'!#REF!</f>
        <v>#REF!</v>
      </c>
      <c r="H38" s="374" t="e">
        <f>'ING. REALES'!#REF!</f>
        <v>#REF!</v>
      </c>
      <c r="I38" s="374" t="e">
        <f>'ING. REALES'!#REF!</f>
        <v>#REF!</v>
      </c>
      <c r="J38" s="374" t="e">
        <f>'ING. REALES'!#REF!</f>
        <v>#REF!</v>
      </c>
      <c r="K38" s="374" t="e">
        <f>'ING. REALES'!#REF!</f>
        <v>#REF!</v>
      </c>
      <c r="L38" s="374" t="e">
        <f>'ING. REALES'!#REF!</f>
        <v>#REF!</v>
      </c>
      <c r="M38" s="374" t="e">
        <f>'ING. REALES'!#REF!</f>
        <v>#REF!</v>
      </c>
      <c r="N38" s="374" t="e">
        <f>'ING. REALES'!#REF!</f>
        <v>#REF!</v>
      </c>
      <c r="O38" s="374" t="e">
        <f>'ING. REALES'!#REF!</f>
        <v>#REF!</v>
      </c>
      <c r="P38" s="245" t="e">
        <f t="shared" ref="P38" si="16">P41+P47+P49</f>
        <v>#REF!</v>
      </c>
      <c r="Q38" s="347" t="e">
        <f t="shared" si="2"/>
        <v>#REF!</v>
      </c>
    </row>
    <row r="39" spans="1:17" s="188" customFormat="1" x14ac:dyDescent="0.2">
      <c r="A39" s="110">
        <v>15</v>
      </c>
      <c r="B39" s="713" t="s">
        <v>9</v>
      </c>
      <c r="C39" s="373">
        <f>C40+C42+C50</f>
        <v>6508.57</v>
      </c>
      <c r="D39" s="373" t="e">
        <f>D40+D42+D50</f>
        <v>#REF!</v>
      </c>
      <c r="E39" s="373" t="e">
        <f t="shared" ref="E39:O39" si="17">E40+E42+E50</f>
        <v>#REF!</v>
      </c>
      <c r="F39" s="373" t="e">
        <f t="shared" si="17"/>
        <v>#REF!</v>
      </c>
      <c r="G39" s="373" t="e">
        <f t="shared" si="17"/>
        <v>#REF!</v>
      </c>
      <c r="H39" s="373" t="e">
        <f t="shared" si="17"/>
        <v>#REF!</v>
      </c>
      <c r="I39" s="373" t="e">
        <f t="shared" si="17"/>
        <v>#REF!</v>
      </c>
      <c r="J39" s="373" t="e">
        <f t="shared" si="17"/>
        <v>#REF!</v>
      </c>
      <c r="K39" s="373" t="e">
        <f t="shared" si="17"/>
        <v>#REF!</v>
      </c>
      <c r="L39" s="373" t="e">
        <f t="shared" si="17"/>
        <v>#REF!</v>
      </c>
      <c r="M39" s="373" t="e">
        <f t="shared" si="17"/>
        <v>#REF!</v>
      </c>
      <c r="N39" s="373" t="e">
        <f t="shared" si="17"/>
        <v>#REF!</v>
      </c>
      <c r="O39" s="373" t="e">
        <f t="shared" si="17"/>
        <v>#REF!</v>
      </c>
      <c r="P39" s="245">
        <f t="shared" ref="P39" si="18">SUM(P40)</f>
        <v>0</v>
      </c>
      <c r="Q39" s="347">
        <f t="shared" si="2"/>
        <v>6508.57</v>
      </c>
    </row>
    <row r="40" spans="1:17" s="188" customFormat="1" x14ac:dyDescent="0.2">
      <c r="A40" s="110">
        <v>151</v>
      </c>
      <c r="B40" s="713" t="s">
        <v>10</v>
      </c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246"/>
      <c r="Q40" s="347">
        <f t="shared" si="2"/>
        <v>0</v>
      </c>
    </row>
    <row r="41" spans="1:17" s="188" customFormat="1" x14ac:dyDescent="0.2">
      <c r="A41" s="95">
        <v>15105</v>
      </c>
      <c r="B41" s="714" t="s">
        <v>543</v>
      </c>
      <c r="C41" s="707">
        <v>0</v>
      </c>
      <c r="D41" s="707">
        <v>0</v>
      </c>
      <c r="E41" s="707">
        <v>0</v>
      </c>
      <c r="F41" s="707">
        <v>0</v>
      </c>
      <c r="G41" s="707">
        <v>0</v>
      </c>
      <c r="H41" s="707">
        <v>0</v>
      </c>
      <c r="I41" s="707">
        <v>0</v>
      </c>
      <c r="J41" s="707">
        <v>0</v>
      </c>
      <c r="K41" s="707">
        <v>0</v>
      </c>
      <c r="L41" s="707">
        <v>0</v>
      </c>
      <c r="M41" s="707">
        <v>0</v>
      </c>
      <c r="N41" s="707">
        <v>0</v>
      </c>
      <c r="O41" s="707">
        <v>0</v>
      </c>
      <c r="P41" s="245" t="e">
        <f>SUM(P42:P45)</f>
        <v>#REF!</v>
      </c>
      <c r="Q41" s="347" t="e">
        <f t="shared" si="2"/>
        <v>#REF!</v>
      </c>
    </row>
    <row r="42" spans="1:17" s="188" customFormat="1" x14ac:dyDescent="0.2">
      <c r="A42" s="110">
        <v>153</v>
      </c>
      <c r="B42" s="713" t="s">
        <v>10</v>
      </c>
      <c r="C42" s="373">
        <f>SUM(C43:C49)</f>
        <v>6508.57</v>
      </c>
      <c r="D42" s="373" t="e">
        <f>SUM(D43:D49)</f>
        <v>#REF!</v>
      </c>
      <c r="E42" s="373" t="e">
        <f t="shared" ref="E42:O42" si="19">SUM(E43:E49)</f>
        <v>#REF!</v>
      </c>
      <c r="F42" s="373" t="e">
        <f t="shared" si="19"/>
        <v>#REF!</v>
      </c>
      <c r="G42" s="373" t="e">
        <f t="shared" si="19"/>
        <v>#REF!</v>
      </c>
      <c r="H42" s="373" t="e">
        <f t="shared" si="19"/>
        <v>#REF!</v>
      </c>
      <c r="I42" s="373" t="e">
        <f t="shared" si="19"/>
        <v>#REF!</v>
      </c>
      <c r="J42" s="373" t="e">
        <f t="shared" si="19"/>
        <v>#REF!</v>
      </c>
      <c r="K42" s="373" t="e">
        <f t="shared" si="19"/>
        <v>#REF!</v>
      </c>
      <c r="L42" s="373" t="e">
        <f t="shared" si="19"/>
        <v>#REF!</v>
      </c>
      <c r="M42" s="373" t="e">
        <f t="shared" si="19"/>
        <v>#REF!</v>
      </c>
      <c r="N42" s="373" t="e">
        <f t="shared" si="19"/>
        <v>#REF!</v>
      </c>
      <c r="O42" s="373" t="e">
        <f t="shared" si="19"/>
        <v>#REF!</v>
      </c>
      <c r="P42" s="246" t="e">
        <f t="shared" ref="P42:P45" si="20">SUM(D42:O42)</f>
        <v>#REF!</v>
      </c>
      <c r="Q42" s="347" t="e">
        <f t="shared" si="2"/>
        <v>#REF!</v>
      </c>
    </row>
    <row r="43" spans="1:17" s="188" customFormat="1" x14ac:dyDescent="0.2">
      <c r="A43" s="95">
        <v>15301</v>
      </c>
      <c r="B43" s="714" t="s">
        <v>544</v>
      </c>
      <c r="C43" s="374">
        <f>'ING. REALES'!J43</f>
        <v>5000</v>
      </c>
      <c r="D43" s="374" t="e">
        <f>'ING. REALES'!#REF!</f>
        <v>#REF!</v>
      </c>
      <c r="E43" s="374" t="e">
        <f>'ING. REALES'!#REF!</f>
        <v>#REF!</v>
      </c>
      <c r="F43" s="374" t="e">
        <f>'ING. REALES'!#REF!</f>
        <v>#REF!</v>
      </c>
      <c r="G43" s="374" t="e">
        <f>'ING. REALES'!#REF!</f>
        <v>#REF!</v>
      </c>
      <c r="H43" s="374" t="e">
        <f>'ING. REALES'!#REF!</f>
        <v>#REF!</v>
      </c>
      <c r="I43" s="374" t="e">
        <f>'ING. REALES'!#REF!</f>
        <v>#REF!</v>
      </c>
      <c r="J43" s="374" t="e">
        <f>'ING. REALES'!#REF!</f>
        <v>#REF!</v>
      </c>
      <c r="K43" s="374" t="e">
        <f>'ING. REALES'!#REF!</f>
        <v>#REF!</v>
      </c>
      <c r="L43" s="374" t="e">
        <f>'ING. REALES'!#REF!</f>
        <v>#REF!</v>
      </c>
      <c r="M43" s="374" t="e">
        <f>'ING. REALES'!#REF!</f>
        <v>#REF!</v>
      </c>
      <c r="N43" s="374" t="e">
        <f>'ING. REALES'!#REF!</f>
        <v>#REF!</v>
      </c>
      <c r="O43" s="374" t="e">
        <f>'ING. REALES'!#REF!</f>
        <v>#REF!</v>
      </c>
      <c r="P43" s="246" t="e">
        <f t="shared" si="20"/>
        <v>#REF!</v>
      </c>
      <c r="Q43" s="347" t="e">
        <f t="shared" si="2"/>
        <v>#REF!</v>
      </c>
    </row>
    <row r="44" spans="1:17" s="188" customFormat="1" x14ac:dyDescent="0.2">
      <c r="A44" s="95">
        <v>15302</v>
      </c>
      <c r="B44" s="714" t="s">
        <v>545</v>
      </c>
      <c r="C44" s="374">
        <f>'ING. REALES'!J44</f>
        <v>1500</v>
      </c>
      <c r="D44" s="374" t="e">
        <f>'ING. REALES'!#REF!</f>
        <v>#REF!</v>
      </c>
      <c r="E44" s="374" t="e">
        <f>'ING. REALES'!#REF!</f>
        <v>#REF!</v>
      </c>
      <c r="F44" s="374" t="e">
        <f>'ING. REALES'!#REF!</f>
        <v>#REF!</v>
      </c>
      <c r="G44" s="374" t="e">
        <f>'ING. REALES'!#REF!</f>
        <v>#REF!</v>
      </c>
      <c r="H44" s="374" t="e">
        <f>'ING. REALES'!#REF!</f>
        <v>#REF!</v>
      </c>
      <c r="I44" s="374" t="e">
        <f>'ING. REALES'!#REF!</f>
        <v>#REF!</v>
      </c>
      <c r="J44" s="374" t="e">
        <f>'ING. REALES'!#REF!</f>
        <v>#REF!</v>
      </c>
      <c r="K44" s="374" t="e">
        <f>'ING. REALES'!#REF!</f>
        <v>#REF!</v>
      </c>
      <c r="L44" s="374" t="e">
        <f>'ING. REALES'!#REF!</f>
        <v>#REF!</v>
      </c>
      <c r="M44" s="374" t="e">
        <f>'ING. REALES'!#REF!</f>
        <v>#REF!</v>
      </c>
      <c r="N44" s="374" t="e">
        <f>'ING. REALES'!#REF!</f>
        <v>#REF!</v>
      </c>
      <c r="O44" s="374" t="e">
        <f>'ING. REALES'!#REF!</f>
        <v>#REF!</v>
      </c>
      <c r="P44" s="246" t="e">
        <f t="shared" si="20"/>
        <v>#REF!</v>
      </c>
      <c r="Q44" s="347" t="e">
        <f t="shared" si="2"/>
        <v>#REF!</v>
      </c>
    </row>
    <row r="45" spans="1:17" s="188" customFormat="1" x14ac:dyDescent="0.2">
      <c r="A45" s="95">
        <v>15310</v>
      </c>
      <c r="B45" s="714" t="s">
        <v>546</v>
      </c>
      <c r="C45" s="374">
        <f>'ING. REALES'!J45</f>
        <v>0</v>
      </c>
      <c r="D45" s="374" t="e">
        <f>'ING. REALES'!#REF!</f>
        <v>#REF!</v>
      </c>
      <c r="E45" s="374" t="e">
        <f>'ING. REALES'!#REF!</f>
        <v>#REF!</v>
      </c>
      <c r="F45" s="374" t="e">
        <f>'ING. REALES'!#REF!</f>
        <v>#REF!</v>
      </c>
      <c r="G45" s="374" t="e">
        <f>'ING. REALES'!#REF!</f>
        <v>#REF!</v>
      </c>
      <c r="H45" s="374" t="e">
        <f>'ING. REALES'!#REF!</f>
        <v>#REF!</v>
      </c>
      <c r="I45" s="374" t="e">
        <f>'ING. REALES'!#REF!</f>
        <v>#REF!</v>
      </c>
      <c r="J45" s="374" t="e">
        <f>'ING. REALES'!#REF!</f>
        <v>#REF!</v>
      </c>
      <c r="K45" s="374" t="e">
        <f>'ING. REALES'!#REF!</f>
        <v>#REF!</v>
      </c>
      <c r="L45" s="374" t="e">
        <f>'ING. REALES'!#REF!</f>
        <v>#REF!</v>
      </c>
      <c r="M45" s="374" t="e">
        <f>'ING. REALES'!#REF!</f>
        <v>#REF!</v>
      </c>
      <c r="N45" s="374" t="e">
        <f>'ING. REALES'!#REF!</f>
        <v>#REF!</v>
      </c>
      <c r="O45" s="374" t="e">
        <f>'ING. REALES'!#REF!</f>
        <v>#REF!</v>
      </c>
      <c r="P45" s="246" t="e">
        <f t="shared" si="20"/>
        <v>#REF!</v>
      </c>
      <c r="Q45" s="347" t="e">
        <f t="shared" si="2"/>
        <v>#REF!</v>
      </c>
    </row>
    <row r="46" spans="1:17" s="188" customFormat="1" ht="13.5" customHeight="1" x14ac:dyDescent="0.2">
      <c r="A46" s="95">
        <v>15312</v>
      </c>
      <c r="B46" s="714" t="s">
        <v>547</v>
      </c>
      <c r="C46" s="374">
        <f>'ING. REALES'!J46</f>
        <v>8.57</v>
      </c>
      <c r="D46" s="374" t="e">
        <f>'ING. REALES'!#REF!</f>
        <v>#REF!</v>
      </c>
      <c r="E46" s="374" t="e">
        <f>'ING. REALES'!#REF!</f>
        <v>#REF!</v>
      </c>
      <c r="F46" s="374" t="e">
        <f>'ING. REALES'!#REF!</f>
        <v>#REF!</v>
      </c>
      <c r="G46" s="374" t="e">
        <f>'ING. REALES'!#REF!</f>
        <v>#REF!</v>
      </c>
      <c r="H46" s="374" t="e">
        <f>'ING. REALES'!#REF!</f>
        <v>#REF!</v>
      </c>
      <c r="I46" s="374" t="e">
        <f>'ING. REALES'!#REF!</f>
        <v>#REF!</v>
      </c>
      <c r="J46" s="374" t="e">
        <f>'ING. REALES'!#REF!</f>
        <v>#REF!</v>
      </c>
      <c r="K46" s="374" t="e">
        <f>'ING. REALES'!#REF!</f>
        <v>#REF!</v>
      </c>
      <c r="L46" s="374" t="e">
        <f>'ING. REALES'!#REF!</f>
        <v>#REF!</v>
      </c>
      <c r="M46" s="374" t="e">
        <f>'ING. REALES'!#REF!</f>
        <v>#REF!</v>
      </c>
      <c r="N46" s="374" t="e">
        <f>'ING. REALES'!#REF!</f>
        <v>#REF!</v>
      </c>
      <c r="O46" s="374" t="e">
        <f>'ING. REALES'!#REF!</f>
        <v>#REF!</v>
      </c>
      <c r="P46" s="246"/>
      <c r="Q46" s="347">
        <f t="shared" si="2"/>
        <v>8.57</v>
      </c>
    </row>
    <row r="47" spans="1:17" s="188" customFormat="1" hidden="1" x14ac:dyDescent="0.2">
      <c r="A47" s="95">
        <v>15314</v>
      </c>
      <c r="B47" s="714" t="s">
        <v>548</v>
      </c>
      <c r="C47" s="374">
        <f>'ING. REALES'!J47</f>
        <v>0</v>
      </c>
      <c r="D47" s="374" t="e">
        <f>'ING. REALES'!#REF!</f>
        <v>#REF!</v>
      </c>
      <c r="E47" s="374" t="e">
        <f>'ING. REALES'!#REF!</f>
        <v>#REF!</v>
      </c>
      <c r="F47" s="374" t="e">
        <f>'ING. REALES'!#REF!</f>
        <v>#REF!</v>
      </c>
      <c r="G47" s="374" t="e">
        <f>'ING. REALES'!#REF!</f>
        <v>#REF!</v>
      </c>
      <c r="H47" s="374" t="e">
        <f>'ING. REALES'!#REF!</f>
        <v>#REF!</v>
      </c>
      <c r="I47" s="374" t="e">
        <f>'ING. REALES'!#REF!</f>
        <v>#REF!</v>
      </c>
      <c r="J47" s="374" t="e">
        <f>'ING. REALES'!#REF!</f>
        <v>#REF!</v>
      </c>
      <c r="K47" s="374" t="e">
        <f>'ING. REALES'!#REF!</f>
        <v>#REF!</v>
      </c>
      <c r="L47" s="374" t="e">
        <f>'ING. REALES'!#REF!</f>
        <v>#REF!</v>
      </c>
      <c r="M47" s="374" t="e">
        <f>'ING. REALES'!#REF!</f>
        <v>#REF!</v>
      </c>
      <c r="N47" s="374" t="e">
        <f>'ING. REALES'!#REF!</f>
        <v>#REF!</v>
      </c>
      <c r="O47" s="374" t="e">
        <f>'ING. REALES'!#REF!</f>
        <v>#REF!</v>
      </c>
      <c r="P47" s="245"/>
      <c r="Q47" s="347">
        <f t="shared" si="2"/>
        <v>0</v>
      </c>
    </row>
    <row r="48" spans="1:17" s="188" customFormat="1" hidden="1" x14ac:dyDescent="0.2">
      <c r="A48" s="110">
        <v>154</v>
      </c>
      <c r="B48" s="713" t="s">
        <v>438</v>
      </c>
      <c r="C48" s="374">
        <f>'ING. REALES'!J48</f>
        <v>0</v>
      </c>
      <c r="D48" s="374" t="e">
        <f>'ING. REALES'!#REF!</f>
        <v>#REF!</v>
      </c>
      <c r="E48" s="374" t="e">
        <f>'ING. REALES'!#REF!</f>
        <v>#REF!</v>
      </c>
      <c r="F48" s="374" t="e">
        <f>'ING. REALES'!#REF!</f>
        <v>#REF!</v>
      </c>
      <c r="G48" s="374" t="e">
        <f>'ING. REALES'!#REF!</f>
        <v>#REF!</v>
      </c>
      <c r="H48" s="374" t="e">
        <f>'ING. REALES'!#REF!</f>
        <v>#REF!</v>
      </c>
      <c r="I48" s="374" t="e">
        <f>'ING. REALES'!#REF!</f>
        <v>#REF!</v>
      </c>
      <c r="J48" s="374" t="e">
        <f>'ING. REALES'!#REF!</f>
        <v>#REF!</v>
      </c>
      <c r="K48" s="374" t="e">
        <f>'ING. REALES'!#REF!</f>
        <v>#REF!</v>
      </c>
      <c r="L48" s="374" t="e">
        <f>'ING. REALES'!#REF!</f>
        <v>#REF!</v>
      </c>
      <c r="M48" s="374" t="e">
        <f>'ING. REALES'!#REF!</f>
        <v>#REF!</v>
      </c>
      <c r="N48" s="374" t="e">
        <f>'ING. REALES'!#REF!</f>
        <v>#REF!</v>
      </c>
      <c r="O48" s="374" t="e">
        <f>'ING. REALES'!#REF!</f>
        <v>#REF!</v>
      </c>
      <c r="P48" s="348">
        <v>0</v>
      </c>
      <c r="Q48" s="347">
        <f t="shared" si="2"/>
        <v>0</v>
      </c>
    </row>
    <row r="49" spans="1:17" s="188" customFormat="1" x14ac:dyDescent="0.2">
      <c r="A49" s="95">
        <v>15402</v>
      </c>
      <c r="B49" s="714" t="s">
        <v>549</v>
      </c>
      <c r="C49" s="374">
        <f>'ING. REALES'!J49</f>
        <v>0</v>
      </c>
      <c r="D49" s="374" t="e">
        <f>'ING. REALES'!#REF!</f>
        <v>#REF!</v>
      </c>
      <c r="E49" s="374" t="e">
        <f>'ING. REALES'!#REF!</f>
        <v>#REF!</v>
      </c>
      <c r="F49" s="374" t="e">
        <f>'ING. REALES'!#REF!</f>
        <v>#REF!</v>
      </c>
      <c r="G49" s="374" t="e">
        <f>'ING. REALES'!#REF!</f>
        <v>#REF!</v>
      </c>
      <c r="H49" s="374" t="e">
        <f>'ING. REALES'!#REF!</f>
        <v>#REF!</v>
      </c>
      <c r="I49" s="374" t="e">
        <f>'ING. REALES'!#REF!</f>
        <v>#REF!</v>
      </c>
      <c r="J49" s="374" t="e">
        <f>'ING. REALES'!#REF!</f>
        <v>#REF!</v>
      </c>
      <c r="K49" s="374" t="e">
        <f>'ING. REALES'!#REF!</f>
        <v>#REF!</v>
      </c>
      <c r="L49" s="374" t="e">
        <f>'ING. REALES'!#REF!</f>
        <v>#REF!</v>
      </c>
      <c r="M49" s="374" t="e">
        <f>'ING. REALES'!#REF!</f>
        <v>#REF!</v>
      </c>
      <c r="N49" s="374" t="e">
        <f>'ING. REALES'!#REF!</f>
        <v>#REF!</v>
      </c>
      <c r="O49" s="374" t="e">
        <f>'ING. REALES'!#REF!</f>
        <v>#REF!</v>
      </c>
      <c r="P49" s="245">
        <f>P50</f>
        <v>0</v>
      </c>
      <c r="Q49" s="347">
        <f t="shared" si="2"/>
        <v>0</v>
      </c>
    </row>
    <row r="50" spans="1:17" s="188" customFormat="1" x14ac:dyDescent="0.2">
      <c r="A50" s="110">
        <v>157</v>
      </c>
      <c r="B50" s="713" t="s">
        <v>341</v>
      </c>
      <c r="C50" s="373">
        <v>0</v>
      </c>
      <c r="D50" s="373">
        <v>0</v>
      </c>
      <c r="E50" s="373">
        <v>0</v>
      </c>
      <c r="F50" s="373">
        <v>0</v>
      </c>
      <c r="G50" s="373">
        <v>0</v>
      </c>
      <c r="H50" s="373">
        <v>0</v>
      </c>
      <c r="I50" s="373">
        <v>0</v>
      </c>
      <c r="J50" s="373">
        <v>0</v>
      </c>
      <c r="K50" s="373">
        <v>0</v>
      </c>
      <c r="L50" s="373">
        <v>0</v>
      </c>
      <c r="M50" s="373">
        <v>0</v>
      </c>
      <c r="N50" s="373">
        <v>0</v>
      </c>
      <c r="O50" s="373">
        <v>0</v>
      </c>
      <c r="P50" s="246">
        <f t="shared" ref="P50" si="21">SUM(D50:O50)</f>
        <v>0</v>
      </c>
      <c r="Q50" s="347">
        <f t="shared" si="2"/>
        <v>0</v>
      </c>
    </row>
    <row r="51" spans="1:17" s="188" customFormat="1" x14ac:dyDescent="0.2">
      <c r="A51" s="95">
        <v>15703</v>
      </c>
      <c r="B51" s="714" t="s">
        <v>550</v>
      </c>
      <c r="C51" s="707">
        <f>'ING. REALES'!J51</f>
        <v>0</v>
      </c>
      <c r="D51" s="707" t="e">
        <f>'ING. REALES'!#REF!</f>
        <v>#REF!</v>
      </c>
      <c r="E51" s="707" t="e">
        <f>'ING. REALES'!#REF!</f>
        <v>#REF!</v>
      </c>
      <c r="F51" s="707" t="e">
        <f>'ING. REALES'!#REF!</f>
        <v>#REF!</v>
      </c>
      <c r="G51" s="707" t="e">
        <f>'ING. REALES'!#REF!</f>
        <v>#REF!</v>
      </c>
      <c r="H51" s="707" t="e">
        <f>'ING. REALES'!#REF!</f>
        <v>#REF!</v>
      </c>
      <c r="I51" s="707" t="e">
        <f>'ING. REALES'!#REF!</f>
        <v>#REF!</v>
      </c>
      <c r="J51" s="707" t="e">
        <f>'ING. REALES'!#REF!</f>
        <v>#REF!</v>
      </c>
      <c r="K51" s="707" t="e">
        <f>'ING. REALES'!#REF!</f>
        <v>#REF!</v>
      </c>
      <c r="L51" s="707" t="e">
        <f>'ING. REALES'!#REF!</f>
        <v>#REF!</v>
      </c>
      <c r="M51" s="707" t="e">
        <f>'ING. REALES'!#REF!</f>
        <v>#REF!</v>
      </c>
      <c r="N51" s="707" t="e">
        <f>'ING. REALES'!#REF!</f>
        <v>#REF!</v>
      </c>
      <c r="O51" s="707" t="e">
        <f>'ING. REALES'!#REF!</f>
        <v>#REF!</v>
      </c>
      <c r="P51" s="245" t="e">
        <f t="shared" ref="P51:P52" si="22">P52</f>
        <v>#REF!</v>
      </c>
      <c r="Q51" s="347" t="e">
        <f t="shared" si="2"/>
        <v>#REF!</v>
      </c>
    </row>
    <row r="52" spans="1:17" s="188" customFormat="1" x14ac:dyDescent="0.2">
      <c r="A52" s="110">
        <v>16</v>
      </c>
      <c r="B52" s="713" t="s">
        <v>96</v>
      </c>
      <c r="C52" s="707">
        <f>C53</f>
        <v>328629.85000000003</v>
      </c>
      <c r="D52" s="707" t="e">
        <f>D53</f>
        <v>#REF!</v>
      </c>
      <c r="E52" s="707" t="e">
        <f t="shared" ref="E52:O52" si="23">E53</f>
        <v>#REF!</v>
      </c>
      <c r="F52" s="707" t="e">
        <f t="shared" si="23"/>
        <v>#REF!</v>
      </c>
      <c r="G52" s="707" t="e">
        <f t="shared" si="23"/>
        <v>#REF!</v>
      </c>
      <c r="H52" s="707" t="e">
        <f t="shared" si="23"/>
        <v>#REF!</v>
      </c>
      <c r="I52" s="707" t="e">
        <f t="shared" si="23"/>
        <v>#REF!</v>
      </c>
      <c r="J52" s="707" t="e">
        <f t="shared" si="23"/>
        <v>#REF!</v>
      </c>
      <c r="K52" s="707" t="e">
        <f t="shared" si="23"/>
        <v>#REF!</v>
      </c>
      <c r="L52" s="707" t="e">
        <f t="shared" si="23"/>
        <v>#REF!</v>
      </c>
      <c r="M52" s="707" t="e">
        <f t="shared" si="23"/>
        <v>#REF!</v>
      </c>
      <c r="N52" s="707" t="e">
        <f t="shared" si="23"/>
        <v>#REF!</v>
      </c>
      <c r="O52" s="707" t="e">
        <f t="shared" si="23"/>
        <v>#REF!</v>
      </c>
      <c r="P52" s="365" t="e">
        <f t="shared" si="22"/>
        <v>#REF!</v>
      </c>
      <c r="Q52" s="347" t="e">
        <f t="shared" si="2"/>
        <v>#REF!</v>
      </c>
    </row>
    <row r="53" spans="1:17" s="188" customFormat="1" x14ac:dyDescent="0.2">
      <c r="A53" s="110">
        <v>162</v>
      </c>
      <c r="B53" s="713" t="s">
        <v>342</v>
      </c>
      <c r="C53" s="373">
        <f>SUM(C54)</f>
        <v>328629.85000000003</v>
      </c>
      <c r="D53" s="373" t="e">
        <f>SUM(D54)</f>
        <v>#REF!</v>
      </c>
      <c r="E53" s="373" t="e">
        <f t="shared" ref="E53:O53" si="24">SUM(E54)</f>
        <v>#REF!</v>
      </c>
      <c r="F53" s="373" t="e">
        <f t="shared" si="24"/>
        <v>#REF!</v>
      </c>
      <c r="G53" s="373" t="e">
        <f t="shared" si="24"/>
        <v>#REF!</v>
      </c>
      <c r="H53" s="373" t="e">
        <f t="shared" si="24"/>
        <v>#REF!</v>
      </c>
      <c r="I53" s="373" t="e">
        <f t="shared" si="24"/>
        <v>#REF!</v>
      </c>
      <c r="J53" s="373" t="e">
        <f t="shared" si="24"/>
        <v>#REF!</v>
      </c>
      <c r="K53" s="373" t="e">
        <f t="shared" si="24"/>
        <v>#REF!</v>
      </c>
      <c r="L53" s="373" t="e">
        <f t="shared" si="24"/>
        <v>#REF!</v>
      </c>
      <c r="M53" s="373" t="e">
        <f t="shared" si="24"/>
        <v>#REF!</v>
      </c>
      <c r="N53" s="373" t="e">
        <f t="shared" si="24"/>
        <v>#REF!</v>
      </c>
      <c r="O53" s="373" t="e">
        <f t="shared" si="24"/>
        <v>#REF!</v>
      </c>
      <c r="P53" s="366" t="e">
        <f t="shared" ref="P53" si="25">SUM(D53:O53)</f>
        <v>#REF!</v>
      </c>
      <c r="Q53" s="347" t="e">
        <f t="shared" si="2"/>
        <v>#REF!</v>
      </c>
    </row>
    <row r="54" spans="1:17" s="188" customFormat="1" x14ac:dyDescent="0.2">
      <c r="A54" s="95">
        <v>16201</v>
      </c>
      <c r="B54" s="714" t="s">
        <v>551</v>
      </c>
      <c r="C54" s="707">
        <f>'ING. REALES'!J54</f>
        <v>328629.85000000003</v>
      </c>
      <c r="D54" s="707" t="e">
        <f>'ING. REALES'!#REF!</f>
        <v>#REF!</v>
      </c>
      <c r="E54" s="707" t="e">
        <f>'ING. REALES'!#REF!</f>
        <v>#REF!</v>
      </c>
      <c r="F54" s="707" t="e">
        <f>'ING. REALES'!#REF!</f>
        <v>#REF!</v>
      </c>
      <c r="G54" s="707" t="e">
        <f>'ING. REALES'!#REF!</f>
        <v>#REF!</v>
      </c>
      <c r="H54" s="707" t="e">
        <f>'ING. REALES'!#REF!</f>
        <v>#REF!</v>
      </c>
      <c r="I54" s="707" t="e">
        <f>'ING. REALES'!#REF!</f>
        <v>#REF!</v>
      </c>
      <c r="J54" s="707" t="e">
        <f>'ING. REALES'!#REF!</f>
        <v>#REF!</v>
      </c>
      <c r="K54" s="707" t="e">
        <f>'ING. REALES'!#REF!</f>
        <v>#REF!</v>
      </c>
      <c r="L54" s="707" t="e">
        <f>'ING. REALES'!#REF!</f>
        <v>#REF!</v>
      </c>
      <c r="M54" s="707" t="e">
        <f>'ING. REALES'!#REF!</f>
        <v>#REF!</v>
      </c>
      <c r="N54" s="707" t="e">
        <f>'ING. REALES'!#REF!</f>
        <v>#REF!</v>
      </c>
      <c r="O54" s="707" t="e">
        <f>'ING. REALES'!#REF!</f>
        <v>#REF!</v>
      </c>
      <c r="P54" s="365">
        <v>0</v>
      </c>
      <c r="Q54" s="347">
        <f t="shared" si="2"/>
        <v>328629.85000000003</v>
      </c>
    </row>
    <row r="55" spans="1:17" s="188" customFormat="1" x14ac:dyDescent="0.2">
      <c r="A55" s="110">
        <v>163</v>
      </c>
      <c r="B55" s="713" t="s">
        <v>552</v>
      </c>
      <c r="C55" s="374">
        <v>0</v>
      </c>
      <c r="D55" s="374">
        <v>0</v>
      </c>
      <c r="E55" s="374">
        <v>0</v>
      </c>
      <c r="F55" s="374">
        <v>0</v>
      </c>
      <c r="G55" s="374">
        <v>0</v>
      </c>
      <c r="H55" s="374">
        <v>0</v>
      </c>
      <c r="I55" s="374">
        <v>0</v>
      </c>
      <c r="J55" s="374">
        <v>0</v>
      </c>
      <c r="K55" s="374">
        <v>0</v>
      </c>
      <c r="L55" s="374">
        <v>0</v>
      </c>
      <c r="M55" s="374">
        <v>0</v>
      </c>
      <c r="N55" s="374">
        <v>0</v>
      </c>
      <c r="O55" s="374">
        <v>0</v>
      </c>
      <c r="P55" s="366">
        <v>0</v>
      </c>
      <c r="Q55" s="347">
        <f t="shared" si="2"/>
        <v>0</v>
      </c>
    </row>
    <row r="56" spans="1:17" s="188" customFormat="1" x14ac:dyDescent="0.2">
      <c r="A56" s="95">
        <v>16304</v>
      </c>
      <c r="B56" s="714" t="s">
        <v>553</v>
      </c>
      <c r="C56" s="373">
        <v>0</v>
      </c>
      <c r="D56" s="373">
        <v>0</v>
      </c>
      <c r="E56" s="373">
        <v>0</v>
      </c>
      <c r="F56" s="373">
        <v>0</v>
      </c>
      <c r="G56" s="373">
        <v>0</v>
      </c>
      <c r="H56" s="373">
        <v>0</v>
      </c>
      <c r="I56" s="373">
        <v>0</v>
      </c>
      <c r="J56" s="373">
        <v>0</v>
      </c>
      <c r="K56" s="373">
        <v>0</v>
      </c>
      <c r="L56" s="373">
        <v>0</v>
      </c>
      <c r="M56" s="373">
        <v>0</v>
      </c>
      <c r="N56" s="373">
        <v>0</v>
      </c>
      <c r="O56" s="373">
        <v>0</v>
      </c>
      <c r="P56" s="365">
        <v>0</v>
      </c>
      <c r="Q56" s="347">
        <f t="shared" si="2"/>
        <v>0</v>
      </c>
    </row>
    <row r="57" spans="1:17" s="188" customFormat="1" x14ac:dyDescent="0.2">
      <c r="A57" s="110">
        <v>21</v>
      </c>
      <c r="B57" s="713" t="s">
        <v>554</v>
      </c>
      <c r="C57" s="374">
        <v>0</v>
      </c>
      <c r="D57" s="374">
        <v>0</v>
      </c>
      <c r="E57" s="374">
        <v>0</v>
      </c>
      <c r="F57" s="374">
        <v>0</v>
      </c>
      <c r="G57" s="374">
        <v>0</v>
      </c>
      <c r="H57" s="374">
        <v>0</v>
      </c>
      <c r="I57" s="374">
        <v>0</v>
      </c>
      <c r="J57" s="374">
        <v>0</v>
      </c>
      <c r="K57" s="374">
        <v>0</v>
      </c>
      <c r="L57" s="374">
        <v>0</v>
      </c>
      <c r="M57" s="374">
        <v>0</v>
      </c>
      <c r="N57" s="374">
        <v>0</v>
      </c>
      <c r="O57" s="374">
        <v>0</v>
      </c>
      <c r="P57" s="366">
        <v>0</v>
      </c>
      <c r="Q57" s="347">
        <f t="shared" si="2"/>
        <v>0</v>
      </c>
    </row>
    <row r="58" spans="1:17" s="188" customFormat="1" x14ac:dyDescent="0.2">
      <c r="A58" s="95">
        <v>212</v>
      </c>
      <c r="B58" s="714" t="s">
        <v>555</v>
      </c>
      <c r="C58" s="374">
        <v>0</v>
      </c>
      <c r="D58" s="374">
        <v>0</v>
      </c>
      <c r="E58" s="374">
        <v>0</v>
      </c>
      <c r="F58" s="374">
        <v>0</v>
      </c>
      <c r="G58" s="374">
        <v>0</v>
      </c>
      <c r="H58" s="374">
        <v>0</v>
      </c>
      <c r="I58" s="374">
        <v>0</v>
      </c>
      <c r="J58" s="374">
        <v>0</v>
      </c>
      <c r="K58" s="374">
        <v>0</v>
      </c>
      <c r="L58" s="374">
        <v>0</v>
      </c>
      <c r="M58" s="374">
        <v>0</v>
      </c>
      <c r="N58" s="374">
        <v>0</v>
      </c>
      <c r="O58" s="374">
        <v>0</v>
      </c>
      <c r="P58" s="366">
        <v>0</v>
      </c>
      <c r="Q58" s="347">
        <f t="shared" si="2"/>
        <v>0</v>
      </c>
    </row>
    <row r="59" spans="1:17" s="188" customFormat="1" x14ac:dyDescent="0.2">
      <c r="A59" s="95">
        <v>21201</v>
      </c>
      <c r="B59" s="714" t="s">
        <v>556</v>
      </c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245" t="e">
        <f t="shared" ref="P59:P60" si="26">P60</f>
        <v>#REF!</v>
      </c>
      <c r="Q59" s="347" t="e">
        <f t="shared" si="2"/>
        <v>#REF!</v>
      </c>
    </row>
    <row r="60" spans="1:17" s="188" customFormat="1" x14ac:dyDescent="0.2">
      <c r="A60" s="110">
        <v>22</v>
      </c>
      <c r="B60" s="713" t="s">
        <v>12</v>
      </c>
      <c r="C60" s="373">
        <f>C61</f>
        <v>985889.66</v>
      </c>
      <c r="D60" s="373" t="e">
        <f>D61</f>
        <v>#REF!</v>
      </c>
      <c r="E60" s="373" t="e">
        <f t="shared" ref="E60:O60" si="27">E61</f>
        <v>#REF!</v>
      </c>
      <c r="F60" s="373" t="e">
        <f t="shared" si="27"/>
        <v>#REF!</v>
      </c>
      <c r="G60" s="373" t="e">
        <f t="shared" si="27"/>
        <v>#REF!</v>
      </c>
      <c r="H60" s="373" t="e">
        <f t="shared" si="27"/>
        <v>#REF!</v>
      </c>
      <c r="I60" s="373" t="e">
        <f t="shared" si="27"/>
        <v>#REF!</v>
      </c>
      <c r="J60" s="373" t="e">
        <f t="shared" si="27"/>
        <v>#REF!</v>
      </c>
      <c r="K60" s="373" t="e">
        <f t="shared" si="27"/>
        <v>#REF!</v>
      </c>
      <c r="L60" s="373" t="e">
        <f t="shared" si="27"/>
        <v>#REF!</v>
      </c>
      <c r="M60" s="373" t="e">
        <f t="shared" si="27"/>
        <v>#REF!</v>
      </c>
      <c r="N60" s="373" t="e">
        <f t="shared" si="27"/>
        <v>#REF!</v>
      </c>
      <c r="O60" s="373" t="e">
        <f t="shared" si="27"/>
        <v>#REF!</v>
      </c>
      <c r="P60" s="245" t="e">
        <f t="shared" si="26"/>
        <v>#REF!</v>
      </c>
      <c r="Q60" s="347" t="e">
        <f t="shared" si="2"/>
        <v>#REF!</v>
      </c>
    </row>
    <row r="61" spans="1:17" s="188" customFormat="1" x14ac:dyDescent="0.2">
      <c r="A61" s="110">
        <v>222</v>
      </c>
      <c r="B61" s="713" t="s">
        <v>343</v>
      </c>
      <c r="C61" s="373">
        <f>SUM(C62)</f>
        <v>985889.66</v>
      </c>
      <c r="D61" s="373" t="e">
        <f>SUM(D62)</f>
        <v>#REF!</v>
      </c>
      <c r="E61" s="373" t="e">
        <f t="shared" ref="E61:O61" si="28">SUM(E62)</f>
        <v>#REF!</v>
      </c>
      <c r="F61" s="373" t="e">
        <f t="shared" si="28"/>
        <v>#REF!</v>
      </c>
      <c r="G61" s="373" t="e">
        <f t="shared" si="28"/>
        <v>#REF!</v>
      </c>
      <c r="H61" s="373" t="e">
        <f t="shared" si="28"/>
        <v>#REF!</v>
      </c>
      <c r="I61" s="373" t="e">
        <f t="shared" si="28"/>
        <v>#REF!</v>
      </c>
      <c r="J61" s="373" t="e">
        <f t="shared" si="28"/>
        <v>#REF!</v>
      </c>
      <c r="K61" s="373" t="e">
        <f t="shared" si="28"/>
        <v>#REF!</v>
      </c>
      <c r="L61" s="373" t="e">
        <f t="shared" si="28"/>
        <v>#REF!</v>
      </c>
      <c r="M61" s="373" t="e">
        <f t="shared" si="28"/>
        <v>#REF!</v>
      </c>
      <c r="N61" s="373" t="e">
        <f t="shared" si="28"/>
        <v>#REF!</v>
      </c>
      <c r="O61" s="373" t="e">
        <f t="shared" si="28"/>
        <v>#REF!</v>
      </c>
      <c r="P61" s="246" t="e">
        <f t="shared" ref="P61" si="29">SUM(D61:O61)</f>
        <v>#REF!</v>
      </c>
      <c r="Q61" s="347" t="e">
        <f t="shared" si="2"/>
        <v>#REF!</v>
      </c>
    </row>
    <row r="62" spans="1:17" s="188" customFormat="1" x14ac:dyDescent="0.2">
      <c r="A62" s="95">
        <v>22201</v>
      </c>
      <c r="B62" s="714" t="s">
        <v>557</v>
      </c>
      <c r="C62" s="707">
        <f>'ING. REALES'!J62</f>
        <v>985889.66</v>
      </c>
      <c r="D62" s="707" t="e">
        <f>'ING. REALES'!#REF!</f>
        <v>#REF!</v>
      </c>
      <c r="E62" s="707" t="e">
        <f>'ING. REALES'!#REF!</f>
        <v>#REF!</v>
      </c>
      <c r="F62" s="707" t="e">
        <f>'ING. REALES'!#REF!</f>
        <v>#REF!</v>
      </c>
      <c r="G62" s="707" t="e">
        <f>'ING. REALES'!#REF!</f>
        <v>#REF!</v>
      </c>
      <c r="H62" s="707" t="e">
        <f>'ING. REALES'!#REF!</f>
        <v>#REF!</v>
      </c>
      <c r="I62" s="707" t="e">
        <f>'ING. REALES'!#REF!</f>
        <v>#REF!</v>
      </c>
      <c r="J62" s="707" t="e">
        <f>'ING. REALES'!#REF!</f>
        <v>#REF!</v>
      </c>
      <c r="K62" s="707" t="e">
        <f>'ING. REALES'!#REF!</f>
        <v>#REF!</v>
      </c>
      <c r="L62" s="707" t="e">
        <f>'ING. REALES'!#REF!</f>
        <v>#REF!</v>
      </c>
      <c r="M62" s="707" t="e">
        <f>'ING. REALES'!#REF!</f>
        <v>#REF!</v>
      </c>
      <c r="N62" s="707" t="e">
        <f>'ING. REALES'!#REF!</f>
        <v>#REF!</v>
      </c>
      <c r="O62" s="707" t="e">
        <f>'ING. REALES'!#REF!</f>
        <v>#REF!</v>
      </c>
      <c r="P62" s="365">
        <f t="shared" ref="P62:P63" si="30">P63</f>
        <v>0</v>
      </c>
      <c r="Q62" s="347">
        <f t="shared" si="2"/>
        <v>985889.66</v>
      </c>
    </row>
    <row r="63" spans="1:17" s="188" customFormat="1" x14ac:dyDescent="0.2">
      <c r="A63" s="110">
        <v>31</v>
      </c>
      <c r="B63" s="713" t="s">
        <v>344</v>
      </c>
      <c r="C63" s="373">
        <f>C64</f>
        <v>0</v>
      </c>
      <c r="D63" s="373">
        <f>D64</f>
        <v>0</v>
      </c>
      <c r="E63" s="373">
        <f t="shared" ref="E63:O63" si="31">E64</f>
        <v>0</v>
      </c>
      <c r="F63" s="373">
        <f t="shared" si="31"/>
        <v>0</v>
      </c>
      <c r="G63" s="373">
        <f t="shared" si="31"/>
        <v>0</v>
      </c>
      <c r="H63" s="373">
        <f t="shared" si="31"/>
        <v>0</v>
      </c>
      <c r="I63" s="373">
        <f t="shared" si="31"/>
        <v>0</v>
      </c>
      <c r="J63" s="373">
        <f t="shared" si="31"/>
        <v>0</v>
      </c>
      <c r="K63" s="373">
        <f t="shared" si="31"/>
        <v>0</v>
      </c>
      <c r="L63" s="373">
        <f t="shared" si="31"/>
        <v>0</v>
      </c>
      <c r="M63" s="373">
        <f t="shared" si="31"/>
        <v>0</v>
      </c>
      <c r="N63" s="373">
        <f t="shared" si="31"/>
        <v>0</v>
      </c>
      <c r="O63" s="373">
        <f t="shared" si="31"/>
        <v>0</v>
      </c>
      <c r="P63" s="365">
        <f t="shared" si="30"/>
        <v>0</v>
      </c>
      <c r="Q63" s="347">
        <f t="shared" si="2"/>
        <v>0</v>
      </c>
    </row>
    <row r="64" spans="1:17" s="188" customFormat="1" x14ac:dyDescent="0.2">
      <c r="A64" s="110">
        <v>313</v>
      </c>
      <c r="B64" s="713" t="s">
        <v>345</v>
      </c>
      <c r="C64" s="374">
        <v>0</v>
      </c>
      <c r="D64" s="374">
        <v>0</v>
      </c>
      <c r="E64" s="374">
        <v>0</v>
      </c>
      <c r="F64" s="374">
        <v>0</v>
      </c>
      <c r="G64" s="374">
        <v>0</v>
      </c>
      <c r="H64" s="374">
        <v>0</v>
      </c>
      <c r="I64" s="374">
        <v>0</v>
      </c>
      <c r="J64" s="374">
        <v>0</v>
      </c>
      <c r="K64" s="374">
        <v>0</v>
      </c>
      <c r="L64" s="374">
        <v>0</v>
      </c>
      <c r="M64" s="374">
        <v>0</v>
      </c>
      <c r="N64" s="374">
        <v>0</v>
      </c>
      <c r="O64" s="374">
        <v>0</v>
      </c>
      <c r="P64" s="366">
        <v>0</v>
      </c>
      <c r="Q64" s="347">
        <f t="shared" si="2"/>
        <v>0</v>
      </c>
    </row>
    <row r="65" spans="1:17" s="188" customFormat="1" x14ac:dyDescent="0.2">
      <c r="A65" s="95">
        <v>31308</v>
      </c>
      <c r="B65" s="714" t="s">
        <v>239</v>
      </c>
      <c r="C65" s="373"/>
      <c r="D65" s="373"/>
      <c r="E65" s="373"/>
      <c r="F65" s="373"/>
      <c r="G65" s="373"/>
      <c r="H65" s="373"/>
      <c r="I65" s="373"/>
      <c r="J65" s="373"/>
      <c r="K65" s="373"/>
      <c r="L65" s="373"/>
      <c r="M65" s="373"/>
      <c r="N65" s="373"/>
      <c r="O65" s="373"/>
      <c r="P65" s="365" t="e">
        <f t="shared" ref="P65" si="32">P66+P68</f>
        <v>#REF!</v>
      </c>
      <c r="Q65" s="347" t="e">
        <f>C65-P65</f>
        <v>#REF!</v>
      </c>
    </row>
    <row r="66" spans="1:17" s="188" customFormat="1" x14ac:dyDescent="0.2">
      <c r="A66" s="110">
        <v>32</v>
      </c>
      <c r="B66" s="713" t="s">
        <v>13</v>
      </c>
      <c r="C66" s="373">
        <f>C67+C69</f>
        <v>1242744.04</v>
      </c>
      <c r="D66" s="373" t="e">
        <f>D67+D69</f>
        <v>#REF!</v>
      </c>
      <c r="E66" s="373" t="e">
        <f t="shared" ref="E66:O66" si="33">E67+E69</f>
        <v>#REF!</v>
      </c>
      <c r="F66" s="373" t="e">
        <f t="shared" si="33"/>
        <v>#REF!</v>
      </c>
      <c r="G66" s="373" t="e">
        <f t="shared" si="33"/>
        <v>#REF!</v>
      </c>
      <c r="H66" s="373" t="e">
        <f t="shared" si="33"/>
        <v>#REF!</v>
      </c>
      <c r="I66" s="373" t="e">
        <f t="shared" si="33"/>
        <v>#REF!</v>
      </c>
      <c r="J66" s="373" t="e">
        <f t="shared" si="33"/>
        <v>#REF!</v>
      </c>
      <c r="K66" s="373" t="e">
        <f t="shared" si="33"/>
        <v>#REF!</v>
      </c>
      <c r="L66" s="373" t="e">
        <f t="shared" si="33"/>
        <v>#REF!</v>
      </c>
      <c r="M66" s="373" t="e">
        <f t="shared" si="33"/>
        <v>#REF!</v>
      </c>
      <c r="N66" s="373" t="e">
        <f t="shared" si="33"/>
        <v>#REF!</v>
      </c>
      <c r="O66" s="373" t="e">
        <f t="shared" si="33"/>
        <v>#REF!</v>
      </c>
      <c r="P66" s="365" t="e">
        <f t="shared" ref="P66" si="34">P67</f>
        <v>#REF!</v>
      </c>
      <c r="Q66" s="347" t="e">
        <f t="shared" si="2"/>
        <v>#REF!</v>
      </c>
    </row>
    <row r="67" spans="1:17" s="188" customFormat="1" x14ac:dyDescent="0.2">
      <c r="A67" s="110">
        <v>321</v>
      </c>
      <c r="B67" s="713" t="s">
        <v>346</v>
      </c>
      <c r="C67" s="373">
        <f>SUM(C68)</f>
        <v>1086618.58</v>
      </c>
      <c r="D67" s="373" t="e">
        <f>SUM(D68)</f>
        <v>#REF!</v>
      </c>
      <c r="E67" s="373" t="e">
        <f t="shared" ref="E67:O67" si="35">SUM(E68)</f>
        <v>#REF!</v>
      </c>
      <c r="F67" s="373" t="e">
        <f t="shared" si="35"/>
        <v>#REF!</v>
      </c>
      <c r="G67" s="373" t="e">
        <f t="shared" si="35"/>
        <v>#REF!</v>
      </c>
      <c r="H67" s="373" t="e">
        <f t="shared" si="35"/>
        <v>#REF!</v>
      </c>
      <c r="I67" s="373" t="e">
        <f t="shared" si="35"/>
        <v>#REF!</v>
      </c>
      <c r="J67" s="373" t="e">
        <f t="shared" si="35"/>
        <v>#REF!</v>
      </c>
      <c r="K67" s="373" t="e">
        <f t="shared" si="35"/>
        <v>#REF!</v>
      </c>
      <c r="L67" s="373" t="e">
        <f t="shared" si="35"/>
        <v>#REF!</v>
      </c>
      <c r="M67" s="373" t="e">
        <f t="shared" si="35"/>
        <v>#REF!</v>
      </c>
      <c r="N67" s="373" t="e">
        <f t="shared" si="35"/>
        <v>#REF!</v>
      </c>
      <c r="O67" s="373" t="e">
        <f t="shared" si="35"/>
        <v>#REF!</v>
      </c>
      <c r="P67" s="366" t="e">
        <f t="shared" ref="P67" si="36">SUM(D67:O67)</f>
        <v>#REF!</v>
      </c>
      <c r="Q67" s="347" t="e">
        <f t="shared" si="2"/>
        <v>#REF!</v>
      </c>
    </row>
    <row r="68" spans="1:17" s="188" customFormat="1" x14ac:dyDescent="0.2">
      <c r="A68" s="95">
        <v>32102</v>
      </c>
      <c r="B68" s="716" t="s">
        <v>591</v>
      </c>
      <c r="C68" s="707">
        <f>'ING. REALES'!J69</f>
        <v>1086618.58</v>
      </c>
      <c r="D68" s="707" t="e">
        <f>'ING. REALES'!#REF!</f>
        <v>#REF!</v>
      </c>
      <c r="E68" s="707" t="e">
        <f>'ING. REALES'!#REF!</f>
        <v>#REF!</v>
      </c>
      <c r="F68" s="707" t="e">
        <f>'ING. REALES'!#REF!</f>
        <v>#REF!</v>
      </c>
      <c r="G68" s="707" t="e">
        <f>'ING. REALES'!#REF!</f>
        <v>#REF!</v>
      </c>
      <c r="H68" s="707" t="e">
        <f>'ING. REALES'!#REF!</f>
        <v>#REF!</v>
      </c>
      <c r="I68" s="707" t="e">
        <f>'ING. REALES'!#REF!</f>
        <v>#REF!</v>
      </c>
      <c r="J68" s="707" t="e">
        <f>'ING. REALES'!#REF!</f>
        <v>#REF!</v>
      </c>
      <c r="K68" s="707" t="e">
        <f>'ING. REALES'!#REF!</f>
        <v>#REF!</v>
      </c>
      <c r="L68" s="707" t="e">
        <f>'ING. REALES'!#REF!</f>
        <v>#REF!</v>
      </c>
      <c r="M68" s="707" t="e">
        <f>'ING. REALES'!#REF!</f>
        <v>#REF!</v>
      </c>
      <c r="N68" s="707" t="e">
        <f>'ING. REALES'!#REF!</f>
        <v>#REF!</v>
      </c>
      <c r="O68" s="707" t="e">
        <f>'ING. REALES'!#REF!</f>
        <v>#REF!</v>
      </c>
      <c r="P68" s="365" t="e">
        <f>#REF!</f>
        <v>#REF!</v>
      </c>
      <c r="Q68" s="347" t="e">
        <f t="shared" si="2"/>
        <v>#REF!</v>
      </c>
    </row>
    <row r="69" spans="1:17" s="188" customFormat="1" x14ac:dyDescent="0.2">
      <c r="A69" s="110">
        <v>322</v>
      </c>
      <c r="B69" s="713" t="s">
        <v>347</v>
      </c>
      <c r="C69" s="835">
        <f>C70</f>
        <v>156125.46000000002</v>
      </c>
      <c r="D69" s="835" t="e">
        <f>D70</f>
        <v>#REF!</v>
      </c>
      <c r="E69" s="835" t="e">
        <f t="shared" ref="E69:O69" si="37">E70</f>
        <v>#REF!</v>
      </c>
      <c r="F69" s="835" t="e">
        <f t="shared" si="37"/>
        <v>#REF!</v>
      </c>
      <c r="G69" s="835" t="e">
        <f t="shared" si="37"/>
        <v>#REF!</v>
      </c>
      <c r="H69" s="835" t="e">
        <f t="shared" si="37"/>
        <v>#REF!</v>
      </c>
      <c r="I69" s="835" t="e">
        <f t="shared" si="37"/>
        <v>#REF!</v>
      </c>
      <c r="J69" s="835" t="e">
        <f t="shared" si="37"/>
        <v>#REF!</v>
      </c>
      <c r="K69" s="835" t="e">
        <f t="shared" si="37"/>
        <v>#REF!</v>
      </c>
      <c r="L69" s="835" t="e">
        <f t="shared" si="37"/>
        <v>#REF!</v>
      </c>
      <c r="M69" s="835" t="e">
        <f t="shared" si="37"/>
        <v>#REF!</v>
      </c>
      <c r="N69" s="835" t="e">
        <f t="shared" si="37"/>
        <v>#REF!</v>
      </c>
      <c r="O69" s="835" t="e">
        <f t="shared" si="37"/>
        <v>#REF!</v>
      </c>
      <c r="P69" s="836"/>
      <c r="Q69" s="347"/>
    </row>
    <row r="70" spans="1:17" s="188" customFormat="1" ht="13.5" thickBot="1" x14ac:dyDescent="0.25">
      <c r="A70" s="111">
        <v>32201</v>
      </c>
      <c r="B70" s="717" t="s">
        <v>347</v>
      </c>
      <c r="C70" s="837">
        <f>'ING. REALES'!J71</f>
        <v>156125.46000000002</v>
      </c>
      <c r="D70" s="837" t="e">
        <f>'ING. REALES'!#REF!</f>
        <v>#REF!</v>
      </c>
      <c r="E70" s="837" t="e">
        <f>'ING. REALES'!#REF!</f>
        <v>#REF!</v>
      </c>
      <c r="F70" s="837" t="e">
        <f>'ING. REALES'!#REF!</f>
        <v>#REF!</v>
      </c>
      <c r="G70" s="837" t="e">
        <f>'ING. REALES'!#REF!</f>
        <v>#REF!</v>
      </c>
      <c r="H70" s="837" t="e">
        <f>'ING. REALES'!#REF!</f>
        <v>#REF!</v>
      </c>
      <c r="I70" s="837" t="e">
        <f>'ING. REALES'!#REF!</f>
        <v>#REF!</v>
      </c>
      <c r="J70" s="837" t="e">
        <f>'ING. REALES'!#REF!</f>
        <v>#REF!</v>
      </c>
      <c r="K70" s="837" t="e">
        <f>'ING. REALES'!#REF!</f>
        <v>#REF!</v>
      </c>
      <c r="L70" s="837" t="e">
        <f>'ING. REALES'!#REF!</f>
        <v>#REF!</v>
      </c>
      <c r="M70" s="837" t="e">
        <f>'ING. REALES'!#REF!</f>
        <v>#REF!</v>
      </c>
      <c r="N70" s="837" t="e">
        <f>'ING. REALES'!#REF!</f>
        <v>#REF!</v>
      </c>
      <c r="O70" s="837" t="e">
        <f>'ING. REALES'!#REF!</f>
        <v>#REF!</v>
      </c>
      <c r="P70" s="836"/>
      <c r="Q70" s="347"/>
    </row>
    <row r="71" spans="1:17" s="188" customFormat="1" ht="13.5" thickBot="1" x14ac:dyDescent="0.25">
      <c r="A71" s="1032"/>
      <c r="B71" s="1033"/>
      <c r="C71" s="247">
        <f>C8+C18+C35+C39+C52+C57+C60+C63+C66</f>
        <v>2849311.04</v>
      </c>
      <c r="D71" s="247" t="e">
        <f>D8+D18+D35+D39+D52+D57+D60+D63+D66</f>
        <v>#REF!</v>
      </c>
      <c r="E71" s="247" t="e">
        <f t="shared" ref="E71:O71" si="38">E8+E18+E35+E39+E52+E57+E60+E63+E66</f>
        <v>#REF!</v>
      </c>
      <c r="F71" s="247" t="e">
        <f t="shared" si="38"/>
        <v>#REF!</v>
      </c>
      <c r="G71" s="247" t="e">
        <f t="shared" si="38"/>
        <v>#REF!</v>
      </c>
      <c r="H71" s="247" t="e">
        <f t="shared" si="38"/>
        <v>#REF!</v>
      </c>
      <c r="I71" s="247" t="e">
        <f t="shared" si="38"/>
        <v>#REF!</v>
      </c>
      <c r="J71" s="247" t="e">
        <f t="shared" si="38"/>
        <v>#REF!</v>
      </c>
      <c r="K71" s="247" t="e">
        <f t="shared" si="38"/>
        <v>#REF!</v>
      </c>
      <c r="L71" s="247" t="e">
        <f t="shared" si="38"/>
        <v>#REF!</v>
      </c>
      <c r="M71" s="247" t="e">
        <f t="shared" si="38"/>
        <v>#REF!</v>
      </c>
      <c r="N71" s="247" t="e">
        <f t="shared" si="38"/>
        <v>#REF!</v>
      </c>
      <c r="O71" s="247" t="e">
        <f t="shared" si="38"/>
        <v>#REF!</v>
      </c>
      <c r="P71" s="247" t="e">
        <f>P8+P17+P34+P38+P51+P59+P65</f>
        <v>#REF!</v>
      </c>
      <c r="Q71" s="347" t="e">
        <f t="shared" si="2"/>
        <v>#REF!</v>
      </c>
    </row>
    <row r="72" spans="1:17" s="188" customFormat="1" ht="13.5" thickBot="1" x14ac:dyDescent="0.25">
      <c r="A72" s="821"/>
      <c r="B72" s="822"/>
      <c r="C72" s="247">
        <f>C9+C19+C32+C36+C40+C42+C50+C53+C55+C61+C64+C67+C69</f>
        <v>2849311.04</v>
      </c>
      <c r="D72" s="247" t="e">
        <f>D9+D19+D32+D36+D40+D42+D50+D53+D55+D61+D64+D67+D69</f>
        <v>#REF!</v>
      </c>
      <c r="E72" s="247" t="e">
        <f t="shared" ref="E72:O72" si="39">E9+E19+E32+E36+E40+E42+E50+E53+E55+E61+E64+E67+E69</f>
        <v>#REF!</v>
      </c>
      <c r="F72" s="247" t="e">
        <f t="shared" si="39"/>
        <v>#REF!</v>
      </c>
      <c r="G72" s="247" t="e">
        <f t="shared" si="39"/>
        <v>#REF!</v>
      </c>
      <c r="H72" s="247" t="e">
        <f t="shared" si="39"/>
        <v>#REF!</v>
      </c>
      <c r="I72" s="247" t="e">
        <f t="shared" si="39"/>
        <v>#REF!</v>
      </c>
      <c r="J72" s="247" t="e">
        <f t="shared" si="39"/>
        <v>#REF!</v>
      </c>
      <c r="K72" s="247" t="e">
        <f t="shared" si="39"/>
        <v>#REF!</v>
      </c>
      <c r="L72" s="247" t="e">
        <f t="shared" si="39"/>
        <v>#REF!</v>
      </c>
      <c r="M72" s="247" t="e">
        <f t="shared" si="39"/>
        <v>#REF!</v>
      </c>
      <c r="N72" s="247" t="e">
        <f t="shared" si="39"/>
        <v>#REF!</v>
      </c>
      <c r="O72" s="247" t="e">
        <f t="shared" si="39"/>
        <v>#REF!</v>
      </c>
      <c r="P72" s="247"/>
      <c r="Q72" s="347"/>
    </row>
    <row r="73" spans="1:17" s="188" customFormat="1" ht="13.5" thickBot="1" x14ac:dyDescent="0.25">
      <c r="A73" s="1032"/>
      <c r="B73" s="1033"/>
      <c r="C73" s="247">
        <f>C10+C11+C12+C13+C14+C15+C16+C17+C20+C21+C22+C23+C24+C25+C26+C27+C28+C29+C30+C31+C33+C34+C37+C38+C41+C43+C44+C45+C46+C49+C51+C54+C56+C58+C59+C62+C65+C68+C70</f>
        <v>2849311.04</v>
      </c>
      <c r="D73" s="247" t="e">
        <f>D10+D11+D12+D13+D14+D15+D16+D17+D20+D21+D22+D23+D24+D25+D26+D27+D28+D29+D30+D31+D33+D34+D37+D38+D41+D43+D44+D45+D46+D49+D51+D54+D56+D58+D59+D62+D65+D68+D70</f>
        <v>#REF!</v>
      </c>
      <c r="E73" s="247" t="e">
        <f t="shared" ref="E73:O73" si="40">E10+E11+E12+E13+E14+E15+E16+E17+E20+E21+E22+E23+E24+E25+E26+E27+E28+E29+E30+E31+E33+E34+E37+E38+E41+E43+E44+E45+E46+E49+E51+E54+E56+E58+E59+E62+E65+E68+E70</f>
        <v>#REF!</v>
      </c>
      <c r="F73" s="247" t="e">
        <f t="shared" si="40"/>
        <v>#REF!</v>
      </c>
      <c r="G73" s="247" t="e">
        <f t="shared" si="40"/>
        <v>#REF!</v>
      </c>
      <c r="H73" s="247" t="e">
        <f t="shared" si="40"/>
        <v>#REF!</v>
      </c>
      <c r="I73" s="247" t="e">
        <f t="shared" si="40"/>
        <v>#REF!</v>
      </c>
      <c r="J73" s="247" t="e">
        <f t="shared" si="40"/>
        <v>#REF!</v>
      </c>
      <c r="K73" s="247" t="e">
        <f t="shared" si="40"/>
        <v>#REF!</v>
      </c>
      <c r="L73" s="247" t="e">
        <f t="shared" si="40"/>
        <v>#REF!</v>
      </c>
      <c r="M73" s="247" t="e">
        <f t="shared" si="40"/>
        <v>#REF!</v>
      </c>
      <c r="N73" s="247" t="e">
        <f t="shared" si="40"/>
        <v>#REF!</v>
      </c>
      <c r="O73" s="247" t="e">
        <f t="shared" si="40"/>
        <v>#REF!</v>
      </c>
      <c r="P73" s="247" t="e">
        <f t="shared" ref="P73" si="41">+P71</f>
        <v>#REF!</v>
      </c>
      <c r="Q73" s="347" t="e">
        <f t="shared" si="2"/>
        <v>#REF!</v>
      </c>
    </row>
    <row r="74" spans="1:17" x14ac:dyDescent="0.2">
      <c r="P74" s="250"/>
    </row>
    <row r="75" spans="1:17" x14ac:dyDescent="0.2">
      <c r="C75" s="838">
        <f>C73-'ING. REALES'!J73</f>
        <v>-1276.5600000000559</v>
      </c>
      <c r="P75" s="249" t="e">
        <f>'ING. REALES'!J73-DISTRIBUCIÓN!P73</f>
        <v>#REF!</v>
      </c>
    </row>
    <row r="76" spans="1:17" x14ac:dyDescent="0.2">
      <c r="P76" s="250"/>
    </row>
    <row r="77" spans="1:17" x14ac:dyDescent="0.2">
      <c r="P77" s="302"/>
    </row>
  </sheetData>
  <autoFilter ref="A5:P73"/>
  <mergeCells count="5">
    <mergeCell ref="A71:B71"/>
    <mergeCell ref="A73:B73"/>
    <mergeCell ref="A1:P3"/>
    <mergeCell ref="A5:A7"/>
    <mergeCell ref="B5:B7"/>
  </mergeCells>
  <pageMargins left="0.11811023622047245" right="0.11811023622047245" top="0.55118110236220474" bottom="0.55118110236220474" header="0" footer="0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V30"/>
  <sheetViews>
    <sheetView showGridLines="0" topLeftCell="C1" workbookViewId="0">
      <selection activeCell="L30" sqref="L30"/>
    </sheetView>
  </sheetViews>
  <sheetFormatPr baseColWidth="10" defaultColWidth="9.140625" defaultRowHeight="12.75" x14ac:dyDescent="0.2"/>
  <cols>
    <col min="1" max="2" width="4.28515625" style="96" hidden="1" customWidth="1"/>
    <col min="3" max="3" width="5.42578125" style="96" customWidth="1"/>
    <col min="4" max="4" width="30.140625" style="96" customWidth="1"/>
    <col min="5" max="5" width="17.7109375" style="96" customWidth="1"/>
    <col min="6" max="6" width="9.5703125" style="96" customWidth="1"/>
    <col min="7" max="7" width="15.140625" style="96" customWidth="1"/>
    <col min="8" max="8" width="9.140625" style="96" customWidth="1"/>
    <col min="9" max="9" width="11.28515625" style="96" customWidth="1"/>
    <col min="10" max="10" width="12.42578125" style="96" customWidth="1"/>
    <col min="11" max="11" width="14.42578125" style="96" customWidth="1"/>
    <col min="12" max="12" width="15.42578125" style="96" customWidth="1"/>
    <col min="13" max="17" width="9.140625" style="96" hidden="1" customWidth="1"/>
    <col min="18" max="18" width="10" style="96" hidden="1" customWidth="1"/>
    <col min="19" max="19" width="9.140625" style="96" hidden="1" customWidth="1"/>
    <col min="20" max="20" width="9.140625" style="653"/>
    <col min="21" max="16384" width="9.140625" style="96"/>
  </cols>
  <sheetData>
    <row r="2" spans="3:22" ht="12.75" customHeight="1" x14ac:dyDescent="0.2">
      <c r="C2" s="1062" t="s">
        <v>669</v>
      </c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27"/>
      <c r="O2" s="27"/>
      <c r="P2" s="27"/>
      <c r="Q2" s="27"/>
      <c r="R2" s="27"/>
      <c r="S2" s="27"/>
    </row>
    <row r="3" spans="3:22" ht="46.5" customHeight="1" thickBot="1" x14ac:dyDescent="0.25"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27"/>
      <c r="O3" s="27"/>
      <c r="P3" s="27"/>
      <c r="Q3" s="27"/>
      <c r="R3" s="27"/>
      <c r="S3" s="27"/>
    </row>
    <row r="4" spans="3:22" s="99" customFormat="1" ht="27.75" customHeight="1" thickBot="1" x14ac:dyDescent="0.25">
      <c r="C4" s="1064" t="s">
        <v>387</v>
      </c>
      <c r="D4" s="1064" t="s">
        <v>596</v>
      </c>
      <c r="E4" s="1080" t="s">
        <v>597</v>
      </c>
      <c r="F4" s="1081" t="s">
        <v>389</v>
      </c>
      <c r="G4" s="1081" t="s">
        <v>349</v>
      </c>
      <c r="H4" s="1072" t="s">
        <v>350</v>
      </c>
      <c r="I4" s="1076" t="s">
        <v>351</v>
      </c>
      <c r="J4" s="1077"/>
      <c r="K4" s="632" t="s">
        <v>17</v>
      </c>
      <c r="L4" s="1034" t="s">
        <v>504</v>
      </c>
      <c r="M4" s="1075" t="s">
        <v>352</v>
      </c>
      <c r="N4" s="1064"/>
      <c r="O4" s="1064"/>
      <c r="P4" s="1064"/>
      <c r="Q4" s="1064"/>
      <c r="R4" s="1064" t="s">
        <v>353</v>
      </c>
      <c r="S4" s="1064" t="s">
        <v>354</v>
      </c>
      <c r="T4" s="654"/>
    </row>
    <row r="5" spans="3:22" s="99" customFormat="1" ht="23.25" customHeight="1" thickBot="1" x14ac:dyDescent="0.25">
      <c r="C5" s="1064"/>
      <c r="D5" s="1064"/>
      <c r="E5" s="1080"/>
      <c r="F5" s="1081"/>
      <c r="G5" s="1081"/>
      <c r="H5" s="1072"/>
      <c r="I5" s="1078" t="s">
        <v>395</v>
      </c>
      <c r="J5" s="1082" t="s">
        <v>16</v>
      </c>
      <c r="K5" s="1070" t="s">
        <v>355</v>
      </c>
      <c r="L5" s="1035"/>
      <c r="M5" s="105" t="s">
        <v>356</v>
      </c>
      <c r="N5" s="1064" t="s">
        <v>357</v>
      </c>
      <c r="O5" s="1064"/>
      <c r="P5" s="1064"/>
      <c r="Q5" s="1064"/>
      <c r="R5" s="1064"/>
      <c r="S5" s="1064"/>
      <c r="T5" s="654"/>
    </row>
    <row r="6" spans="3:22" s="99" customFormat="1" ht="15.75" customHeight="1" thickBot="1" x14ac:dyDescent="0.25">
      <c r="C6" s="1064"/>
      <c r="D6" s="1064"/>
      <c r="E6" s="1080"/>
      <c r="F6" s="1081"/>
      <c r="G6" s="1081"/>
      <c r="H6" s="1072"/>
      <c r="I6" s="1079"/>
      <c r="J6" s="1083"/>
      <c r="K6" s="1071"/>
      <c r="L6" s="1036"/>
      <c r="M6" s="105" t="s">
        <v>358</v>
      </c>
      <c r="N6" s="94" t="s">
        <v>359</v>
      </c>
      <c r="O6" s="94" t="s">
        <v>19</v>
      </c>
      <c r="P6" s="94" t="s">
        <v>360</v>
      </c>
      <c r="Q6" s="94" t="s">
        <v>361</v>
      </c>
      <c r="R6" s="1064"/>
      <c r="S6" s="1064"/>
      <c r="T6" s="654"/>
    </row>
    <row r="7" spans="3:22" s="99" customFormat="1" ht="31.5" customHeight="1" thickBot="1" x14ac:dyDescent="0.25">
      <c r="C7" s="635">
        <v>1</v>
      </c>
      <c r="D7" s="636" t="s">
        <v>629</v>
      </c>
      <c r="E7" s="588"/>
      <c r="F7" s="516">
        <v>1</v>
      </c>
      <c r="G7" s="637" t="s">
        <v>351</v>
      </c>
      <c r="H7" s="638" t="s">
        <v>20</v>
      </c>
      <c r="I7" s="639">
        <v>600</v>
      </c>
      <c r="J7" s="640">
        <f>I7*12</f>
        <v>7200</v>
      </c>
      <c r="K7" s="641">
        <v>0</v>
      </c>
      <c r="L7" s="642">
        <f>+K7+J7</f>
        <v>7200</v>
      </c>
      <c r="M7" s="115">
        <v>0</v>
      </c>
      <c r="N7" s="114"/>
      <c r="O7" s="114">
        <v>0</v>
      </c>
      <c r="P7" s="114"/>
      <c r="Q7" s="114">
        <v>0</v>
      </c>
      <c r="R7" s="114">
        <v>0</v>
      </c>
      <c r="S7" s="114"/>
      <c r="T7" s="654"/>
      <c r="U7" s="98"/>
      <c r="V7" s="116"/>
    </row>
    <row r="8" spans="3:22" s="99" customFormat="1" ht="31.5" hidden="1" customHeight="1" thickBot="1" x14ac:dyDescent="0.25">
      <c r="C8" s="643"/>
      <c r="D8" s="580"/>
      <c r="E8" s="644"/>
      <c r="F8" s="645"/>
      <c r="G8" s="646"/>
      <c r="H8" s="647"/>
      <c r="I8" s="648"/>
      <c r="J8" s="649"/>
      <c r="K8" s="650"/>
      <c r="L8" s="651"/>
      <c r="M8" s="115">
        <v>0</v>
      </c>
      <c r="N8" s="114"/>
      <c r="O8" s="114">
        <v>0</v>
      </c>
      <c r="P8" s="114"/>
      <c r="Q8" s="114">
        <v>0</v>
      </c>
      <c r="R8" s="114">
        <v>0</v>
      </c>
      <c r="S8" s="114"/>
      <c r="T8" s="654"/>
      <c r="U8" s="98"/>
      <c r="V8" s="116"/>
    </row>
    <row r="9" spans="3:22" s="99" customFormat="1" ht="14.25" customHeight="1" thickBot="1" x14ac:dyDescent="0.25">
      <c r="C9" s="1066" t="s">
        <v>386</v>
      </c>
      <c r="D9" s="1067"/>
      <c r="E9" s="1067"/>
      <c r="F9" s="1067"/>
      <c r="G9" s="1067"/>
      <c r="H9" s="1067"/>
      <c r="I9" s="593">
        <f>I7</f>
        <v>600</v>
      </c>
      <c r="J9" s="659">
        <f>J7</f>
        <v>7200</v>
      </c>
      <c r="K9" s="589">
        <f>K7</f>
        <v>0</v>
      </c>
      <c r="L9" s="593">
        <f>L7</f>
        <v>7200</v>
      </c>
      <c r="M9" s="121" t="e">
        <f>SUM(#REF!)</f>
        <v>#REF!</v>
      </c>
      <c r="N9" s="119" t="e">
        <f>SUM(#REF!)</f>
        <v>#REF!</v>
      </c>
      <c r="O9" s="119" t="e">
        <f>SUM(#REF!)</f>
        <v>#REF!</v>
      </c>
      <c r="P9" s="119" t="e">
        <f>SUM(#REF!)</f>
        <v>#REF!</v>
      </c>
      <c r="Q9" s="119" t="e">
        <f>SUM(#REF!)</f>
        <v>#REF!</v>
      </c>
      <c r="R9" s="119" t="e">
        <f>SUM(#REF!)</f>
        <v>#REF!</v>
      </c>
      <c r="S9" s="119" t="e">
        <f>SUM(#REF!)</f>
        <v>#REF!</v>
      </c>
      <c r="T9" s="654"/>
    </row>
    <row r="10" spans="3:22" s="99" customFormat="1" hidden="1" x14ac:dyDescent="0.2">
      <c r="C10" s="122"/>
      <c r="D10" s="122"/>
      <c r="E10" s="113" t="s">
        <v>364</v>
      </c>
      <c r="F10" s="113"/>
      <c r="G10" s="113" t="s">
        <v>26</v>
      </c>
      <c r="H10" s="586" t="s">
        <v>21</v>
      </c>
      <c r="I10" s="543"/>
      <c r="J10" s="123">
        <f t="shared" ref="J10:J17" si="0">I10*12</f>
        <v>0</v>
      </c>
      <c r="K10" s="590"/>
      <c r="L10" s="594"/>
      <c r="M10" s="117">
        <v>0</v>
      </c>
      <c r="N10" s="118"/>
      <c r="O10" s="118">
        <v>0</v>
      </c>
      <c r="P10" s="118"/>
      <c r="Q10" s="118">
        <f t="shared" ref="Q10:Q17" si="1">SUM(N10:P10)</f>
        <v>0</v>
      </c>
      <c r="R10" s="118">
        <f t="shared" ref="R10:R17" si="2">J10*0.01</f>
        <v>0</v>
      </c>
      <c r="S10" s="118"/>
      <c r="T10" s="654"/>
    </row>
    <row r="11" spans="3:22" s="99" customFormat="1" hidden="1" x14ac:dyDescent="0.2">
      <c r="C11" s="122"/>
      <c r="D11" s="122"/>
      <c r="E11" s="113" t="s">
        <v>365</v>
      </c>
      <c r="F11" s="113"/>
      <c r="G11" s="113" t="s">
        <v>26</v>
      </c>
      <c r="H11" s="586" t="s">
        <v>21</v>
      </c>
      <c r="I11" s="543"/>
      <c r="J11" s="123">
        <f t="shared" si="0"/>
        <v>0</v>
      </c>
      <c r="K11" s="590"/>
      <c r="L11" s="594"/>
      <c r="M11" s="117">
        <v>0</v>
      </c>
      <c r="N11" s="118"/>
      <c r="O11" s="118">
        <v>0</v>
      </c>
      <c r="P11" s="118"/>
      <c r="Q11" s="118">
        <f t="shared" si="1"/>
        <v>0</v>
      </c>
      <c r="R11" s="118">
        <f t="shared" si="2"/>
        <v>0</v>
      </c>
      <c r="S11" s="118"/>
      <c r="T11" s="654"/>
    </row>
    <row r="12" spans="3:22" s="99" customFormat="1" hidden="1" x14ac:dyDescent="0.2">
      <c r="C12" s="122"/>
      <c r="D12" s="122"/>
      <c r="E12" s="113" t="s">
        <v>366</v>
      </c>
      <c r="F12" s="113"/>
      <c r="G12" s="113" t="s">
        <v>26</v>
      </c>
      <c r="H12" s="586" t="s">
        <v>21</v>
      </c>
      <c r="I12" s="543"/>
      <c r="J12" s="123">
        <f t="shared" si="0"/>
        <v>0</v>
      </c>
      <c r="K12" s="590"/>
      <c r="L12" s="594"/>
      <c r="M12" s="117">
        <v>0</v>
      </c>
      <c r="N12" s="118"/>
      <c r="O12" s="118">
        <v>0</v>
      </c>
      <c r="P12" s="118"/>
      <c r="Q12" s="118">
        <f t="shared" si="1"/>
        <v>0</v>
      </c>
      <c r="R12" s="118">
        <f t="shared" si="2"/>
        <v>0</v>
      </c>
      <c r="S12" s="118"/>
      <c r="T12" s="654"/>
    </row>
    <row r="13" spans="3:22" s="99" customFormat="1" hidden="1" x14ac:dyDescent="0.2">
      <c r="C13" s="122"/>
      <c r="D13" s="122"/>
      <c r="E13" s="113" t="s">
        <v>367</v>
      </c>
      <c r="F13" s="113"/>
      <c r="G13" s="113" t="s">
        <v>26</v>
      </c>
      <c r="H13" s="586" t="s">
        <v>21</v>
      </c>
      <c r="I13" s="543"/>
      <c r="J13" s="123">
        <f t="shared" si="0"/>
        <v>0</v>
      </c>
      <c r="K13" s="590"/>
      <c r="L13" s="594"/>
      <c r="M13" s="117">
        <v>0</v>
      </c>
      <c r="N13" s="118"/>
      <c r="O13" s="118">
        <v>0</v>
      </c>
      <c r="P13" s="118"/>
      <c r="Q13" s="118">
        <f t="shared" si="1"/>
        <v>0</v>
      </c>
      <c r="R13" s="118">
        <f t="shared" si="2"/>
        <v>0</v>
      </c>
      <c r="S13" s="118"/>
      <c r="T13" s="654"/>
    </row>
    <row r="14" spans="3:22" s="99" customFormat="1" hidden="1" x14ac:dyDescent="0.2">
      <c r="C14" s="122"/>
      <c r="D14" s="122"/>
      <c r="E14" s="113" t="s">
        <v>368</v>
      </c>
      <c r="F14" s="113"/>
      <c r="G14" s="113" t="s">
        <v>26</v>
      </c>
      <c r="H14" s="586" t="s">
        <v>21</v>
      </c>
      <c r="I14" s="543"/>
      <c r="J14" s="123">
        <f t="shared" si="0"/>
        <v>0</v>
      </c>
      <c r="K14" s="590"/>
      <c r="L14" s="594"/>
      <c r="M14" s="117">
        <v>0</v>
      </c>
      <c r="N14" s="118"/>
      <c r="O14" s="118">
        <v>0</v>
      </c>
      <c r="P14" s="118"/>
      <c r="Q14" s="118">
        <f t="shared" si="1"/>
        <v>0</v>
      </c>
      <c r="R14" s="118">
        <f t="shared" si="2"/>
        <v>0</v>
      </c>
      <c r="S14" s="118"/>
      <c r="T14" s="654"/>
    </row>
    <row r="15" spans="3:22" s="99" customFormat="1" ht="19.5" hidden="1" customHeight="1" x14ac:dyDescent="0.2">
      <c r="C15" s="122"/>
      <c r="D15" s="122"/>
      <c r="E15" s="113" t="s">
        <v>369</v>
      </c>
      <c r="F15" s="113"/>
      <c r="G15" s="113" t="s">
        <v>26</v>
      </c>
      <c r="H15" s="586" t="s">
        <v>21</v>
      </c>
      <c r="I15" s="543"/>
      <c r="J15" s="123">
        <f t="shared" si="0"/>
        <v>0</v>
      </c>
      <c r="K15" s="590"/>
      <c r="L15" s="594"/>
      <c r="M15" s="117">
        <v>0</v>
      </c>
      <c r="N15" s="118"/>
      <c r="O15" s="118">
        <v>0</v>
      </c>
      <c r="P15" s="118"/>
      <c r="Q15" s="118">
        <f t="shared" si="1"/>
        <v>0</v>
      </c>
      <c r="R15" s="118">
        <f t="shared" si="2"/>
        <v>0</v>
      </c>
      <c r="S15" s="118"/>
      <c r="T15" s="654"/>
    </row>
    <row r="16" spans="3:22" s="99" customFormat="1" hidden="1" x14ac:dyDescent="0.2">
      <c r="C16" s="122"/>
      <c r="D16" s="122"/>
      <c r="E16" s="113" t="s">
        <v>371</v>
      </c>
      <c r="F16" s="113"/>
      <c r="G16" s="113" t="s">
        <v>26</v>
      </c>
      <c r="H16" s="586" t="s">
        <v>21</v>
      </c>
      <c r="I16" s="543"/>
      <c r="J16" s="123">
        <f t="shared" si="0"/>
        <v>0</v>
      </c>
      <c r="K16" s="590"/>
      <c r="L16" s="594"/>
      <c r="M16" s="117">
        <v>0</v>
      </c>
      <c r="N16" s="118"/>
      <c r="O16" s="118">
        <v>0</v>
      </c>
      <c r="P16" s="118"/>
      <c r="Q16" s="118">
        <f t="shared" si="1"/>
        <v>0</v>
      </c>
      <c r="R16" s="118">
        <f t="shared" si="2"/>
        <v>0</v>
      </c>
      <c r="S16" s="118"/>
      <c r="T16" s="654"/>
    </row>
    <row r="17" spans="3:20" s="99" customFormat="1" hidden="1" x14ac:dyDescent="0.2">
      <c r="C17" s="122"/>
      <c r="D17" s="122"/>
      <c r="E17" s="113" t="s">
        <v>373</v>
      </c>
      <c r="F17" s="113"/>
      <c r="G17" s="113" t="s">
        <v>26</v>
      </c>
      <c r="H17" s="586" t="s">
        <v>21</v>
      </c>
      <c r="I17" s="543"/>
      <c r="J17" s="123">
        <f t="shared" si="0"/>
        <v>0</v>
      </c>
      <c r="K17" s="590"/>
      <c r="L17" s="594"/>
      <c r="M17" s="117">
        <v>0</v>
      </c>
      <c r="N17" s="118"/>
      <c r="O17" s="118">
        <v>0</v>
      </c>
      <c r="P17" s="118"/>
      <c r="Q17" s="118">
        <f t="shared" si="1"/>
        <v>0</v>
      </c>
      <c r="R17" s="118">
        <f t="shared" si="2"/>
        <v>0</v>
      </c>
      <c r="S17" s="118"/>
      <c r="T17" s="654"/>
    </row>
    <row r="18" spans="3:20" s="99" customFormat="1" hidden="1" x14ac:dyDescent="0.2">
      <c r="C18" s="1068" t="s">
        <v>374</v>
      </c>
      <c r="D18" s="1069"/>
      <c r="E18" s="1069"/>
      <c r="F18" s="1069"/>
      <c r="G18" s="1069"/>
      <c r="H18" s="1069"/>
      <c r="I18" s="544">
        <f t="shared" ref="I18:S18" si="3">SUM(I10:I17)</f>
        <v>0</v>
      </c>
      <c r="J18" s="120">
        <f t="shared" si="3"/>
        <v>0</v>
      </c>
      <c r="K18" s="591">
        <f t="shared" si="3"/>
        <v>0</v>
      </c>
      <c r="L18" s="595">
        <f t="shared" si="3"/>
        <v>0</v>
      </c>
      <c r="M18" s="121">
        <f t="shared" si="3"/>
        <v>0</v>
      </c>
      <c r="N18" s="119">
        <f t="shared" si="3"/>
        <v>0</v>
      </c>
      <c r="O18" s="119">
        <f t="shared" si="3"/>
        <v>0</v>
      </c>
      <c r="P18" s="119">
        <f t="shared" si="3"/>
        <v>0</v>
      </c>
      <c r="Q18" s="119">
        <f t="shared" si="3"/>
        <v>0</v>
      </c>
      <c r="R18" s="119">
        <f t="shared" si="3"/>
        <v>0</v>
      </c>
      <c r="S18" s="119">
        <f t="shared" si="3"/>
        <v>0</v>
      </c>
      <c r="T18" s="654"/>
    </row>
    <row r="19" spans="3:20" s="99" customFormat="1" ht="25.5" hidden="1" x14ac:dyDescent="0.2">
      <c r="C19" s="122"/>
      <c r="D19" s="122"/>
      <c r="E19" s="113" t="s">
        <v>375</v>
      </c>
      <c r="F19" s="113"/>
      <c r="G19" s="113" t="s">
        <v>26</v>
      </c>
      <c r="H19" s="586" t="s">
        <v>24</v>
      </c>
      <c r="I19" s="543"/>
      <c r="J19" s="123">
        <f>I19*12</f>
        <v>0</v>
      </c>
      <c r="K19" s="590"/>
      <c r="L19" s="594"/>
      <c r="M19" s="117">
        <v>0</v>
      </c>
      <c r="N19" s="118"/>
      <c r="O19" s="118">
        <v>0</v>
      </c>
      <c r="P19" s="118"/>
      <c r="Q19" s="118">
        <f>SUM(N19:P19)</f>
        <v>0</v>
      </c>
      <c r="R19" s="118">
        <f>J19*0.01</f>
        <v>0</v>
      </c>
      <c r="S19" s="118"/>
      <c r="T19" s="654"/>
    </row>
    <row r="20" spans="3:20" s="99" customFormat="1" hidden="1" x14ac:dyDescent="0.2">
      <c r="C20" s="1068" t="s">
        <v>376</v>
      </c>
      <c r="D20" s="1069"/>
      <c r="E20" s="1069"/>
      <c r="F20" s="1069"/>
      <c r="G20" s="1069"/>
      <c r="H20" s="1069"/>
      <c r="I20" s="544">
        <f>SUM(I19)</f>
        <v>0</v>
      </c>
      <c r="J20" s="121">
        <f>SUM(J19)</f>
        <v>0</v>
      </c>
      <c r="K20" s="591">
        <f>SUM(K19)</f>
        <v>0</v>
      </c>
      <c r="L20" s="595">
        <f>SUM(L19)</f>
        <v>0</v>
      </c>
      <c r="M20" s="121">
        <f t="shared" ref="M20:S20" si="4">SUM(M19)</f>
        <v>0</v>
      </c>
      <c r="N20" s="119">
        <f t="shared" si="4"/>
        <v>0</v>
      </c>
      <c r="O20" s="119">
        <f t="shared" si="4"/>
        <v>0</v>
      </c>
      <c r="P20" s="119">
        <f t="shared" si="4"/>
        <v>0</v>
      </c>
      <c r="Q20" s="119">
        <f t="shared" si="4"/>
        <v>0</v>
      </c>
      <c r="R20" s="119">
        <f t="shared" si="4"/>
        <v>0</v>
      </c>
      <c r="S20" s="119">
        <f t="shared" si="4"/>
        <v>0</v>
      </c>
      <c r="T20" s="654"/>
    </row>
    <row r="21" spans="3:20" s="99" customFormat="1" ht="25.5" hidden="1" x14ac:dyDescent="0.2">
      <c r="C21" s="122"/>
      <c r="D21" s="122"/>
      <c r="E21" s="113" t="s">
        <v>377</v>
      </c>
      <c r="F21" s="113"/>
      <c r="G21" s="113" t="s">
        <v>26</v>
      </c>
      <c r="H21" s="586" t="s">
        <v>255</v>
      </c>
      <c r="I21" s="543"/>
      <c r="J21" s="123">
        <f>I21*12</f>
        <v>0</v>
      </c>
      <c r="K21" s="590"/>
      <c r="L21" s="594"/>
      <c r="M21" s="117">
        <v>0</v>
      </c>
      <c r="N21" s="118"/>
      <c r="O21" s="118">
        <v>0</v>
      </c>
      <c r="P21" s="118"/>
      <c r="Q21" s="118">
        <f>SUM(N21:P21)</f>
        <v>0</v>
      </c>
      <c r="R21" s="118">
        <f>J21*0.01</f>
        <v>0</v>
      </c>
      <c r="S21" s="118"/>
      <c r="T21" s="654"/>
    </row>
    <row r="22" spans="3:20" s="99" customFormat="1" hidden="1" x14ac:dyDescent="0.2">
      <c r="C22" s="122"/>
      <c r="D22" s="122"/>
      <c r="E22" s="113" t="s">
        <v>23</v>
      </c>
      <c r="F22" s="113"/>
      <c r="G22" s="113" t="s">
        <v>26</v>
      </c>
      <c r="H22" s="586" t="s">
        <v>255</v>
      </c>
      <c r="I22" s="543"/>
      <c r="J22" s="123">
        <f>I22*12</f>
        <v>0</v>
      </c>
      <c r="K22" s="590"/>
      <c r="L22" s="594"/>
      <c r="M22" s="117">
        <v>0</v>
      </c>
      <c r="N22" s="118"/>
      <c r="O22" s="118">
        <v>0</v>
      </c>
      <c r="P22" s="118"/>
      <c r="Q22" s="118">
        <f>SUM(N22:P22)</f>
        <v>0</v>
      </c>
      <c r="R22" s="118">
        <f>J22*0.01</f>
        <v>0</v>
      </c>
      <c r="S22" s="118"/>
      <c r="T22" s="654"/>
    </row>
    <row r="23" spans="3:20" s="99" customFormat="1" hidden="1" x14ac:dyDescent="0.2">
      <c r="C23" s="122"/>
      <c r="D23" s="122"/>
      <c r="E23" s="113" t="s">
        <v>378</v>
      </c>
      <c r="F23" s="113"/>
      <c r="G23" s="113" t="s">
        <v>26</v>
      </c>
      <c r="H23" s="586" t="s">
        <v>255</v>
      </c>
      <c r="I23" s="543"/>
      <c r="J23" s="123">
        <f>I23*12</f>
        <v>0</v>
      </c>
      <c r="K23" s="590"/>
      <c r="L23" s="594"/>
      <c r="M23" s="117">
        <v>0</v>
      </c>
      <c r="N23" s="118"/>
      <c r="O23" s="118">
        <v>0</v>
      </c>
      <c r="P23" s="118"/>
      <c r="Q23" s="118">
        <f>SUM(N23:P23)</f>
        <v>0</v>
      </c>
      <c r="R23" s="118">
        <f>J23*0.01</f>
        <v>0</v>
      </c>
      <c r="S23" s="118"/>
      <c r="T23" s="654"/>
    </row>
    <row r="24" spans="3:20" s="99" customFormat="1" hidden="1" x14ac:dyDescent="0.2">
      <c r="C24" s="122"/>
      <c r="D24" s="122"/>
      <c r="E24" s="113" t="s">
        <v>379</v>
      </c>
      <c r="F24" s="113"/>
      <c r="G24" s="113" t="s">
        <v>26</v>
      </c>
      <c r="H24" s="586" t="s">
        <v>255</v>
      </c>
      <c r="I24" s="543"/>
      <c r="J24" s="123">
        <f>I24*12</f>
        <v>0</v>
      </c>
      <c r="K24" s="590"/>
      <c r="L24" s="594"/>
      <c r="M24" s="117">
        <v>0</v>
      </c>
      <c r="N24" s="118"/>
      <c r="O24" s="118">
        <v>0</v>
      </c>
      <c r="P24" s="118"/>
      <c r="Q24" s="118">
        <f>SUM(N24:P24)</f>
        <v>0</v>
      </c>
      <c r="R24" s="118">
        <f>J24*0.01</f>
        <v>0</v>
      </c>
      <c r="S24" s="118"/>
      <c r="T24" s="654"/>
    </row>
    <row r="25" spans="3:20" s="99" customFormat="1" ht="15" hidden="1" customHeight="1" thickBot="1" x14ac:dyDescent="0.25">
      <c r="C25" s="1073" t="s">
        <v>363</v>
      </c>
      <c r="D25" s="1074"/>
      <c r="E25" s="1074"/>
      <c r="F25" s="1074"/>
      <c r="G25" s="1074"/>
      <c r="H25" s="1074"/>
      <c r="I25" s="545">
        <f>SUM(I24)</f>
        <v>0</v>
      </c>
      <c r="J25" s="546">
        <f>SUM(J24)</f>
        <v>0</v>
      </c>
      <c r="K25" s="592">
        <f>SUM(K24)</f>
        <v>0</v>
      </c>
      <c r="L25" s="596">
        <f>SUM(L24)</f>
        <v>0</v>
      </c>
      <c r="M25" s="125">
        <f t="shared" ref="M25:S25" si="5">SUM(M21:M24)</f>
        <v>0</v>
      </c>
      <c r="N25" s="124">
        <f t="shared" si="5"/>
        <v>0</v>
      </c>
      <c r="O25" s="124">
        <f t="shared" si="5"/>
        <v>0</v>
      </c>
      <c r="P25" s="124">
        <f t="shared" si="5"/>
        <v>0</v>
      </c>
      <c r="Q25" s="124">
        <f t="shared" si="5"/>
        <v>0</v>
      </c>
      <c r="R25" s="124">
        <f t="shared" si="5"/>
        <v>0</v>
      </c>
      <c r="S25" s="124">
        <f t="shared" si="5"/>
        <v>0</v>
      </c>
      <c r="T25" s="654"/>
    </row>
    <row r="26" spans="3:20" s="99" customFormat="1" ht="13.5" thickBot="1" x14ac:dyDescent="0.25">
      <c r="C26" s="1064" t="s">
        <v>380</v>
      </c>
      <c r="D26" s="1064"/>
      <c r="E26" s="1064"/>
      <c r="F26" s="1064"/>
      <c r="G26" s="1064"/>
      <c r="H26" s="1065"/>
      <c r="I26" s="587">
        <f>I9+I18+I20+I25</f>
        <v>600</v>
      </c>
      <c r="J26" s="587">
        <f t="shared" ref="J26:L26" si="6">J9+J18+J20+J25</f>
        <v>7200</v>
      </c>
      <c r="K26" s="587">
        <f t="shared" si="6"/>
        <v>0</v>
      </c>
      <c r="L26" s="126">
        <f t="shared" si="6"/>
        <v>7200</v>
      </c>
      <c r="M26" s="127" t="e">
        <f t="shared" ref="M26:S26" si="7">M25+M20+M18+M9</f>
        <v>#REF!</v>
      </c>
      <c r="N26" s="126" t="e">
        <f t="shared" si="7"/>
        <v>#REF!</v>
      </c>
      <c r="O26" s="126" t="e">
        <f t="shared" si="7"/>
        <v>#REF!</v>
      </c>
      <c r="P26" s="126" t="e">
        <f t="shared" si="7"/>
        <v>#REF!</v>
      </c>
      <c r="Q26" s="126" t="e">
        <f t="shared" si="7"/>
        <v>#REF!</v>
      </c>
      <c r="R26" s="126" t="e">
        <f t="shared" si="7"/>
        <v>#REF!</v>
      </c>
      <c r="S26" s="126" t="e">
        <f t="shared" si="7"/>
        <v>#REF!</v>
      </c>
      <c r="T26" s="654"/>
    </row>
    <row r="28" spans="3:20" ht="15.75" x14ac:dyDescent="0.25">
      <c r="C28" s="349"/>
      <c r="D28" s="349"/>
    </row>
    <row r="30" spans="3:20" x14ac:dyDescent="0.2"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98"/>
      <c r="O30" s="98"/>
      <c r="P30" s="98"/>
      <c r="Q30" s="98"/>
      <c r="R30" s="98"/>
      <c r="S30" s="98"/>
      <c r="T30" s="655"/>
    </row>
  </sheetData>
  <mergeCells count="21">
    <mergeCell ref="I5:I6"/>
    <mergeCell ref="E4:E6"/>
    <mergeCell ref="F4:F6"/>
    <mergeCell ref="G4:G6"/>
    <mergeCell ref="J5:J6"/>
    <mergeCell ref="C2:M3"/>
    <mergeCell ref="C26:H26"/>
    <mergeCell ref="S4:S6"/>
    <mergeCell ref="C9:H9"/>
    <mergeCell ref="C18:H18"/>
    <mergeCell ref="C20:H20"/>
    <mergeCell ref="K5:K6"/>
    <mergeCell ref="H4:H6"/>
    <mergeCell ref="C4:C6"/>
    <mergeCell ref="C25:H25"/>
    <mergeCell ref="R4:R6"/>
    <mergeCell ref="N5:Q5"/>
    <mergeCell ref="M4:Q4"/>
    <mergeCell ref="D4:D6"/>
    <mergeCell ref="L4:L6"/>
    <mergeCell ref="I4:J4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3:AS107"/>
  <sheetViews>
    <sheetView showGridLines="0" topLeftCell="B3" workbookViewId="0">
      <pane xSplit="1" ySplit="8" topLeftCell="C76" activePane="bottomRight" state="frozen"/>
      <selection activeCell="B3" sqref="B3"/>
      <selection pane="topRight" activeCell="C3" sqref="C3"/>
      <selection pane="bottomLeft" activeCell="B11" sqref="B11"/>
      <selection pane="bottomRight" activeCell="I98" sqref="I98"/>
    </sheetView>
  </sheetViews>
  <sheetFormatPr baseColWidth="10" defaultRowHeight="12.75" x14ac:dyDescent="0.2"/>
  <cols>
    <col min="1" max="1" width="3.28515625" hidden="1" customWidth="1"/>
    <col min="2" max="2" width="27.42578125" customWidth="1"/>
    <col min="3" max="3" width="15.5703125" customWidth="1"/>
    <col min="4" max="4" width="6.5703125" customWidth="1"/>
    <col min="5" max="5" width="7.42578125" style="93" customWidth="1"/>
    <col min="6" max="6" width="7.28515625" style="93" customWidth="1"/>
    <col min="7" max="7" width="10.28515625" style="93" customWidth="1"/>
    <col min="8" max="8" width="11" style="357" customWidth="1"/>
    <col min="9" max="9" width="12" customWidth="1"/>
    <col min="10" max="10" width="10.28515625" style="619" customWidth="1"/>
    <col min="11" max="11" width="11.28515625" customWidth="1"/>
    <col min="12" max="12" width="10.85546875" customWidth="1"/>
    <col min="13" max="13" width="11.85546875" customWidth="1"/>
    <col min="14" max="14" width="8.28515625" customWidth="1"/>
    <col min="15" max="15" width="10.85546875" customWidth="1"/>
    <col min="16" max="16" width="11.140625" style="552" customWidth="1"/>
    <col min="17" max="17" width="12.28515625" customWidth="1"/>
    <col min="18" max="18" width="12.7109375" customWidth="1"/>
    <col min="19" max="21" width="11.42578125" customWidth="1"/>
    <col min="22" max="22" width="8" style="722" customWidth="1"/>
    <col min="23" max="25" width="12.7109375" customWidth="1"/>
    <col min="26" max="28" width="11.42578125" customWidth="1"/>
    <col min="29" max="30" width="12.28515625" customWidth="1"/>
    <col min="31" max="31" width="12.5703125" style="619" customWidth="1"/>
    <col min="33" max="33" width="8" style="722" customWidth="1"/>
    <col min="34" max="36" width="12.28515625" customWidth="1"/>
    <col min="40" max="40" width="12.28515625" bestFit="1" customWidth="1"/>
    <col min="41" max="41" width="12.28515625" customWidth="1"/>
    <col min="42" max="42" width="12.5703125" style="619" customWidth="1"/>
    <col min="43" max="43" width="12.28515625" bestFit="1" customWidth="1"/>
    <col min="44" max="44" width="12.7109375" style="619" customWidth="1"/>
  </cols>
  <sheetData>
    <row r="3" spans="1:44" s="2" customFormat="1" x14ac:dyDescent="0.2">
      <c r="A3" s="1096" t="s">
        <v>447</v>
      </c>
      <c r="B3" s="1096"/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1096"/>
      <c r="R3" s="1096"/>
      <c r="V3" s="721"/>
      <c r="AE3" s="510"/>
      <c r="AG3" s="721"/>
      <c r="AP3" s="510"/>
      <c r="AR3" s="510"/>
    </row>
    <row r="4" spans="1:44" s="2" customFormat="1" x14ac:dyDescent="0.2">
      <c r="A4" s="1097" t="s">
        <v>668</v>
      </c>
      <c r="B4" s="1097"/>
      <c r="C4" s="1097"/>
      <c r="D4" s="1097"/>
      <c r="E4" s="1097"/>
      <c r="F4" s="1097"/>
      <c r="G4" s="1097"/>
      <c r="H4" s="1097"/>
      <c r="I4" s="1097"/>
      <c r="J4" s="1097"/>
      <c r="K4" s="1097"/>
      <c r="L4" s="1097"/>
      <c r="M4" s="1097"/>
      <c r="N4" s="1097"/>
      <c r="O4" s="1097"/>
      <c r="P4" s="1097"/>
      <c r="Q4" s="1097"/>
      <c r="R4" s="1097"/>
      <c r="V4" s="721"/>
      <c r="AE4" s="510"/>
      <c r="AG4" s="721"/>
      <c r="AP4" s="510"/>
      <c r="AR4" s="510"/>
    </row>
    <row r="5" spans="1:44" s="2" customFormat="1" x14ac:dyDescent="0.2">
      <c r="A5" s="1097" t="s">
        <v>461</v>
      </c>
      <c r="B5" s="1097"/>
      <c r="C5" s="1097"/>
      <c r="D5" s="1097"/>
      <c r="E5" s="1097"/>
      <c r="F5" s="1097"/>
      <c r="G5" s="1097"/>
      <c r="H5" s="1097"/>
      <c r="I5" s="1097"/>
      <c r="J5" s="1097"/>
      <c r="K5" s="1097"/>
      <c r="L5" s="1097"/>
      <c r="M5" s="1097"/>
      <c r="N5" s="1097"/>
      <c r="O5" s="1097"/>
      <c r="P5" s="1097"/>
      <c r="Q5" s="1097"/>
      <c r="R5" s="1097"/>
      <c r="V5" s="721"/>
      <c r="AE5" s="510"/>
      <c r="AG5" s="721"/>
      <c r="AP5" s="510"/>
      <c r="AR5" s="510"/>
    </row>
    <row r="6" spans="1:44" s="2" customFormat="1" ht="6.75" customHeight="1" thickBot="1" x14ac:dyDescent="0.25">
      <c r="A6" s="330"/>
      <c r="B6" s="330"/>
      <c r="C6" s="330"/>
      <c r="D6" s="330"/>
      <c r="E6" s="330"/>
      <c r="F6" s="330"/>
      <c r="G6" s="604"/>
      <c r="H6" s="617"/>
      <c r="I6" s="330"/>
      <c r="J6" s="616"/>
      <c r="K6" s="579"/>
      <c r="L6" s="330"/>
      <c r="M6" s="330"/>
      <c r="N6" s="330"/>
      <c r="O6" s="330"/>
      <c r="P6" s="583"/>
      <c r="Q6" s="330"/>
      <c r="R6" s="330"/>
      <c r="V6" s="721"/>
      <c r="AE6" s="510"/>
      <c r="AG6" s="721"/>
      <c r="AP6" s="510"/>
      <c r="AR6" s="510"/>
    </row>
    <row r="7" spans="1:44" s="2" customFormat="1" ht="13.5" thickBot="1" x14ac:dyDescent="0.25">
      <c r="A7" s="1098" t="s">
        <v>387</v>
      </c>
      <c r="B7" s="1085" t="s">
        <v>15</v>
      </c>
      <c r="C7" s="1094" t="s">
        <v>388</v>
      </c>
      <c r="D7" s="1085" t="s">
        <v>389</v>
      </c>
      <c r="E7" s="1085" t="s">
        <v>390</v>
      </c>
      <c r="F7" s="1085" t="s">
        <v>391</v>
      </c>
      <c r="G7" s="1105" t="s">
        <v>392</v>
      </c>
      <c r="H7" s="1106"/>
      <c r="I7" s="1107"/>
      <c r="J7" s="1111" t="s">
        <v>592</v>
      </c>
      <c r="K7" s="1112"/>
      <c r="L7" s="1113"/>
      <c r="M7" s="1103" t="s">
        <v>393</v>
      </c>
      <c r="N7" s="1103"/>
      <c r="O7" s="1103"/>
      <c r="P7" s="1103"/>
      <c r="Q7" s="1104"/>
      <c r="R7" s="1094" t="s">
        <v>25</v>
      </c>
      <c r="V7" s="1121" t="s">
        <v>675</v>
      </c>
      <c r="W7" s="1122"/>
      <c r="X7" s="1122"/>
      <c r="Y7" s="1122"/>
      <c r="Z7" s="1122"/>
      <c r="AA7" s="1122"/>
      <c r="AB7" s="1122"/>
      <c r="AC7" s="1122"/>
      <c r="AD7" s="1122"/>
      <c r="AE7" s="1123"/>
      <c r="AG7" s="1121" t="s">
        <v>675</v>
      </c>
      <c r="AH7" s="1122"/>
      <c r="AI7" s="1122"/>
      <c r="AJ7" s="1122"/>
      <c r="AK7" s="1122"/>
      <c r="AL7" s="1122"/>
      <c r="AM7" s="1122"/>
      <c r="AN7" s="1122"/>
      <c r="AO7" s="1122"/>
      <c r="AP7" s="1123"/>
      <c r="AR7" s="510"/>
    </row>
    <row r="8" spans="1:44" s="2" customFormat="1" ht="13.5" thickBot="1" x14ac:dyDescent="0.25">
      <c r="A8" s="1099"/>
      <c r="B8" s="1086"/>
      <c r="C8" s="1101"/>
      <c r="D8" s="1086"/>
      <c r="E8" s="1086"/>
      <c r="F8" s="1086"/>
      <c r="G8" s="1108"/>
      <c r="H8" s="1109"/>
      <c r="I8" s="1110"/>
      <c r="J8" s="1114"/>
      <c r="K8" s="1115"/>
      <c r="L8" s="1116"/>
      <c r="M8" s="612" t="s">
        <v>394</v>
      </c>
      <c r="N8" s="1092" t="s">
        <v>659</v>
      </c>
      <c r="O8" s="1093"/>
      <c r="P8" s="615" t="s">
        <v>635</v>
      </c>
      <c r="Q8" s="613"/>
      <c r="R8" s="1124"/>
      <c r="V8" s="1118" t="s">
        <v>650</v>
      </c>
      <c r="W8" s="1119"/>
      <c r="X8" s="1119"/>
      <c r="Y8" s="1119"/>
      <c r="Z8" s="1119"/>
      <c r="AA8" s="1119"/>
      <c r="AB8" s="1119"/>
      <c r="AC8" s="1119"/>
      <c r="AD8" s="1119"/>
      <c r="AE8" s="1120"/>
      <c r="AG8" s="1118" t="s">
        <v>651</v>
      </c>
      <c r="AH8" s="1119"/>
      <c r="AI8" s="1119"/>
      <c r="AJ8" s="1119"/>
      <c r="AK8" s="1119"/>
      <c r="AL8" s="1119"/>
      <c r="AM8" s="1119"/>
      <c r="AN8" s="1119"/>
      <c r="AO8" s="1119"/>
      <c r="AP8" s="1120"/>
      <c r="AR8" s="510"/>
    </row>
    <row r="9" spans="1:44" s="2" customFormat="1" x14ac:dyDescent="0.2">
      <c r="A9" s="1099"/>
      <c r="B9" s="1086"/>
      <c r="C9" s="1101"/>
      <c r="D9" s="1086"/>
      <c r="E9" s="1086"/>
      <c r="F9" s="1086"/>
      <c r="G9" s="1090" t="s">
        <v>632</v>
      </c>
      <c r="H9" s="1094" t="s">
        <v>395</v>
      </c>
      <c r="I9" s="1094" t="s">
        <v>16</v>
      </c>
      <c r="J9" s="1088" t="s">
        <v>638</v>
      </c>
      <c r="K9" s="1088" t="s">
        <v>637</v>
      </c>
      <c r="L9" s="1094" t="s">
        <v>18</v>
      </c>
      <c r="M9" s="293" t="s">
        <v>396</v>
      </c>
      <c r="N9" s="294" t="s">
        <v>360</v>
      </c>
      <c r="O9" s="294" t="s">
        <v>19</v>
      </c>
      <c r="P9" s="295" t="s">
        <v>649</v>
      </c>
      <c r="Q9" s="614" t="s">
        <v>4</v>
      </c>
      <c r="R9" s="1124"/>
      <c r="V9" s="730"/>
      <c r="W9" s="731"/>
      <c r="X9" s="731"/>
      <c r="Y9" s="731"/>
      <c r="Z9" s="731"/>
      <c r="AA9" s="731"/>
      <c r="AB9" s="731"/>
      <c r="AC9" s="731"/>
      <c r="AD9" s="731"/>
      <c r="AE9" s="732"/>
      <c r="AG9" s="730"/>
      <c r="AH9" s="731"/>
      <c r="AI9" s="731"/>
      <c r="AJ9" s="731"/>
      <c r="AK9" s="731"/>
      <c r="AL9" s="731"/>
      <c r="AM9" s="731"/>
      <c r="AN9" s="731"/>
      <c r="AO9" s="731"/>
      <c r="AP9" s="732"/>
      <c r="AR9" s="510"/>
    </row>
    <row r="10" spans="1:44" s="2" customFormat="1" ht="39" customHeight="1" thickBot="1" x14ac:dyDescent="0.25">
      <c r="A10" s="1100"/>
      <c r="B10" s="1087"/>
      <c r="C10" s="1102"/>
      <c r="D10" s="1087"/>
      <c r="E10" s="1087"/>
      <c r="F10" s="1087"/>
      <c r="G10" s="1091"/>
      <c r="H10" s="1095"/>
      <c r="I10" s="1095"/>
      <c r="J10" s="1117"/>
      <c r="K10" s="1089"/>
      <c r="L10" s="1095"/>
      <c r="M10" s="296">
        <v>7.7499999999999999E-2</v>
      </c>
      <c r="N10" s="128">
        <v>0.06</v>
      </c>
      <c r="O10" s="128">
        <v>7.4999999999999997E-2</v>
      </c>
      <c r="P10" s="581">
        <v>0.01</v>
      </c>
      <c r="Q10" s="248"/>
      <c r="R10" s="1095"/>
      <c r="S10" s="723"/>
      <c r="T10" s="723"/>
      <c r="U10" s="723"/>
      <c r="V10" s="733" t="s">
        <v>653</v>
      </c>
      <c r="W10" s="743" t="s">
        <v>392</v>
      </c>
      <c r="X10" s="747" t="s">
        <v>680</v>
      </c>
      <c r="Y10" s="747" t="s">
        <v>680</v>
      </c>
      <c r="Z10" s="743" t="s">
        <v>19</v>
      </c>
      <c r="AA10" s="743" t="s">
        <v>360</v>
      </c>
      <c r="AB10" s="743" t="s">
        <v>652</v>
      </c>
      <c r="AC10" s="743" t="s">
        <v>649</v>
      </c>
      <c r="AD10" s="802" t="s">
        <v>670</v>
      </c>
      <c r="AE10" s="744" t="s">
        <v>25</v>
      </c>
      <c r="AG10" s="733" t="s">
        <v>653</v>
      </c>
      <c r="AH10" s="743" t="s">
        <v>392</v>
      </c>
      <c r="AI10" s="747" t="s">
        <v>680</v>
      </c>
      <c r="AJ10" s="747" t="s">
        <v>680</v>
      </c>
      <c r="AK10" s="743" t="s">
        <v>19</v>
      </c>
      <c r="AL10" s="743" t="s">
        <v>360</v>
      </c>
      <c r="AM10" s="743" t="s">
        <v>652</v>
      </c>
      <c r="AN10" s="743" t="s">
        <v>649</v>
      </c>
      <c r="AO10" s="802" t="s">
        <v>670</v>
      </c>
      <c r="AP10" s="744" t="s">
        <v>25</v>
      </c>
      <c r="AR10" s="510"/>
    </row>
    <row r="11" spans="1:44" s="2" customFormat="1" x14ac:dyDescent="0.2">
      <c r="A11" s="129">
        <v>1</v>
      </c>
      <c r="B11" s="100" t="s">
        <v>397</v>
      </c>
      <c r="C11" s="259" t="s">
        <v>570</v>
      </c>
      <c r="D11" s="260">
        <v>1</v>
      </c>
      <c r="E11" s="261" t="s">
        <v>20</v>
      </c>
      <c r="F11" s="261" t="s">
        <v>20</v>
      </c>
      <c r="G11" s="605">
        <v>2700</v>
      </c>
      <c r="H11" s="622">
        <f>D11*G11</f>
        <v>2700</v>
      </c>
      <c r="I11" s="262">
        <f>H11*D11*12</f>
        <v>32400</v>
      </c>
      <c r="J11" s="262">
        <f>100*D11</f>
        <v>100</v>
      </c>
      <c r="K11" s="262">
        <v>0</v>
      </c>
      <c r="L11" s="262">
        <f>H11</f>
        <v>2700</v>
      </c>
      <c r="M11" s="823">
        <f>ROUND(I11*$M$10,2)</f>
        <v>2511</v>
      </c>
      <c r="N11" s="262">
        <v>0</v>
      </c>
      <c r="O11" s="262">
        <f t="shared" ref="O11:O24" si="0">ROUND((IF(H11&gt;1000,1000*$O$10*12,H11*$O$10*12)),2)</f>
        <v>900</v>
      </c>
      <c r="P11" s="262">
        <f>ROUND(((1000*12)*P$10),2)</f>
        <v>120</v>
      </c>
      <c r="Q11" s="262">
        <f>SUM(M11:P11)</f>
        <v>3531</v>
      </c>
      <c r="R11" s="252">
        <f>I11+J11+K11+L11+Q11</f>
        <v>38731</v>
      </c>
      <c r="S11" s="103"/>
      <c r="T11" s="103"/>
      <c r="U11" s="103"/>
      <c r="V11" s="746" t="s">
        <v>314</v>
      </c>
      <c r="W11" s="262">
        <f>H11*V11</f>
        <v>10800</v>
      </c>
      <c r="X11" s="262"/>
      <c r="Y11" s="262"/>
      <c r="Z11" s="262">
        <f t="shared" ref="Z11:Z17" si="1">ROUND(((O11/12)*V11),2)</f>
        <v>300</v>
      </c>
      <c r="AA11" s="262">
        <f>(N11/12)*V11</f>
        <v>0</v>
      </c>
      <c r="AB11" s="262">
        <f>ROUND(((M11/12)*V11),2)</f>
        <v>837</v>
      </c>
      <c r="AC11" s="262">
        <f t="shared" ref="AC11:AC17" si="2">ROUND(((P11/12)*V11),2)</f>
        <v>40</v>
      </c>
      <c r="AD11" s="262">
        <f>L11</f>
        <v>2700</v>
      </c>
      <c r="AE11" s="262">
        <f>SUM(W11:AD11)</f>
        <v>14677</v>
      </c>
      <c r="AG11" s="726">
        <f>12-V11</f>
        <v>8</v>
      </c>
      <c r="AH11" s="262">
        <f>H11*AG11</f>
        <v>21600</v>
      </c>
      <c r="AI11" s="262">
        <f>J11</f>
        <v>100</v>
      </c>
      <c r="AJ11" s="262"/>
      <c r="AK11" s="262">
        <f t="shared" ref="AK11:AK17" si="3">ROUND(((O11/12)*AG11),2)</f>
        <v>600</v>
      </c>
      <c r="AL11" s="262">
        <f>(N11/12)*AG11</f>
        <v>0</v>
      </c>
      <c r="AM11" s="262">
        <f>ROUND(((M11/12)*AG11),2)</f>
        <v>1674</v>
      </c>
      <c r="AN11" s="262">
        <f t="shared" ref="AN11:AN17" si="4">ROUND(((P11/12)*AG11),2)</f>
        <v>80</v>
      </c>
      <c r="AO11" s="262"/>
      <c r="AP11" s="262">
        <f t="shared" ref="AP11:AP24" si="5">SUM(AH11:AN11)</f>
        <v>24054</v>
      </c>
      <c r="AR11" s="745">
        <f t="shared" ref="AR11:AR42" si="6">AB11+AM11-M11</f>
        <v>0</v>
      </c>
    </row>
    <row r="12" spans="1:44" s="131" customFormat="1" ht="12.75" customHeight="1" x14ac:dyDescent="0.2">
      <c r="A12" s="129"/>
      <c r="B12" s="186" t="s">
        <v>432</v>
      </c>
      <c r="C12" s="263" t="s">
        <v>570</v>
      </c>
      <c r="D12" s="264">
        <v>1</v>
      </c>
      <c r="E12" s="265" t="s">
        <v>20</v>
      </c>
      <c r="F12" s="265" t="s">
        <v>20</v>
      </c>
      <c r="G12" s="606">
        <v>450</v>
      </c>
      <c r="H12" s="623">
        <f t="shared" ref="H12:H24" si="7">D12*G12</f>
        <v>450</v>
      </c>
      <c r="I12" s="266">
        <f>H12*D12*12</f>
        <v>5400</v>
      </c>
      <c r="J12" s="266">
        <f t="shared" ref="J12:J17" si="8">100*D12</f>
        <v>100</v>
      </c>
      <c r="K12" s="266">
        <v>0</v>
      </c>
      <c r="L12" s="267">
        <f>H12</f>
        <v>450</v>
      </c>
      <c r="M12" s="824">
        <f t="shared" ref="M12" si="9">ROUND(I12*$M$10,2)</f>
        <v>418.5</v>
      </c>
      <c r="N12" s="268">
        <v>0</v>
      </c>
      <c r="O12" s="267">
        <f t="shared" si="0"/>
        <v>405</v>
      </c>
      <c r="P12" s="267">
        <f t="shared" ref="P12:P24" si="10">ROUND(((I12+K12)*P$10),2)</f>
        <v>54</v>
      </c>
      <c r="Q12" s="267">
        <f>SUM(M12:P12)</f>
        <v>877.5</v>
      </c>
      <c r="R12" s="252">
        <f t="shared" ref="R12:R17" si="11">I12+J12+K12+L12+Q12</f>
        <v>6827.5</v>
      </c>
      <c r="S12" s="103"/>
      <c r="T12" s="103"/>
      <c r="U12" s="103"/>
      <c r="V12" s="728" t="s">
        <v>314</v>
      </c>
      <c r="W12" s="267">
        <f t="shared" ref="W12:W24" si="12">H12*V12</f>
        <v>1800</v>
      </c>
      <c r="X12" s="267"/>
      <c r="Y12" s="267"/>
      <c r="Z12" s="267">
        <f t="shared" si="1"/>
        <v>135</v>
      </c>
      <c r="AA12" s="267">
        <f t="shared" ref="AA12:AA75" si="13">(N12/12)*V12</f>
        <v>0</v>
      </c>
      <c r="AB12" s="267">
        <f t="shared" ref="AB12:AB24" si="14">ROUND(((M12/12)*V12),2)</f>
        <v>139.5</v>
      </c>
      <c r="AC12" s="267">
        <f t="shared" si="2"/>
        <v>18</v>
      </c>
      <c r="AD12" s="267">
        <f t="shared" ref="AD12:AD24" si="15">L12</f>
        <v>450</v>
      </c>
      <c r="AE12" s="267">
        <f t="shared" ref="AE12:AE24" si="16">SUM(W12:AD12)</f>
        <v>2542.5</v>
      </c>
      <c r="AG12" s="727">
        <f t="shared" ref="AG12:AG24" si="17">12-V12</f>
        <v>8</v>
      </c>
      <c r="AH12" s="267">
        <f t="shared" ref="AH12:AH24" si="18">H12*AG12</f>
        <v>3600</v>
      </c>
      <c r="AI12" s="267">
        <f t="shared" ref="AI12:AI24" si="19">J12</f>
        <v>100</v>
      </c>
      <c r="AJ12" s="267"/>
      <c r="AK12" s="267">
        <f t="shared" si="3"/>
        <v>270</v>
      </c>
      <c r="AL12" s="267">
        <f t="shared" ref="AL12:AL24" si="20">(N12/12)*AG12</f>
        <v>0</v>
      </c>
      <c r="AM12" s="267">
        <f t="shared" ref="AM12:AM24" si="21">ROUND(((M12/12)*AG12),2)</f>
        <v>279</v>
      </c>
      <c r="AN12" s="267">
        <f t="shared" si="4"/>
        <v>36</v>
      </c>
      <c r="AO12" s="267"/>
      <c r="AP12" s="267">
        <f t="shared" si="5"/>
        <v>4285</v>
      </c>
      <c r="AR12" s="745">
        <f t="shared" si="6"/>
        <v>0</v>
      </c>
    </row>
    <row r="13" spans="1:44" s="2" customFormat="1" x14ac:dyDescent="0.2">
      <c r="A13" s="129">
        <v>2</v>
      </c>
      <c r="B13" s="100" t="s">
        <v>398</v>
      </c>
      <c r="C13" s="263" t="s">
        <v>571</v>
      </c>
      <c r="D13" s="264">
        <v>1</v>
      </c>
      <c r="E13" s="265" t="s">
        <v>20</v>
      </c>
      <c r="F13" s="265" t="s">
        <v>20</v>
      </c>
      <c r="G13" s="606">
        <v>950</v>
      </c>
      <c r="H13" s="623">
        <f t="shared" si="7"/>
        <v>950</v>
      </c>
      <c r="I13" s="267">
        <f t="shared" ref="I13:I17" si="22">H13*D13*12</f>
        <v>11400</v>
      </c>
      <c r="J13" s="267">
        <f t="shared" si="8"/>
        <v>100</v>
      </c>
      <c r="K13" s="267">
        <v>0</v>
      </c>
      <c r="L13" s="267">
        <f t="shared" ref="L13:L17" si="23">H13</f>
        <v>950</v>
      </c>
      <c r="M13" s="824">
        <v>0</v>
      </c>
      <c r="N13" s="267">
        <v>0</v>
      </c>
      <c r="O13" s="267">
        <f t="shared" si="0"/>
        <v>855</v>
      </c>
      <c r="P13" s="267">
        <f t="shared" si="10"/>
        <v>114</v>
      </c>
      <c r="Q13" s="267">
        <f>SUM(M13:P13)</f>
        <v>969</v>
      </c>
      <c r="R13" s="252">
        <f t="shared" si="11"/>
        <v>13419</v>
      </c>
      <c r="S13" s="103"/>
      <c r="T13" s="103"/>
      <c r="U13" s="103"/>
      <c r="V13" s="728" t="s">
        <v>314</v>
      </c>
      <c r="W13" s="267">
        <f t="shared" si="12"/>
        <v>3800</v>
      </c>
      <c r="X13" s="267"/>
      <c r="Y13" s="267"/>
      <c r="Z13" s="267">
        <f t="shared" si="1"/>
        <v>285</v>
      </c>
      <c r="AA13" s="267">
        <f t="shared" si="13"/>
        <v>0</v>
      </c>
      <c r="AB13" s="267">
        <f t="shared" si="14"/>
        <v>0</v>
      </c>
      <c r="AC13" s="267">
        <f t="shared" si="2"/>
        <v>38</v>
      </c>
      <c r="AD13" s="267">
        <f t="shared" si="15"/>
        <v>950</v>
      </c>
      <c r="AE13" s="267">
        <f t="shared" si="16"/>
        <v>5073</v>
      </c>
      <c r="AG13" s="727">
        <f t="shared" si="17"/>
        <v>8</v>
      </c>
      <c r="AH13" s="267">
        <f t="shared" si="18"/>
        <v>7600</v>
      </c>
      <c r="AI13" s="267">
        <f t="shared" si="19"/>
        <v>100</v>
      </c>
      <c r="AJ13" s="267"/>
      <c r="AK13" s="267">
        <f t="shared" si="3"/>
        <v>570</v>
      </c>
      <c r="AL13" s="267">
        <f t="shared" si="20"/>
        <v>0</v>
      </c>
      <c r="AM13" s="267">
        <f t="shared" si="21"/>
        <v>0</v>
      </c>
      <c r="AN13" s="267">
        <f t="shared" si="4"/>
        <v>76</v>
      </c>
      <c r="AO13" s="267"/>
      <c r="AP13" s="267">
        <f t="shared" si="5"/>
        <v>8346</v>
      </c>
      <c r="AR13" s="745">
        <f t="shared" si="6"/>
        <v>0</v>
      </c>
    </row>
    <row r="14" spans="1:44" s="131" customFormat="1" x14ac:dyDescent="0.2">
      <c r="A14" s="129"/>
      <c r="B14" s="100" t="s">
        <v>362</v>
      </c>
      <c r="C14" s="263" t="s">
        <v>572</v>
      </c>
      <c r="D14" s="264">
        <v>1</v>
      </c>
      <c r="E14" s="265" t="s">
        <v>20</v>
      </c>
      <c r="F14" s="265" t="s">
        <v>20</v>
      </c>
      <c r="G14" s="606">
        <v>750</v>
      </c>
      <c r="H14" s="623">
        <f t="shared" si="7"/>
        <v>750</v>
      </c>
      <c r="I14" s="267">
        <f t="shared" si="22"/>
        <v>9000</v>
      </c>
      <c r="J14" s="267">
        <f t="shared" si="8"/>
        <v>100</v>
      </c>
      <c r="K14" s="267">
        <v>0</v>
      </c>
      <c r="L14" s="267">
        <f t="shared" si="23"/>
        <v>750</v>
      </c>
      <c r="M14" s="824">
        <f t="shared" ref="M14:M17" si="24">ROUND(I14*$M$10,2)</f>
        <v>697.5</v>
      </c>
      <c r="N14" s="267">
        <v>0</v>
      </c>
      <c r="O14" s="267">
        <f t="shared" si="0"/>
        <v>675</v>
      </c>
      <c r="P14" s="267">
        <f t="shared" si="10"/>
        <v>90</v>
      </c>
      <c r="Q14" s="267">
        <f t="shared" ref="Q14:Q17" si="25">SUM(M14:P14)</f>
        <v>1462.5</v>
      </c>
      <c r="R14" s="252">
        <f t="shared" si="11"/>
        <v>11312.5</v>
      </c>
      <c r="S14" s="103"/>
      <c r="T14" s="103"/>
      <c r="U14" s="103"/>
      <c r="V14" s="728" t="s">
        <v>314</v>
      </c>
      <c r="W14" s="267">
        <f t="shared" si="12"/>
        <v>3000</v>
      </c>
      <c r="X14" s="267"/>
      <c r="Y14" s="267"/>
      <c r="Z14" s="267">
        <f t="shared" si="1"/>
        <v>225</v>
      </c>
      <c r="AA14" s="267">
        <f t="shared" si="13"/>
        <v>0</v>
      </c>
      <c r="AB14" s="267">
        <f t="shared" si="14"/>
        <v>232.5</v>
      </c>
      <c r="AC14" s="267">
        <f t="shared" si="2"/>
        <v>30</v>
      </c>
      <c r="AD14" s="267">
        <f t="shared" si="15"/>
        <v>750</v>
      </c>
      <c r="AE14" s="267">
        <f t="shared" si="16"/>
        <v>4237.5</v>
      </c>
      <c r="AG14" s="727">
        <f t="shared" si="17"/>
        <v>8</v>
      </c>
      <c r="AH14" s="267">
        <f t="shared" si="18"/>
        <v>6000</v>
      </c>
      <c r="AI14" s="267">
        <f t="shared" si="19"/>
        <v>100</v>
      </c>
      <c r="AJ14" s="267"/>
      <c r="AK14" s="267">
        <f t="shared" si="3"/>
        <v>450</v>
      </c>
      <c r="AL14" s="267">
        <f t="shared" si="20"/>
        <v>0</v>
      </c>
      <c r="AM14" s="267">
        <f t="shared" si="21"/>
        <v>465</v>
      </c>
      <c r="AN14" s="267">
        <f t="shared" si="4"/>
        <v>60</v>
      </c>
      <c r="AO14" s="267"/>
      <c r="AP14" s="267">
        <f t="shared" si="5"/>
        <v>7075</v>
      </c>
      <c r="AR14" s="745">
        <f t="shared" si="6"/>
        <v>0</v>
      </c>
    </row>
    <row r="15" spans="1:44" s="2" customFormat="1" x14ac:dyDescent="0.2">
      <c r="A15" s="129">
        <v>3</v>
      </c>
      <c r="B15" s="100" t="s">
        <v>443</v>
      </c>
      <c r="C15" s="263" t="s">
        <v>573</v>
      </c>
      <c r="D15" s="264">
        <v>1</v>
      </c>
      <c r="E15" s="265" t="s">
        <v>20</v>
      </c>
      <c r="F15" s="265" t="s">
        <v>20</v>
      </c>
      <c r="G15" s="606">
        <v>750</v>
      </c>
      <c r="H15" s="623">
        <f t="shared" si="7"/>
        <v>750</v>
      </c>
      <c r="I15" s="267">
        <f t="shared" si="22"/>
        <v>9000</v>
      </c>
      <c r="J15" s="267">
        <f t="shared" si="8"/>
        <v>100</v>
      </c>
      <c r="K15" s="267">
        <v>0</v>
      </c>
      <c r="L15" s="267">
        <f t="shared" si="23"/>
        <v>750</v>
      </c>
      <c r="M15" s="824">
        <f t="shared" si="24"/>
        <v>697.5</v>
      </c>
      <c r="N15" s="267">
        <v>0</v>
      </c>
      <c r="O15" s="267">
        <f t="shared" si="0"/>
        <v>675</v>
      </c>
      <c r="P15" s="267">
        <f t="shared" si="10"/>
        <v>90</v>
      </c>
      <c r="Q15" s="267">
        <f t="shared" si="25"/>
        <v>1462.5</v>
      </c>
      <c r="R15" s="252">
        <f t="shared" si="11"/>
        <v>11312.5</v>
      </c>
      <c r="S15" s="103"/>
      <c r="T15" s="103"/>
      <c r="U15" s="103"/>
      <c r="V15" s="728" t="s">
        <v>314</v>
      </c>
      <c r="W15" s="267">
        <f t="shared" si="12"/>
        <v>3000</v>
      </c>
      <c r="X15" s="267"/>
      <c r="Y15" s="267"/>
      <c r="Z15" s="267">
        <f t="shared" si="1"/>
        <v>225</v>
      </c>
      <c r="AA15" s="267">
        <f t="shared" si="13"/>
        <v>0</v>
      </c>
      <c r="AB15" s="267">
        <f t="shared" si="14"/>
        <v>232.5</v>
      </c>
      <c r="AC15" s="267">
        <f t="shared" si="2"/>
        <v>30</v>
      </c>
      <c r="AD15" s="267">
        <f t="shared" si="15"/>
        <v>750</v>
      </c>
      <c r="AE15" s="267">
        <f t="shared" si="16"/>
        <v>4237.5</v>
      </c>
      <c r="AG15" s="727">
        <f t="shared" si="17"/>
        <v>8</v>
      </c>
      <c r="AH15" s="267">
        <f t="shared" si="18"/>
        <v>6000</v>
      </c>
      <c r="AI15" s="267">
        <f t="shared" si="19"/>
        <v>100</v>
      </c>
      <c r="AJ15" s="267"/>
      <c r="AK15" s="267">
        <f t="shared" si="3"/>
        <v>450</v>
      </c>
      <c r="AL15" s="267">
        <f t="shared" si="20"/>
        <v>0</v>
      </c>
      <c r="AM15" s="267">
        <f t="shared" si="21"/>
        <v>465</v>
      </c>
      <c r="AN15" s="267">
        <f t="shared" si="4"/>
        <v>60</v>
      </c>
      <c r="AO15" s="267"/>
      <c r="AP15" s="267">
        <f t="shared" si="5"/>
        <v>7075</v>
      </c>
      <c r="AR15" s="745">
        <f t="shared" si="6"/>
        <v>0</v>
      </c>
    </row>
    <row r="16" spans="1:44" s="131" customFormat="1" ht="12.75" customHeight="1" x14ac:dyDescent="0.2">
      <c r="A16" s="129"/>
      <c r="B16" s="186" t="s">
        <v>627</v>
      </c>
      <c r="C16" s="263" t="s">
        <v>605</v>
      </c>
      <c r="D16" s="264">
        <v>1</v>
      </c>
      <c r="E16" s="265" t="s">
        <v>20</v>
      </c>
      <c r="F16" s="265" t="s">
        <v>20</v>
      </c>
      <c r="G16" s="606">
        <v>550</v>
      </c>
      <c r="H16" s="623">
        <f t="shared" si="7"/>
        <v>550</v>
      </c>
      <c r="I16" s="266">
        <f>H16*D16*12</f>
        <v>6600</v>
      </c>
      <c r="J16" s="266">
        <f t="shared" si="8"/>
        <v>100</v>
      </c>
      <c r="K16" s="266">
        <v>0</v>
      </c>
      <c r="L16" s="267">
        <f t="shared" ref="L16" si="26">H16</f>
        <v>550</v>
      </c>
      <c r="M16" s="824">
        <f>ROUND(I16*$M$10,2)</f>
        <v>511.5</v>
      </c>
      <c r="N16" s="268">
        <v>0</v>
      </c>
      <c r="O16" s="267">
        <f t="shared" si="0"/>
        <v>495</v>
      </c>
      <c r="P16" s="267">
        <f t="shared" si="10"/>
        <v>66</v>
      </c>
      <c r="Q16" s="267">
        <f t="shared" si="25"/>
        <v>1072.5</v>
      </c>
      <c r="R16" s="252">
        <f t="shared" si="11"/>
        <v>8322.5</v>
      </c>
      <c r="S16" s="103"/>
      <c r="T16" s="103"/>
      <c r="U16" s="103"/>
      <c r="V16" s="728" t="s">
        <v>314</v>
      </c>
      <c r="W16" s="267">
        <f t="shared" si="12"/>
        <v>2200</v>
      </c>
      <c r="X16" s="267"/>
      <c r="Y16" s="267"/>
      <c r="Z16" s="267">
        <f t="shared" si="1"/>
        <v>165</v>
      </c>
      <c r="AA16" s="267">
        <f t="shared" si="13"/>
        <v>0</v>
      </c>
      <c r="AB16" s="267">
        <f t="shared" si="14"/>
        <v>170.5</v>
      </c>
      <c r="AC16" s="267">
        <f t="shared" si="2"/>
        <v>22</v>
      </c>
      <c r="AD16" s="267">
        <f t="shared" si="15"/>
        <v>550</v>
      </c>
      <c r="AE16" s="267">
        <f t="shared" si="16"/>
        <v>3107.5</v>
      </c>
      <c r="AG16" s="727">
        <f t="shared" si="17"/>
        <v>8</v>
      </c>
      <c r="AH16" s="267">
        <f t="shared" si="18"/>
        <v>4400</v>
      </c>
      <c r="AI16" s="267">
        <f t="shared" si="19"/>
        <v>100</v>
      </c>
      <c r="AJ16" s="267"/>
      <c r="AK16" s="267">
        <f t="shared" si="3"/>
        <v>330</v>
      </c>
      <c r="AL16" s="267">
        <f t="shared" si="20"/>
        <v>0</v>
      </c>
      <c r="AM16" s="267">
        <f t="shared" si="21"/>
        <v>341</v>
      </c>
      <c r="AN16" s="267">
        <f t="shared" si="4"/>
        <v>44</v>
      </c>
      <c r="AO16" s="267"/>
      <c r="AP16" s="267">
        <f>SUM(AH16:AN16)</f>
        <v>5215</v>
      </c>
      <c r="AR16" s="745">
        <f t="shared" si="6"/>
        <v>0</v>
      </c>
    </row>
    <row r="17" spans="1:44" s="131" customFormat="1" ht="12.75" customHeight="1" x14ac:dyDescent="0.2">
      <c r="A17" s="129"/>
      <c r="B17" s="186" t="s">
        <v>444</v>
      </c>
      <c r="C17" s="263" t="s">
        <v>574</v>
      </c>
      <c r="D17" s="264">
        <v>1</v>
      </c>
      <c r="E17" s="265" t="s">
        <v>20</v>
      </c>
      <c r="F17" s="265" t="s">
        <v>20</v>
      </c>
      <c r="G17" s="606">
        <v>300</v>
      </c>
      <c r="H17" s="623">
        <f t="shared" si="7"/>
        <v>300</v>
      </c>
      <c r="I17" s="279">
        <f t="shared" si="22"/>
        <v>3600</v>
      </c>
      <c r="J17" s="267">
        <f t="shared" si="8"/>
        <v>100</v>
      </c>
      <c r="K17" s="267">
        <v>0</v>
      </c>
      <c r="L17" s="267">
        <f t="shared" si="23"/>
        <v>300</v>
      </c>
      <c r="M17" s="824">
        <f t="shared" si="24"/>
        <v>279</v>
      </c>
      <c r="N17" s="268">
        <v>0</v>
      </c>
      <c r="O17" s="267">
        <f t="shared" si="0"/>
        <v>270</v>
      </c>
      <c r="P17" s="267">
        <f t="shared" si="10"/>
        <v>36</v>
      </c>
      <c r="Q17" s="267">
        <f t="shared" si="25"/>
        <v>585</v>
      </c>
      <c r="R17" s="252">
        <f t="shared" si="11"/>
        <v>4585</v>
      </c>
      <c r="S17" s="103"/>
      <c r="T17" s="103"/>
      <c r="U17" s="103"/>
      <c r="V17" s="728" t="s">
        <v>314</v>
      </c>
      <c r="W17" s="267">
        <f t="shared" si="12"/>
        <v>1200</v>
      </c>
      <c r="X17" s="267"/>
      <c r="Y17" s="267"/>
      <c r="Z17" s="267">
        <f t="shared" si="1"/>
        <v>90</v>
      </c>
      <c r="AA17" s="267">
        <f t="shared" si="13"/>
        <v>0</v>
      </c>
      <c r="AB17" s="267">
        <f t="shared" si="14"/>
        <v>93</v>
      </c>
      <c r="AC17" s="267">
        <f t="shared" si="2"/>
        <v>12</v>
      </c>
      <c r="AD17" s="267">
        <f t="shared" si="15"/>
        <v>300</v>
      </c>
      <c r="AE17" s="267">
        <f t="shared" si="16"/>
        <v>1695</v>
      </c>
      <c r="AG17" s="727">
        <f t="shared" si="17"/>
        <v>8</v>
      </c>
      <c r="AH17" s="267">
        <f t="shared" si="18"/>
        <v>2400</v>
      </c>
      <c r="AI17" s="267">
        <f t="shared" si="19"/>
        <v>100</v>
      </c>
      <c r="AJ17" s="267"/>
      <c r="AK17" s="267">
        <f t="shared" si="3"/>
        <v>180</v>
      </c>
      <c r="AL17" s="267">
        <f t="shared" si="20"/>
        <v>0</v>
      </c>
      <c r="AM17" s="267">
        <f t="shared" si="21"/>
        <v>186</v>
      </c>
      <c r="AN17" s="267">
        <f t="shared" si="4"/>
        <v>24</v>
      </c>
      <c r="AO17" s="267"/>
      <c r="AP17" s="267">
        <f t="shared" si="5"/>
        <v>2890</v>
      </c>
      <c r="AR17" s="745">
        <f t="shared" si="6"/>
        <v>0</v>
      </c>
    </row>
    <row r="18" spans="1:44" s="2" customFormat="1" ht="13.5" thickBot="1" x14ac:dyDescent="0.25">
      <c r="A18" s="132"/>
      <c r="B18" s="142" t="s">
        <v>399</v>
      </c>
      <c r="C18" s="269"/>
      <c r="D18" s="270">
        <f>SUM(D11:D17)</f>
        <v>7</v>
      </c>
      <c r="E18" s="271"/>
      <c r="F18" s="271"/>
      <c r="G18" s="271"/>
      <c r="H18" s="272">
        <f t="shared" ref="H18:M18" si="27">SUM(H11:H17)</f>
        <v>6450</v>
      </c>
      <c r="I18" s="272">
        <f t="shared" si="27"/>
        <v>77400</v>
      </c>
      <c r="J18" s="272">
        <f t="shared" si="27"/>
        <v>700</v>
      </c>
      <c r="K18" s="272">
        <f t="shared" si="27"/>
        <v>0</v>
      </c>
      <c r="L18" s="272">
        <f t="shared" si="27"/>
        <v>6450</v>
      </c>
      <c r="M18" s="825">
        <f t="shared" si="27"/>
        <v>5115</v>
      </c>
      <c r="N18" s="272">
        <f>SUM(N11:N15)</f>
        <v>0</v>
      </c>
      <c r="O18" s="272">
        <f>SUM(O11:O17)</f>
        <v>4275</v>
      </c>
      <c r="P18" s="272">
        <f>SUM(P11:P17)</f>
        <v>570</v>
      </c>
      <c r="Q18" s="272">
        <f>SUM(Q11:Q17)</f>
        <v>9960</v>
      </c>
      <c r="R18" s="134">
        <f>SUM(R11:R17)</f>
        <v>94510</v>
      </c>
      <c r="S18" s="103"/>
      <c r="T18" s="103"/>
      <c r="U18" s="103"/>
      <c r="V18" s="737"/>
      <c r="W18" s="737">
        <f t="shared" ref="W18:AC18" si="28">SUM(W11:W17)</f>
        <v>25800</v>
      </c>
      <c r="X18" s="737"/>
      <c r="Y18" s="737"/>
      <c r="Z18" s="737">
        <f t="shared" si="28"/>
        <v>1425</v>
      </c>
      <c r="AA18" s="737">
        <f t="shared" si="28"/>
        <v>0</v>
      </c>
      <c r="AB18" s="737">
        <f t="shared" si="28"/>
        <v>1705</v>
      </c>
      <c r="AC18" s="737">
        <f t="shared" si="28"/>
        <v>190</v>
      </c>
      <c r="AD18" s="737">
        <f>SUM(AD11:AD17)</f>
        <v>6450</v>
      </c>
      <c r="AE18" s="737">
        <f>SUM(AE11:AE17)</f>
        <v>35570</v>
      </c>
      <c r="AG18" s="737"/>
      <c r="AH18" s="737">
        <f t="shared" ref="AH18:AI18" si="29">SUM(AH11:AH17)</f>
        <v>51600</v>
      </c>
      <c r="AI18" s="737">
        <f t="shared" si="29"/>
        <v>700</v>
      </c>
      <c r="AJ18" s="737"/>
      <c r="AK18" s="737">
        <f t="shared" ref="AK18" si="30">SUM(AK11:AK17)</f>
        <v>2850</v>
      </c>
      <c r="AL18" s="737">
        <f t="shared" ref="AL18" si="31">SUM(AL11:AL17)</f>
        <v>0</v>
      </c>
      <c r="AM18" s="737">
        <f t="shared" ref="AM18" si="32">SUM(AM11:AM17)</f>
        <v>3410</v>
      </c>
      <c r="AN18" s="737">
        <f t="shared" ref="AN18" si="33">SUM(AN11:AN17)</f>
        <v>380</v>
      </c>
      <c r="AO18" s="737"/>
      <c r="AP18" s="737">
        <f>SUM(AP11:AP17)</f>
        <v>58940</v>
      </c>
      <c r="AR18" s="745">
        <f t="shared" si="6"/>
        <v>0</v>
      </c>
    </row>
    <row r="19" spans="1:44" s="2" customFormat="1" ht="13.5" thickTop="1" x14ac:dyDescent="0.2">
      <c r="A19" s="129">
        <v>11</v>
      </c>
      <c r="B19" s="100" t="s">
        <v>364</v>
      </c>
      <c r="C19" s="263" t="s">
        <v>575</v>
      </c>
      <c r="D19" s="264">
        <v>1</v>
      </c>
      <c r="E19" s="265" t="s">
        <v>21</v>
      </c>
      <c r="F19" s="265" t="s">
        <v>21</v>
      </c>
      <c r="G19" s="606">
        <v>750</v>
      </c>
      <c r="H19" s="623">
        <f>D19*G19</f>
        <v>750</v>
      </c>
      <c r="I19" s="267">
        <f>H19*12</f>
        <v>9000</v>
      </c>
      <c r="J19" s="267">
        <f t="shared" ref="J19:J24" si="34">100*D19</f>
        <v>100</v>
      </c>
      <c r="K19" s="267">
        <v>0</v>
      </c>
      <c r="L19" s="267">
        <f>H19</f>
        <v>750</v>
      </c>
      <c r="M19" s="824">
        <f>ROUND(I19*$M$10,2)</f>
        <v>697.5</v>
      </c>
      <c r="N19" s="267">
        <v>0</v>
      </c>
      <c r="O19" s="267">
        <f t="shared" si="0"/>
        <v>675</v>
      </c>
      <c r="P19" s="267">
        <f t="shared" si="10"/>
        <v>90</v>
      </c>
      <c r="Q19" s="267">
        <f t="shared" ref="Q19:Q24" si="35">SUM(M19:P19)</f>
        <v>1462.5</v>
      </c>
      <c r="R19" s="252">
        <f t="shared" ref="R19:R24" si="36">I19+J19+K19+L19+Q19</f>
        <v>11312.5</v>
      </c>
      <c r="S19" s="103"/>
      <c r="T19" s="103"/>
      <c r="U19" s="103"/>
      <c r="V19" s="728" t="s">
        <v>314</v>
      </c>
      <c r="W19" s="267">
        <f t="shared" si="12"/>
        <v>3000</v>
      </c>
      <c r="X19" s="267"/>
      <c r="Y19" s="267"/>
      <c r="Z19" s="267">
        <f t="shared" ref="Z19:Z24" si="37">ROUND(((O19/12)*V19),2)</f>
        <v>225</v>
      </c>
      <c r="AA19" s="267">
        <f t="shared" si="13"/>
        <v>0</v>
      </c>
      <c r="AB19" s="267">
        <f t="shared" si="14"/>
        <v>232.5</v>
      </c>
      <c r="AC19" s="267">
        <f t="shared" ref="AC19:AC24" si="38">ROUND(((P19/12)*V19),2)</f>
        <v>30</v>
      </c>
      <c r="AD19" s="267">
        <f t="shared" si="15"/>
        <v>750</v>
      </c>
      <c r="AE19" s="267">
        <f t="shared" si="16"/>
        <v>4237.5</v>
      </c>
      <c r="AG19" s="728">
        <f t="shared" si="17"/>
        <v>8</v>
      </c>
      <c r="AH19" s="267">
        <f t="shared" si="18"/>
        <v>6000</v>
      </c>
      <c r="AI19" s="267">
        <f t="shared" si="19"/>
        <v>100</v>
      </c>
      <c r="AJ19" s="267"/>
      <c r="AK19" s="267">
        <f t="shared" ref="AK19:AK24" si="39">ROUND(((O19/12)*AG19),2)</f>
        <v>450</v>
      </c>
      <c r="AL19" s="267">
        <f t="shared" si="20"/>
        <v>0</v>
      </c>
      <c r="AM19" s="267">
        <f t="shared" si="21"/>
        <v>465</v>
      </c>
      <c r="AN19" s="267">
        <f t="shared" ref="AN19:AN24" si="40">ROUND(((P19/12)*AG19),2)</f>
        <v>60</v>
      </c>
      <c r="AO19" s="267"/>
      <c r="AP19" s="267">
        <f t="shared" si="5"/>
        <v>7075</v>
      </c>
      <c r="AR19" s="745">
        <f t="shared" si="6"/>
        <v>0</v>
      </c>
    </row>
    <row r="20" spans="1:44" s="2" customFormat="1" x14ac:dyDescent="0.2">
      <c r="A20" s="129">
        <v>12</v>
      </c>
      <c r="B20" s="100" t="s">
        <v>365</v>
      </c>
      <c r="C20" s="263" t="s">
        <v>576</v>
      </c>
      <c r="D20" s="264">
        <v>1</v>
      </c>
      <c r="E20" s="265" t="s">
        <v>21</v>
      </c>
      <c r="F20" s="265" t="s">
        <v>21</v>
      </c>
      <c r="G20" s="606">
        <v>650</v>
      </c>
      <c r="H20" s="623">
        <f t="shared" si="7"/>
        <v>650</v>
      </c>
      <c r="I20" s="267">
        <f t="shared" ref="I20:I24" si="41">H20*12</f>
        <v>7800</v>
      </c>
      <c r="J20" s="267">
        <f t="shared" si="34"/>
        <v>100</v>
      </c>
      <c r="K20" s="267">
        <v>0</v>
      </c>
      <c r="L20" s="267">
        <f t="shared" ref="L20:L24" si="42">H20</f>
        <v>650</v>
      </c>
      <c r="M20" s="824">
        <f>ROUND(I20*$M$10,2)</f>
        <v>604.5</v>
      </c>
      <c r="N20" s="267">
        <v>0</v>
      </c>
      <c r="O20" s="267">
        <f t="shared" si="0"/>
        <v>585</v>
      </c>
      <c r="P20" s="267">
        <f t="shared" si="10"/>
        <v>78</v>
      </c>
      <c r="Q20" s="267">
        <f t="shared" si="35"/>
        <v>1267.5</v>
      </c>
      <c r="R20" s="252">
        <f t="shared" si="36"/>
        <v>9817.5</v>
      </c>
      <c r="S20" s="103"/>
      <c r="T20" s="103"/>
      <c r="U20" s="103"/>
      <c r="V20" s="728" t="s">
        <v>314</v>
      </c>
      <c r="W20" s="267">
        <f t="shared" si="12"/>
        <v>2600</v>
      </c>
      <c r="X20" s="267"/>
      <c r="Y20" s="267"/>
      <c r="Z20" s="267">
        <f t="shared" si="37"/>
        <v>195</v>
      </c>
      <c r="AA20" s="267">
        <f t="shared" si="13"/>
        <v>0</v>
      </c>
      <c r="AB20" s="267">
        <f t="shared" si="14"/>
        <v>201.5</v>
      </c>
      <c r="AC20" s="267">
        <f t="shared" si="38"/>
        <v>26</v>
      </c>
      <c r="AD20" s="267">
        <f t="shared" si="15"/>
        <v>650</v>
      </c>
      <c r="AE20" s="267">
        <f t="shared" si="16"/>
        <v>3672.5</v>
      </c>
      <c r="AG20" s="728">
        <f t="shared" si="17"/>
        <v>8</v>
      </c>
      <c r="AH20" s="267">
        <f t="shared" si="18"/>
        <v>5200</v>
      </c>
      <c r="AI20" s="267">
        <f t="shared" si="19"/>
        <v>100</v>
      </c>
      <c r="AJ20" s="267"/>
      <c r="AK20" s="267">
        <f t="shared" si="39"/>
        <v>390</v>
      </c>
      <c r="AL20" s="267">
        <f t="shared" si="20"/>
        <v>0</v>
      </c>
      <c r="AM20" s="267">
        <f t="shared" si="21"/>
        <v>403</v>
      </c>
      <c r="AN20" s="267">
        <f t="shared" si="40"/>
        <v>52</v>
      </c>
      <c r="AO20" s="267"/>
      <c r="AP20" s="267">
        <f t="shared" si="5"/>
        <v>6145</v>
      </c>
      <c r="AR20" s="745">
        <f t="shared" si="6"/>
        <v>0</v>
      </c>
    </row>
    <row r="21" spans="1:44" s="136" customFormat="1" x14ac:dyDescent="0.2">
      <c r="A21" s="129"/>
      <c r="B21" s="620" t="s">
        <v>607</v>
      </c>
      <c r="C21" s="511" t="s">
        <v>372</v>
      </c>
      <c r="D21" s="512">
        <v>1</v>
      </c>
      <c r="E21" s="513" t="s">
        <v>21</v>
      </c>
      <c r="F21" s="513" t="s">
        <v>21</v>
      </c>
      <c r="G21" s="607">
        <v>450</v>
      </c>
      <c r="H21" s="624">
        <f t="shared" si="7"/>
        <v>450</v>
      </c>
      <c r="I21" s="514">
        <f t="shared" si="41"/>
        <v>5400</v>
      </c>
      <c r="J21" s="514">
        <f t="shared" si="34"/>
        <v>100</v>
      </c>
      <c r="K21" s="514">
        <v>0</v>
      </c>
      <c r="L21" s="514">
        <f t="shared" si="42"/>
        <v>450</v>
      </c>
      <c r="M21" s="826">
        <f t="shared" ref="M21:M24" si="43">ROUND(I21*$M$10,2)</f>
        <v>418.5</v>
      </c>
      <c r="N21" s="514">
        <v>0</v>
      </c>
      <c r="O21" s="514">
        <f t="shared" si="0"/>
        <v>405</v>
      </c>
      <c r="P21" s="514">
        <f t="shared" si="10"/>
        <v>54</v>
      </c>
      <c r="Q21" s="514">
        <f t="shared" si="35"/>
        <v>877.5</v>
      </c>
      <c r="R21" s="515">
        <f t="shared" si="36"/>
        <v>6827.5</v>
      </c>
      <c r="S21" s="135"/>
      <c r="T21" s="135"/>
      <c r="U21" s="135"/>
      <c r="V21" s="728" t="s">
        <v>314</v>
      </c>
      <c r="W21" s="514">
        <f t="shared" si="12"/>
        <v>1800</v>
      </c>
      <c r="X21" s="514"/>
      <c r="Y21" s="514"/>
      <c r="Z21" s="514">
        <f t="shared" si="37"/>
        <v>135</v>
      </c>
      <c r="AA21" s="514">
        <f t="shared" si="13"/>
        <v>0</v>
      </c>
      <c r="AB21" s="514">
        <f t="shared" si="14"/>
        <v>139.5</v>
      </c>
      <c r="AC21" s="514">
        <f t="shared" si="38"/>
        <v>18</v>
      </c>
      <c r="AD21" s="514">
        <f t="shared" si="15"/>
        <v>450</v>
      </c>
      <c r="AE21" s="514">
        <f t="shared" si="16"/>
        <v>2542.5</v>
      </c>
      <c r="AG21" s="728">
        <f t="shared" si="17"/>
        <v>8</v>
      </c>
      <c r="AH21" s="514">
        <f t="shared" si="18"/>
        <v>3600</v>
      </c>
      <c r="AI21" s="514">
        <f t="shared" si="19"/>
        <v>100</v>
      </c>
      <c r="AJ21" s="514"/>
      <c r="AK21" s="514">
        <f t="shared" si="39"/>
        <v>270</v>
      </c>
      <c r="AL21" s="514">
        <f t="shared" si="20"/>
        <v>0</v>
      </c>
      <c r="AM21" s="514">
        <f t="shared" si="21"/>
        <v>279</v>
      </c>
      <c r="AN21" s="514">
        <f t="shared" si="40"/>
        <v>36</v>
      </c>
      <c r="AO21" s="514"/>
      <c r="AP21" s="514">
        <f t="shared" si="5"/>
        <v>4285</v>
      </c>
      <c r="AR21" s="745">
        <f t="shared" si="6"/>
        <v>0</v>
      </c>
    </row>
    <row r="22" spans="1:44" s="136" customFormat="1" x14ac:dyDescent="0.2">
      <c r="A22" s="129"/>
      <c r="B22" s="100" t="s">
        <v>439</v>
      </c>
      <c r="C22" s="263" t="s">
        <v>577</v>
      </c>
      <c r="D22" s="264">
        <v>1</v>
      </c>
      <c r="E22" s="265" t="s">
        <v>21</v>
      </c>
      <c r="F22" s="265" t="s">
        <v>21</v>
      </c>
      <c r="G22" s="606">
        <v>1850</v>
      </c>
      <c r="H22" s="623">
        <f t="shared" si="7"/>
        <v>1850</v>
      </c>
      <c r="I22" s="267">
        <f t="shared" si="41"/>
        <v>22200</v>
      </c>
      <c r="J22" s="267">
        <f t="shared" si="34"/>
        <v>100</v>
      </c>
      <c r="K22" s="267">
        <v>0</v>
      </c>
      <c r="L22" s="267">
        <f t="shared" si="42"/>
        <v>1850</v>
      </c>
      <c r="M22" s="824">
        <f t="shared" si="43"/>
        <v>1720.5</v>
      </c>
      <c r="N22" s="267">
        <v>0</v>
      </c>
      <c r="O22" s="267">
        <f t="shared" si="0"/>
        <v>900</v>
      </c>
      <c r="P22" s="267">
        <f>ROUND(((1000*12)*P$10),2)</f>
        <v>120</v>
      </c>
      <c r="Q22" s="267">
        <f t="shared" si="35"/>
        <v>2740.5</v>
      </c>
      <c r="R22" s="252">
        <f t="shared" si="36"/>
        <v>26890.5</v>
      </c>
      <c r="S22" s="135"/>
      <c r="T22" s="135"/>
      <c r="U22" s="135"/>
      <c r="V22" s="728" t="s">
        <v>314</v>
      </c>
      <c r="W22" s="267">
        <f t="shared" si="12"/>
        <v>7400</v>
      </c>
      <c r="X22" s="267"/>
      <c r="Y22" s="267"/>
      <c r="Z22" s="267">
        <f t="shared" si="37"/>
        <v>300</v>
      </c>
      <c r="AA22" s="267">
        <f t="shared" si="13"/>
        <v>0</v>
      </c>
      <c r="AB22" s="267">
        <f t="shared" si="14"/>
        <v>573.5</v>
      </c>
      <c r="AC22" s="267">
        <f t="shared" si="38"/>
        <v>40</v>
      </c>
      <c r="AD22" s="267">
        <f t="shared" si="15"/>
        <v>1850</v>
      </c>
      <c r="AE22" s="267">
        <f t="shared" si="16"/>
        <v>10163.5</v>
      </c>
      <c r="AG22" s="728">
        <f t="shared" si="17"/>
        <v>8</v>
      </c>
      <c r="AH22" s="267">
        <f t="shared" si="18"/>
        <v>14800</v>
      </c>
      <c r="AI22" s="267">
        <f t="shared" si="19"/>
        <v>100</v>
      </c>
      <c r="AJ22" s="267"/>
      <c r="AK22" s="267">
        <f t="shared" si="39"/>
        <v>600</v>
      </c>
      <c r="AL22" s="267">
        <f t="shared" si="20"/>
        <v>0</v>
      </c>
      <c r="AM22" s="267">
        <f t="shared" si="21"/>
        <v>1147</v>
      </c>
      <c r="AN22" s="267">
        <f t="shared" si="40"/>
        <v>80</v>
      </c>
      <c r="AO22" s="267"/>
      <c r="AP22" s="267">
        <f t="shared" si="5"/>
        <v>16727</v>
      </c>
      <c r="AR22" s="745">
        <f t="shared" si="6"/>
        <v>0</v>
      </c>
    </row>
    <row r="23" spans="1:44" s="136" customFormat="1" ht="12.75" customHeight="1" x14ac:dyDescent="0.2">
      <c r="A23" s="129">
        <v>13</v>
      </c>
      <c r="B23" s="621" t="s">
        <v>400</v>
      </c>
      <c r="C23" s="263" t="s">
        <v>370</v>
      </c>
      <c r="D23" s="264">
        <v>1</v>
      </c>
      <c r="E23" s="265" t="s">
        <v>21</v>
      </c>
      <c r="F23" s="265" t="s">
        <v>21</v>
      </c>
      <c r="G23" s="606">
        <v>600</v>
      </c>
      <c r="H23" s="623">
        <f t="shared" si="7"/>
        <v>600</v>
      </c>
      <c r="I23" s="267">
        <f t="shared" si="41"/>
        <v>7200</v>
      </c>
      <c r="J23" s="267">
        <f t="shared" si="34"/>
        <v>100</v>
      </c>
      <c r="K23" s="267">
        <v>0</v>
      </c>
      <c r="L23" s="267">
        <f t="shared" si="42"/>
        <v>600</v>
      </c>
      <c r="M23" s="824">
        <f t="shared" si="43"/>
        <v>558</v>
      </c>
      <c r="N23" s="267">
        <v>0</v>
      </c>
      <c r="O23" s="267">
        <f t="shared" si="0"/>
        <v>540</v>
      </c>
      <c r="P23" s="267">
        <f t="shared" si="10"/>
        <v>72</v>
      </c>
      <c r="Q23" s="267">
        <f t="shared" si="35"/>
        <v>1170</v>
      </c>
      <c r="R23" s="252">
        <f t="shared" si="36"/>
        <v>9070</v>
      </c>
      <c r="S23" s="135"/>
      <c r="T23" s="135"/>
      <c r="U23" s="135"/>
      <c r="V23" s="728" t="s">
        <v>314</v>
      </c>
      <c r="W23" s="267">
        <f t="shared" si="12"/>
        <v>2400</v>
      </c>
      <c r="X23" s="267"/>
      <c r="Y23" s="267"/>
      <c r="Z23" s="267">
        <f t="shared" si="37"/>
        <v>180</v>
      </c>
      <c r="AA23" s="267">
        <f t="shared" si="13"/>
        <v>0</v>
      </c>
      <c r="AB23" s="267">
        <f t="shared" si="14"/>
        <v>186</v>
      </c>
      <c r="AC23" s="267">
        <f t="shared" si="38"/>
        <v>24</v>
      </c>
      <c r="AD23" s="267">
        <f t="shared" si="15"/>
        <v>600</v>
      </c>
      <c r="AE23" s="267">
        <f t="shared" si="16"/>
        <v>3390</v>
      </c>
      <c r="AG23" s="728">
        <f t="shared" si="17"/>
        <v>8</v>
      </c>
      <c r="AH23" s="267">
        <f t="shared" si="18"/>
        <v>4800</v>
      </c>
      <c r="AI23" s="267">
        <f t="shared" si="19"/>
        <v>100</v>
      </c>
      <c r="AJ23" s="267"/>
      <c r="AK23" s="267">
        <f t="shared" si="39"/>
        <v>360</v>
      </c>
      <c r="AL23" s="267">
        <f t="shared" si="20"/>
        <v>0</v>
      </c>
      <c r="AM23" s="267">
        <f t="shared" si="21"/>
        <v>372</v>
      </c>
      <c r="AN23" s="267">
        <f t="shared" si="40"/>
        <v>48</v>
      </c>
      <c r="AO23" s="267"/>
      <c r="AP23" s="267">
        <f t="shared" si="5"/>
        <v>5680</v>
      </c>
      <c r="AR23" s="745">
        <f t="shared" si="6"/>
        <v>0</v>
      </c>
    </row>
    <row r="24" spans="1:44" s="136" customFormat="1" x14ac:dyDescent="0.2">
      <c r="A24" s="129">
        <v>14</v>
      </c>
      <c r="B24" s="621" t="s">
        <v>628</v>
      </c>
      <c r="C24" s="263" t="s">
        <v>22</v>
      </c>
      <c r="D24" s="264">
        <v>1</v>
      </c>
      <c r="E24" s="265" t="s">
        <v>21</v>
      </c>
      <c r="F24" s="265" t="s">
        <v>21</v>
      </c>
      <c r="G24" s="606">
        <v>600</v>
      </c>
      <c r="H24" s="623">
        <f t="shared" si="7"/>
        <v>600</v>
      </c>
      <c r="I24" s="267">
        <f t="shared" si="41"/>
        <v>7200</v>
      </c>
      <c r="J24" s="267">
        <f t="shared" si="34"/>
        <v>100</v>
      </c>
      <c r="K24" s="267">
        <v>0</v>
      </c>
      <c r="L24" s="267">
        <f t="shared" si="42"/>
        <v>600</v>
      </c>
      <c r="M24" s="824">
        <f t="shared" si="43"/>
        <v>558</v>
      </c>
      <c r="N24" s="267">
        <v>0</v>
      </c>
      <c r="O24" s="267">
        <f t="shared" si="0"/>
        <v>540</v>
      </c>
      <c r="P24" s="267">
        <f t="shared" si="10"/>
        <v>72</v>
      </c>
      <c r="Q24" s="267">
        <f t="shared" si="35"/>
        <v>1170</v>
      </c>
      <c r="R24" s="252">
        <f t="shared" si="36"/>
        <v>9070</v>
      </c>
      <c r="S24" s="135"/>
      <c r="T24" s="135"/>
      <c r="U24" s="135"/>
      <c r="V24" s="728" t="s">
        <v>314</v>
      </c>
      <c r="W24" s="267">
        <f t="shared" si="12"/>
        <v>2400</v>
      </c>
      <c r="X24" s="267"/>
      <c r="Y24" s="267"/>
      <c r="Z24" s="267">
        <f t="shared" si="37"/>
        <v>180</v>
      </c>
      <c r="AA24" s="267">
        <f t="shared" si="13"/>
        <v>0</v>
      </c>
      <c r="AB24" s="267">
        <f t="shared" si="14"/>
        <v>186</v>
      </c>
      <c r="AC24" s="267">
        <f t="shared" si="38"/>
        <v>24</v>
      </c>
      <c r="AD24" s="267">
        <f t="shared" si="15"/>
        <v>600</v>
      </c>
      <c r="AE24" s="267">
        <f t="shared" si="16"/>
        <v>3390</v>
      </c>
      <c r="AG24" s="728">
        <f t="shared" si="17"/>
        <v>8</v>
      </c>
      <c r="AH24" s="267">
        <f t="shared" si="18"/>
        <v>4800</v>
      </c>
      <c r="AI24" s="267">
        <f t="shared" si="19"/>
        <v>100</v>
      </c>
      <c r="AJ24" s="267"/>
      <c r="AK24" s="267">
        <f t="shared" si="39"/>
        <v>360</v>
      </c>
      <c r="AL24" s="267">
        <f t="shared" si="20"/>
        <v>0</v>
      </c>
      <c r="AM24" s="267">
        <f t="shared" si="21"/>
        <v>372</v>
      </c>
      <c r="AN24" s="267">
        <f t="shared" si="40"/>
        <v>48</v>
      </c>
      <c r="AO24" s="267"/>
      <c r="AP24" s="267">
        <f t="shared" si="5"/>
        <v>5680</v>
      </c>
      <c r="AR24" s="745">
        <f t="shared" si="6"/>
        <v>0</v>
      </c>
    </row>
    <row r="25" spans="1:44" s="2" customFormat="1" ht="13.5" thickBot="1" x14ac:dyDescent="0.25">
      <c r="A25" s="132"/>
      <c r="B25" s="142" t="s">
        <v>401</v>
      </c>
      <c r="C25" s="269"/>
      <c r="D25" s="270">
        <f>SUM(D19:D24)</f>
        <v>6</v>
      </c>
      <c r="E25" s="271"/>
      <c r="F25" s="271"/>
      <c r="G25" s="271"/>
      <c r="H25" s="272">
        <f t="shared" ref="H25:O25" si="44">SUM(H19:H24)</f>
        <v>4900</v>
      </c>
      <c r="I25" s="273">
        <f t="shared" si="44"/>
        <v>58800</v>
      </c>
      <c r="J25" s="273">
        <f>SUM(J19:J24)</f>
        <v>600</v>
      </c>
      <c r="K25" s="273">
        <f t="shared" ref="K25" si="45">SUM(K19:K24)</f>
        <v>0</v>
      </c>
      <c r="L25" s="273">
        <f t="shared" si="44"/>
        <v>4900</v>
      </c>
      <c r="M25" s="827">
        <f t="shared" si="44"/>
        <v>4557</v>
      </c>
      <c r="N25" s="273">
        <f t="shared" si="44"/>
        <v>0</v>
      </c>
      <c r="O25" s="273">
        <f t="shared" si="44"/>
        <v>3645</v>
      </c>
      <c r="P25" s="273">
        <f>SUM(P19:P24)</f>
        <v>486</v>
      </c>
      <c r="Q25" s="273">
        <f>SUM(Q19:Q24)</f>
        <v>8688</v>
      </c>
      <c r="R25" s="253">
        <f>SUM(R19:R24)</f>
        <v>72988</v>
      </c>
      <c r="S25" s="103"/>
      <c r="T25" s="103"/>
      <c r="U25" s="103"/>
      <c r="V25" s="738"/>
      <c r="W25" s="738">
        <f t="shared" ref="W25:AC25" si="46">SUM(W19:W24)</f>
        <v>19600</v>
      </c>
      <c r="X25" s="738"/>
      <c r="Y25" s="738"/>
      <c r="Z25" s="738">
        <f t="shared" si="46"/>
        <v>1215</v>
      </c>
      <c r="AA25" s="738">
        <f t="shared" si="46"/>
        <v>0</v>
      </c>
      <c r="AB25" s="738">
        <f t="shared" si="46"/>
        <v>1519</v>
      </c>
      <c r="AC25" s="738">
        <f t="shared" si="46"/>
        <v>162</v>
      </c>
      <c r="AD25" s="738">
        <f t="shared" ref="AD25" si="47">SUM(AD19:AD24)</f>
        <v>4900</v>
      </c>
      <c r="AE25" s="738">
        <f>SUM(AE19:AE24)</f>
        <v>27396</v>
      </c>
      <c r="AG25" s="738"/>
      <c r="AH25" s="738">
        <f t="shared" ref="AH25:AI25" si="48">SUM(AH19:AH24)</f>
        <v>39200</v>
      </c>
      <c r="AI25" s="738">
        <f t="shared" si="48"/>
        <v>600</v>
      </c>
      <c r="AJ25" s="738"/>
      <c r="AK25" s="738">
        <f t="shared" ref="AK25" si="49">SUM(AK19:AK24)</f>
        <v>2430</v>
      </c>
      <c r="AL25" s="738">
        <f t="shared" ref="AL25" si="50">SUM(AL19:AL24)</f>
        <v>0</v>
      </c>
      <c r="AM25" s="738">
        <f t="shared" ref="AM25" si="51">SUM(AM19:AM24)</f>
        <v>3038</v>
      </c>
      <c r="AN25" s="738">
        <f t="shared" ref="AN25" si="52">SUM(AN19:AN24)</f>
        <v>324</v>
      </c>
      <c r="AO25" s="738"/>
      <c r="AP25" s="738">
        <f>SUM(AP19:AP24)</f>
        <v>45592</v>
      </c>
      <c r="AR25" s="745">
        <f t="shared" si="6"/>
        <v>0</v>
      </c>
    </row>
    <row r="26" spans="1:44" s="2" customFormat="1" ht="13.5" hidden="1" thickTop="1" x14ac:dyDescent="0.2">
      <c r="A26" s="129"/>
      <c r="B26" s="100"/>
      <c r="C26" s="263"/>
      <c r="D26" s="264"/>
      <c r="E26" s="265"/>
      <c r="F26" s="265"/>
      <c r="G26" s="265"/>
      <c r="H26" s="623"/>
      <c r="I26" s="267"/>
      <c r="J26" s="267"/>
      <c r="K26" s="267"/>
      <c r="L26" s="267"/>
      <c r="M26" s="824"/>
      <c r="N26" s="267"/>
      <c r="O26" s="267"/>
      <c r="P26" s="267"/>
      <c r="Q26" s="267"/>
      <c r="R26" s="252"/>
      <c r="S26" s="103"/>
      <c r="T26" s="103"/>
      <c r="U26" s="103"/>
      <c r="V26" s="739"/>
      <c r="W26" s="740"/>
      <c r="X26" s="740"/>
      <c r="Y26" s="740"/>
      <c r="Z26" s="740"/>
      <c r="AA26" s="740">
        <f t="shared" si="13"/>
        <v>0</v>
      </c>
      <c r="AB26" s="740">
        <f t="shared" ref="AB26:AB75" si="53">(M26/12)*V26</f>
        <v>0</v>
      </c>
      <c r="AC26" s="740">
        <f t="shared" ref="AC26:AD61" si="54">(P26/12)*V26</f>
        <v>0</v>
      </c>
      <c r="AD26" s="740">
        <f t="shared" si="54"/>
        <v>0</v>
      </c>
      <c r="AE26" s="740"/>
      <c r="AG26" s="739"/>
      <c r="AH26" s="740"/>
      <c r="AI26" s="740"/>
      <c r="AJ26" s="740"/>
      <c r="AK26" s="740"/>
      <c r="AL26" s="740">
        <f t="shared" ref="AL26:AL34" si="55">(Z26/12)*AG26</f>
        <v>0</v>
      </c>
      <c r="AM26" s="740">
        <f t="shared" ref="AM26:AM34" si="56">(W26/12)*AG26</f>
        <v>0</v>
      </c>
      <c r="AN26" s="740">
        <f t="shared" ref="AN26:AN34" si="57">(AB26/12)*AG26</f>
        <v>0</v>
      </c>
      <c r="AO26" s="740"/>
      <c r="AP26" s="740"/>
      <c r="AR26" s="745">
        <f t="shared" si="6"/>
        <v>0</v>
      </c>
    </row>
    <row r="27" spans="1:44" s="2" customFormat="1" ht="13.5" hidden="1" thickTop="1" x14ac:dyDescent="0.2">
      <c r="A27" s="129">
        <v>15</v>
      </c>
      <c r="B27" s="137"/>
      <c r="C27" s="263" t="s">
        <v>22</v>
      </c>
      <c r="D27" s="264"/>
      <c r="E27" s="265" t="s">
        <v>20</v>
      </c>
      <c r="F27" s="265" t="s">
        <v>402</v>
      </c>
      <c r="G27" s="265"/>
      <c r="H27" s="623"/>
      <c r="I27" s="267">
        <f t="shared" ref="I27:J32" si="58">+H27*12*D27</f>
        <v>0</v>
      </c>
      <c r="J27" s="267">
        <f t="shared" si="58"/>
        <v>0</v>
      </c>
      <c r="K27" s="267">
        <f t="shared" ref="K27:K32" si="59">+I27*12*E27</f>
        <v>0</v>
      </c>
      <c r="L27" s="267">
        <f t="shared" ref="L27:L32" si="60">+H27*D27</f>
        <v>0</v>
      </c>
      <c r="M27" s="824">
        <f t="shared" ref="M27:M32" si="61">+I27*$M$10</f>
        <v>0</v>
      </c>
      <c r="N27" s="267"/>
      <c r="O27" s="267">
        <f t="shared" ref="O27:O32" si="62">IF(H27&gt;685.71,685.71*$O$10*12,H27*$O$10*12)</f>
        <v>0</v>
      </c>
      <c r="P27" s="267"/>
      <c r="Q27" s="267">
        <f t="shared" ref="Q27:Q32" si="63">SUM(N27:P27)</f>
        <v>0</v>
      </c>
      <c r="R27" s="252">
        <f t="shared" ref="R27:R32" si="64">SUM(I27:P27)</f>
        <v>0</v>
      </c>
      <c r="S27" s="103"/>
      <c r="T27" s="103"/>
      <c r="U27" s="103"/>
      <c r="V27" s="739"/>
      <c r="W27" s="740"/>
      <c r="X27" s="740"/>
      <c r="Y27" s="740"/>
      <c r="Z27" s="740"/>
      <c r="AA27" s="740">
        <f t="shared" si="13"/>
        <v>0</v>
      </c>
      <c r="AB27" s="740">
        <f t="shared" si="53"/>
        <v>0</v>
      </c>
      <c r="AC27" s="740">
        <f t="shared" si="54"/>
        <v>0</v>
      </c>
      <c r="AD27" s="740">
        <f t="shared" si="54"/>
        <v>0</v>
      </c>
      <c r="AE27" s="740">
        <f t="shared" ref="AE27:AE32" si="65">SUM(Q27:AB27)</f>
        <v>0</v>
      </c>
      <c r="AG27" s="739"/>
      <c r="AH27" s="740"/>
      <c r="AI27" s="740"/>
      <c r="AJ27" s="740"/>
      <c r="AK27" s="740"/>
      <c r="AL27" s="740">
        <f t="shared" si="55"/>
        <v>0</v>
      </c>
      <c r="AM27" s="740">
        <f t="shared" si="56"/>
        <v>0</v>
      </c>
      <c r="AN27" s="740">
        <f t="shared" si="57"/>
        <v>0</v>
      </c>
      <c r="AO27" s="740"/>
      <c r="AP27" s="740">
        <f t="shared" ref="AP27:AP32" si="66">SUM(AC27:AM27)</f>
        <v>0</v>
      </c>
      <c r="AR27" s="745">
        <f t="shared" si="6"/>
        <v>0</v>
      </c>
    </row>
    <row r="28" spans="1:44" s="2" customFormat="1" ht="13.5" hidden="1" thickTop="1" x14ac:dyDescent="0.2">
      <c r="A28" s="129">
        <v>16</v>
      </c>
      <c r="B28" s="100"/>
      <c r="C28" s="263"/>
      <c r="D28" s="264"/>
      <c r="E28" s="265" t="s">
        <v>20</v>
      </c>
      <c r="F28" s="265" t="s">
        <v>402</v>
      </c>
      <c r="G28" s="265"/>
      <c r="H28" s="623"/>
      <c r="I28" s="267">
        <f t="shared" si="58"/>
        <v>0</v>
      </c>
      <c r="J28" s="267">
        <f t="shared" si="58"/>
        <v>0</v>
      </c>
      <c r="K28" s="267">
        <f t="shared" si="59"/>
        <v>0</v>
      </c>
      <c r="L28" s="267">
        <f t="shared" si="60"/>
        <v>0</v>
      </c>
      <c r="M28" s="824">
        <f t="shared" si="61"/>
        <v>0</v>
      </c>
      <c r="N28" s="267"/>
      <c r="O28" s="267">
        <f t="shared" si="62"/>
        <v>0</v>
      </c>
      <c r="P28" s="267"/>
      <c r="Q28" s="267">
        <f t="shared" si="63"/>
        <v>0</v>
      </c>
      <c r="R28" s="252">
        <f t="shared" si="64"/>
        <v>0</v>
      </c>
      <c r="S28" s="103"/>
      <c r="T28" s="103"/>
      <c r="U28" s="103"/>
      <c r="V28" s="739"/>
      <c r="W28" s="740"/>
      <c r="X28" s="740"/>
      <c r="Y28" s="740"/>
      <c r="Z28" s="740"/>
      <c r="AA28" s="740">
        <f t="shared" si="13"/>
        <v>0</v>
      </c>
      <c r="AB28" s="740">
        <f t="shared" si="53"/>
        <v>0</v>
      </c>
      <c r="AC28" s="740">
        <f t="shared" si="54"/>
        <v>0</v>
      </c>
      <c r="AD28" s="740">
        <f t="shared" si="54"/>
        <v>0</v>
      </c>
      <c r="AE28" s="740">
        <f t="shared" si="65"/>
        <v>0</v>
      </c>
      <c r="AG28" s="739"/>
      <c r="AH28" s="740"/>
      <c r="AI28" s="740"/>
      <c r="AJ28" s="740"/>
      <c r="AK28" s="740"/>
      <c r="AL28" s="740">
        <f t="shared" si="55"/>
        <v>0</v>
      </c>
      <c r="AM28" s="740">
        <f t="shared" si="56"/>
        <v>0</v>
      </c>
      <c r="AN28" s="740">
        <f t="shared" si="57"/>
        <v>0</v>
      </c>
      <c r="AO28" s="740"/>
      <c r="AP28" s="740">
        <f t="shared" si="66"/>
        <v>0</v>
      </c>
      <c r="AR28" s="745">
        <f t="shared" si="6"/>
        <v>0</v>
      </c>
    </row>
    <row r="29" spans="1:44" s="2" customFormat="1" ht="13.5" hidden="1" thickTop="1" x14ac:dyDescent="0.2">
      <c r="A29" s="129">
        <v>17</v>
      </c>
      <c r="B29" s="100"/>
      <c r="C29" s="263"/>
      <c r="D29" s="264"/>
      <c r="E29" s="265" t="s">
        <v>20</v>
      </c>
      <c r="F29" s="265" t="s">
        <v>402</v>
      </c>
      <c r="G29" s="265"/>
      <c r="H29" s="623"/>
      <c r="I29" s="267">
        <f t="shared" si="58"/>
        <v>0</v>
      </c>
      <c r="J29" s="267">
        <f t="shared" si="58"/>
        <v>0</v>
      </c>
      <c r="K29" s="267">
        <f t="shared" si="59"/>
        <v>0</v>
      </c>
      <c r="L29" s="267">
        <f t="shared" si="60"/>
        <v>0</v>
      </c>
      <c r="M29" s="824">
        <f t="shared" si="61"/>
        <v>0</v>
      </c>
      <c r="N29" s="267"/>
      <c r="O29" s="267">
        <f t="shared" si="62"/>
        <v>0</v>
      </c>
      <c r="P29" s="267"/>
      <c r="Q29" s="267">
        <f t="shared" si="63"/>
        <v>0</v>
      </c>
      <c r="R29" s="252">
        <f t="shared" si="64"/>
        <v>0</v>
      </c>
      <c r="S29" s="103"/>
      <c r="T29" s="103"/>
      <c r="U29" s="103"/>
      <c r="V29" s="739"/>
      <c r="W29" s="740"/>
      <c r="X29" s="740"/>
      <c r="Y29" s="740"/>
      <c r="Z29" s="740"/>
      <c r="AA29" s="740">
        <f t="shared" si="13"/>
        <v>0</v>
      </c>
      <c r="AB29" s="740">
        <f t="shared" si="53"/>
        <v>0</v>
      </c>
      <c r="AC29" s="740">
        <f t="shared" si="54"/>
        <v>0</v>
      </c>
      <c r="AD29" s="740">
        <f t="shared" si="54"/>
        <v>0</v>
      </c>
      <c r="AE29" s="740">
        <f t="shared" si="65"/>
        <v>0</v>
      </c>
      <c r="AG29" s="739"/>
      <c r="AH29" s="740"/>
      <c r="AI29" s="740"/>
      <c r="AJ29" s="740"/>
      <c r="AK29" s="740"/>
      <c r="AL29" s="740">
        <f t="shared" si="55"/>
        <v>0</v>
      </c>
      <c r="AM29" s="740">
        <f t="shared" si="56"/>
        <v>0</v>
      </c>
      <c r="AN29" s="740">
        <f t="shared" si="57"/>
        <v>0</v>
      </c>
      <c r="AO29" s="740"/>
      <c r="AP29" s="740">
        <f t="shared" si="66"/>
        <v>0</v>
      </c>
      <c r="AR29" s="745">
        <f t="shared" si="6"/>
        <v>0</v>
      </c>
    </row>
    <row r="30" spans="1:44" s="2" customFormat="1" ht="13.5" hidden="1" thickTop="1" x14ac:dyDescent="0.2">
      <c r="A30" s="129">
        <v>18</v>
      </c>
      <c r="B30" s="100"/>
      <c r="C30" s="263"/>
      <c r="D30" s="264"/>
      <c r="E30" s="265" t="s">
        <v>20</v>
      </c>
      <c r="F30" s="265" t="s">
        <v>402</v>
      </c>
      <c r="G30" s="265"/>
      <c r="H30" s="623"/>
      <c r="I30" s="267">
        <f t="shared" si="58"/>
        <v>0</v>
      </c>
      <c r="J30" s="267">
        <f t="shared" si="58"/>
        <v>0</v>
      </c>
      <c r="K30" s="267">
        <f t="shared" si="59"/>
        <v>0</v>
      </c>
      <c r="L30" s="267">
        <f t="shared" si="60"/>
        <v>0</v>
      </c>
      <c r="M30" s="824">
        <f t="shared" si="61"/>
        <v>0</v>
      </c>
      <c r="N30" s="267"/>
      <c r="O30" s="267">
        <f t="shared" si="62"/>
        <v>0</v>
      </c>
      <c r="P30" s="267"/>
      <c r="Q30" s="267">
        <f t="shared" si="63"/>
        <v>0</v>
      </c>
      <c r="R30" s="252">
        <f t="shared" si="64"/>
        <v>0</v>
      </c>
      <c r="S30" s="103"/>
      <c r="T30" s="103"/>
      <c r="U30" s="103"/>
      <c r="V30" s="739"/>
      <c r="W30" s="740"/>
      <c r="X30" s="740"/>
      <c r="Y30" s="740"/>
      <c r="Z30" s="740"/>
      <c r="AA30" s="740">
        <f t="shared" si="13"/>
        <v>0</v>
      </c>
      <c r="AB30" s="740">
        <f t="shared" si="53"/>
        <v>0</v>
      </c>
      <c r="AC30" s="740">
        <f t="shared" si="54"/>
        <v>0</v>
      </c>
      <c r="AD30" s="740">
        <f t="shared" si="54"/>
        <v>0</v>
      </c>
      <c r="AE30" s="740">
        <f t="shared" si="65"/>
        <v>0</v>
      </c>
      <c r="AG30" s="739"/>
      <c r="AH30" s="740"/>
      <c r="AI30" s="740"/>
      <c r="AJ30" s="740"/>
      <c r="AK30" s="740"/>
      <c r="AL30" s="740">
        <f t="shared" si="55"/>
        <v>0</v>
      </c>
      <c r="AM30" s="740">
        <f t="shared" si="56"/>
        <v>0</v>
      </c>
      <c r="AN30" s="740">
        <f t="shared" si="57"/>
        <v>0</v>
      </c>
      <c r="AO30" s="740"/>
      <c r="AP30" s="740">
        <f t="shared" si="66"/>
        <v>0</v>
      </c>
      <c r="AR30" s="745">
        <f t="shared" si="6"/>
        <v>0</v>
      </c>
    </row>
    <row r="31" spans="1:44" s="2" customFormat="1" ht="13.5" hidden="1" thickTop="1" x14ac:dyDescent="0.2">
      <c r="A31" s="129">
        <v>19</v>
      </c>
      <c r="B31" s="100"/>
      <c r="C31" s="263"/>
      <c r="D31" s="264"/>
      <c r="E31" s="265" t="s">
        <v>20</v>
      </c>
      <c r="F31" s="265" t="s">
        <v>402</v>
      </c>
      <c r="G31" s="265"/>
      <c r="H31" s="623"/>
      <c r="I31" s="267">
        <f t="shared" si="58"/>
        <v>0</v>
      </c>
      <c r="J31" s="267">
        <f t="shared" si="58"/>
        <v>0</v>
      </c>
      <c r="K31" s="267">
        <f t="shared" si="59"/>
        <v>0</v>
      </c>
      <c r="L31" s="267">
        <f t="shared" si="60"/>
        <v>0</v>
      </c>
      <c r="M31" s="824">
        <f t="shared" si="61"/>
        <v>0</v>
      </c>
      <c r="N31" s="267"/>
      <c r="O31" s="267">
        <f t="shared" si="62"/>
        <v>0</v>
      </c>
      <c r="P31" s="267"/>
      <c r="Q31" s="267">
        <f t="shared" si="63"/>
        <v>0</v>
      </c>
      <c r="R31" s="252">
        <f t="shared" si="64"/>
        <v>0</v>
      </c>
      <c r="S31" s="103"/>
      <c r="T31" s="103"/>
      <c r="U31" s="103"/>
      <c r="V31" s="739"/>
      <c r="W31" s="740"/>
      <c r="X31" s="740"/>
      <c r="Y31" s="740"/>
      <c r="Z31" s="740"/>
      <c r="AA31" s="740">
        <f t="shared" si="13"/>
        <v>0</v>
      </c>
      <c r="AB31" s="740">
        <f t="shared" si="53"/>
        <v>0</v>
      </c>
      <c r="AC31" s="740">
        <f t="shared" si="54"/>
        <v>0</v>
      </c>
      <c r="AD31" s="740">
        <f t="shared" si="54"/>
        <v>0</v>
      </c>
      <c r="AE31" s="740">
        <f t="shared" si="65"/>
        <v>0</v>
      </c>
      <c r="AG31" s="739"/>
      <c r="AH31" s="740"/>
      <c r="AI31" s="740"/>
      <c r="AJ31" s="740"/>
      <c r="AK31" s="740"/>
      <c r="AL31" s="740">
        <f t="shared" si="55"/>
        <v>0</v>
      </c>
      <c r="AM31" s="740">
        <f t="shared" si="56"/>
        <v>0</v>
      </c>
      <c r="AN31" s="740">
        <f t="shared" si="57"/>
        <v>0</v>
      </c>
      <c r="AO31" s="740"/>
      <c r="AP31" s="740">
        <f t="shared" si="66"/>
        <v>0</v>
      </c>
      <c r="AR31" s="745">
        <f t="shared" si="6"/>
        <v>0</v>
      </c>
    </row>
    <row r="32" spans="1:44" s="2" customFormat="1" ht="13.5" hidden="1" thickTop="1" x14ac:dyDescent="0.2">
      <c r="A32" s="129">
        <v>20</v>
      </c>
      <c r="B32" s="100"/>
      <c r="C32" s="263"/>
      <c r="D32" s="264"/>
      <c r="E32" s="265" t="s">
        <v>20</v>
      </c>
      <c r="F32" s="265" t="s">
        <v>402</v>
      </c>
      <c r="G32" s="265"/>
      <c r="H32" s="623"/>
      <c r="I32" s="267">
        <f t="shared" si="58"/>
        <v>0</v>
      </c>
      <c r="J32" s="267">
        <f t="shared" si="58"/>
        <v>0</v>
      </c>
      <c r="K32" s="267">
        <f t="shared" si="59"/>
        <v>0</v>
      </c>
      <c r="L32" s="267">
        <f t="shared" si="60"/>
        <v>0</v>
      </c>
      <c r="M32" s="824">
        <f t="shared" si="61"/>
        <v>0</v>
      </c>
      <c r="N32" s="267"/>
      <c r="O32" s="267">
        <f t="shared" si="62"/>
        <v>0</v>
      </c>
      <c r="P32" s="267"/>
      <c r="Q32" s="267">
        <f t="shared" si="63"/>
        <v>0</v>
      </c>
      <c r="R32" s="252">
        <f t="shared" si="64"/>
        <v>0</v>
      </c>
      <c r="S32" s="103"/>
      <c r="T32" s="103"/>
      <c r="U32" s="103"/>
      <c r="V32" s="739"/>
      <c r="W32" s="740"/>
      <c r="X32" s="740"/>
      <c r="Y32" s="740"/>
      <c r="Z32" s="740"/>
      <c r="AA32" s="740">
        <f t="shared" si="13"/>
        <v>0</v>
      </c>
      <c r="AB32" s="740">
        <f t="shared" si="53"/>
        <v>0</v>
      </c>
      <c r="AC32" s="740">
        <f t="shared" si="54"/>
        <v>0</v>
      </c>
      <c r="AD32" s="740">
        <f t="shared" si="54"/>
        <v>0</v>
      </c>
      <c r="AE32" s="740">
        <f t="shared" si="65"/>
        <v>0</v>
      </c>
      <c r="AG32" s="739"/>
      <c r="AH32" s="740"/>
      <c r="AI32" s="740"/>
      <c r="AJ32" s="740"/>
      <c r="AK32" s="740"/>
      <c r="AL32" s="740">
        <f t="shared" si="55"/>
        <v>0</v>
      </c>
      <c r="AM32" s="740">
        <f t="shared" si="56"/>
        <v>0</v>
      </c>
      <c r="AN32" s="740">
        <f t="shared" si="57"/>
        <v>0</v>
      </c>
      <c r="AO32" s="740"/>
      <c r="AP32" s="740">
        <f t="shared" si="66"/>
        <v>0</v>
      </c>
      <c r="AR32" s="745">
        <f t="shared" si="6"/>
        <v>0</v>
      </c>
    </row>
    <row r="33" spans="1:45" s="2" customFormat="1" ht="14.25" hidden="1" thickTop="1" thickBot="1" x14ac:dyDescent="0.25">
      <c r="A33" s="132"/>
      <c r="B33" s="133" t="s">
        <v>403</v>
      </c>
      <c r="C33" s="269"/>
      <c r="D33" s="274">
        <f>SUM(D27:D32)</f>
        <v>0</v>
      </c>
      <c r="E33" s="271"/>
      <c r="F33" s="271"/>
      <c r="G33" s="271"/>
      <c r="H33" s="275">
        <f t="shared" ref="H33:R33" si="67">SUM(H27:H32)</f>
        <v>0</v>
      </c>
      <c r="I33" s="275">
        <f t="shared" si="67"/>
        <v>0</v>
      </c>
      <c r="J33" s="275">
        <f t="shared" ref="J33" si="68">SUM(J27:J32)</f>
        <v>0</v>
      </c>
      <c r="K33" s="275">
        <f t="shared" ref="K33" si="69">SUM(K27:K32)</f>
        <v>0</v>
      </c>
      <c r="L33" s="275">
        <f t="shared" si="67"/>
        <v>0</v>
      </c>
      <c r="M33" s="828">
        <f t="shared" si="67"/>
        <v>0</v>
      </c>
      <c r="N33" s="275">
        <f t="shared" si="67"/>
        <v>0</v>
      </c>
      <c r="O33" s="275">
        <f t="shared" si="67"/>
        <v>0</v>
      </c>
      <c r="P33" s="275">
        <f t="shared" si="67"/>
        <v>0</v>
      </c>
      <c r="Q33" s="275">
        <f t="shared" si="67"/>
        <v>0</v>
      </c>
      <c r="R33" s="254">
        <f t="shared" si="67"/>
        <v>0</v>
      </c>
      <c r="S33" s="103"/>
      <c r="T33" s="103"/>
      <c r="U33" s="103"/>
      <c r="V33" s="739"/>
      <c r="W33" s="741"/>
      <c r="X33" s="741"/>
      <c r="Y33" s="741"/>
      <c r="Z33" s="741"/>
      <c r="AA33" s="741">
        <f t="shared" si="13"/>
        <v>0</v>
      </c>
      <c r="AB33" s="741">
        <f t="shared" si="53"/>
        <v>0</v>
      </c>
      <c r="AC33" s="741">
        <f t="shared" si="54"/>
        <v>0</v>
      </c>
      <c r="AD33" s="741">
        <f t="shared" si="54"/>
        <v>0</v>
      </c>
      <c r="AE33" s="741">
        <f t="shared" ref="AE33" si="70">SUM(AE27:AE32)</f>
        <v>0</v>
      </c>
      <c r="AG33" s="739"/>
      <c r="AH33" s="741"/>
      <c r="AI33" s="741"/>
      <c r="AJ33" s="741"/>
      <c r="AK33" s="741"/>
      <c r="AL33" s="741">
        <f t="shared" si="55"/>
        <v>0</v>
      </c>
      <c r="AM33" s="741">
        <f t="shared" si="56"/>
        <v>0</v>
      </c>
      <c r="AN33" s="741">
        <f t="shared" si="57"/>
        <v>0</v>
      </c>
      <c r="AO33" s="741"/>
      <c r="AP33" s="741">
        <f t="shared" ref="AP33" si="71">SUM(AP27:AP32)</f>
        <v>0</v>
      </c>
      <c r="AR33" s="745">
        <f t="shared" si="6"/>
        <v>0</v>
      </c>
    </row>
    <row r="34" spans="1:45" s="2" customFormat="1" ht="6.75" hidden="1" customHeight="1" thickTop="1" x14ac:dyDescent="0.2">
      <c r="A34" s="138"/>
      <c r="B34" s="139"/>
      <c r="C34" s="276"/>
      <c r="D34" s="277"/>
      <c r="E34" s="278"/>
      <c r="F34" s="278"/>
      <c r="G34" s="278"/>
      <c r="H34" s="625"/>
      <c r="I34" s="279"/>
      <c r="J34" s="279"/>
      <c r="K34" s="279"/>
      <c r="L34" s="279"/>
      <c r="M34" s="829"/>
      <c r="N34" s="279"/>
      <c r="O34" s="279"/>
      <c r="P34" s="279"/>
      <c r="Q34" s="279"/>
      <c r="R34" s="255"/>
      <c r="S34" s="103"/>
      <c r="T34" s="103"/>
      <c r="U34" s="103"/>
      <c r="V34" s="739"/>
      <c r="W34" s="742"/>
      <c r="X34" s="742"/>
      <c r="Y34" s="742"/>
      <c r="Z34" s="742"/>
      <c r="AA34" s="742">
        <f t="shared" si="13"/>
        <v>0</v>
      </c>
      <c r="AB34" s="742">
        <f t="shared" si="53"/>
        <v>0</v>
      </c>
      <c r="AC34" s="742">
        <f t="shared" si="54"/>
        <v>0</v>
      </c>
      <c r="AD34" s="742">
        <f t="shared" si="54"/>
        <v>0</v>
      </c>
      <c r="AE34" s="742"/>
      <c r="AG34" s="739"/>
      <c r="AH34" s="742"/>
      <c r="AI34" s="742"/>
      <c r="AJ34" s="742"/>
      <c r="AK34" s="742"/>
      <c r="AL34" s="742">
        <f t="shared" si="55"/>
        <v>0</v>
      </c>
      <c r="AM34" s="742">
        <f t="shared" si="56"/>
        <v>0</v>
      </c>
      <c r="AN34" s="742">
        <f t="shared" si="57"/>
        <v>0</v>
      </c>
      <c r="AO34" s="742"/>
      <c r="AP34" s="742"/>
      <c r="AR34" s="745">
        <f t="shared" si="6"/>
        <v>0</v>
      </c>
    </row>
    <row r="35" spans="1:45" s="131" customFormat="1" ht="14.25" thickTop="1" thickBot="1" x14ac:dyDescent="0.25">
      <c r="A35" s="140"/>
      <c r="B35" s="141" t="s">
        <v>633</v>
      </c>
      <c r="C35" s="280"/>
      <c r="D35" s="281">
        <f>+D18+D25</f>
        <v>13</v>
      </c>
      <c r="E35" s="282"/>
      <c r="F35" s="282"/>
      <c r="G35" s="282"/>
      <c r="H35" s="283">
        <f>+H33+H25+H18</f>
        <v>11350</v>
      </c>
      <c r="I35" s="283">
        <f t="shared" ref="I35:R35" si="72">+I33+I25+I18</f>
        <v>136200</v>
      </c>
      <c r="J35" s="283">
        <f>+J33+J25+J18</f>
        <v>1300</v>
      </c>
      <c r="K35" s="283">
        <f t="shared" ref="K35" si="73">+K33+K25+K18</f>
        <v>0</v>
      </c>
      <c r="L35" s="283">
        <f>L25+L18</f>
        <v>11350</v>
      </c>
      <c r="M35" s="830">
        <f t="shared" si="72"/>
        <v>9672</v>
      </c>
      <c r="N35" s="283">
        <f t="shared" si="72"/>
        <v>0</v>
      </c>
      <c r="O35" s="283">
        <f t="shared" si="72"/>
        <v>7920</v>
      </c>
      <c r="P35" s="283">
        <f>P25+P18</f>
        <v>1056</v>
      </c>
      <c r="Q35" s="283">
        <f t="shared" si="72"/>
        <v>18648</v>
      </c>
      <c r="R35" s="143">
        <f t="shared" si="72"/>
        <v>167498</v>
      </c>
      <c r="S35" s="103"/>
      <c r="T35" s="103"/>
      <c r="U35" s="103"/>
      <c r="V35" s="737"/>
      <c r="W35" s="734">
        <f t="shared" ref="W35:AC35" si="74">W25+W18</f>
        <v>45400</v>
      </c>
      <c r="X35" s="734"/>
      <c r="Y35" s="734"/>
      <c r="Z35" s="734">
        <f t="shared" si="74"/>
        <v>2640</v>
      </c>
      <c r="AA35" s="734">
        <f t="shared" si="74"/>
        <v>0</v>
      </c>
      <c r="AB35" s="734">
        <f t="shared" si="74"/>
        <v>3224</v>
      </c>
      <c r="AC35" s="734">
        <f t="shared" si="74"/>
        <v>352</v>
      </c>
      <c r="AD35" s="734">
        <f t="shared" ref="AD35" si="75">AD25+AD18</f>
        <v>11350</v>
      </c>
      <c r="AE35" s="734">
        <f t="shared" ref="AE35" si="76">+AE33+AE25+AE18</f>
        <v>62966</v>
      </c>
      <c r="AG35" s="737"/>
      <c r="AH35" s="734">
        <f t="shared" ref="AH35:AN35" si="77">AH25+AH18</f>
        <v>90800</v>
      </c>
      <c r="AI35" s="734">
        <f t="shared" ref="AI35" si="78">AI25+AI18</f>
        <v>1300</v>
      </c>
      <c r="AJ35" s="734"/>
      <c r="AK35" s="734">
        <f t="shared" si="77"/>
        <v>5280</v>
      </c>
      <c r="AL35" s="734">
        <f t="shared" si="77"/>
        <v>0</v>
      </c>
      <c r="AM35" s="734">
        <f t="shared" si="77"/>
        <v>6448</v>
      </c>
      <c r="AN35" s="734">
        <f t="shared" si="77"/>
        <v>704</v>
      </c>
      <c r="AO35" s="734"/>
      <c r="AP35" s="734">
        <f t="shared" ref="AP35" si="79">+AP33+AP25+AP18</f>
        <v>104532</v>
      </c>
      <c r="AR35" s="745">
        <f t="shared" si="6"/>
        <v>0</v>
      </c>
      <c r="AS35" s="2"/>
    </row>
    <row r="36" spans="1:45" s="131" customFormat="1" hidden="1" x14ac:dyDescent="0.2">
      <c r="A36" s="129"/>
      <c r="B36" s="100"/>
      <c r="C36" s="263"/>
      <c r="D36" s="264"/>
      <c r="E36" s="265"/>
      <c r="F36" s="265"/>
      <c r="G36" s="265"/>
      <c r="H36" s="623"/>
      <c r="I36" s="267"/>
      <c r="J36" s="267"/>
      <c r="K36" s="267"/>
      <c r="L36" s="267"/>
      <c r="M36" s="834"/>
      <c r="N36" s="267"/>
      <c r="O36" s="267"/>
      <c r="P36" s="267"/>
      <c r="Q36" s="267"/>
      <c r="R36" s="252"/>
      <c r="S36" s="103"/>
      <c r="T36" s="103"/>
      <c r="U36" s="103"/>
      <c r="V36" s="727"/>
      <c r="W36" s="52"/>
      <c r="X36" s="52"/>
      <c r="Y36" s="52"/>
      <c r="Z36" s="52"/>
      <c r="AA36" s="52">
        <f t="shared" si="13"/>
        <v>0</v>
      </c>
      <c r="AB36" s="52">
        <f t="shared" si="53"/>
        <v>0</v>
      </c>
      <c r="AC36" s="52">
        <f t="shared" si="54"/>
        <v>0</v>
      </c>
      <c r="AD36" s="52"/>
      <c r="AE36" s="724"/>
      <c r="AG36" s="727"/>
      <c r="AH36" s="52"/>
      <c r="AI36" s="52"/>
      <c r="AJ36" s="52"/>
      <c r="AK36" s="52"/>
      <c r="AL36" s="52">
        <f t="shared" ref="AL36:AL49" si="80">(Z36/12)*AG36</f>
        <v>0</v>
      </c>
      <c r="AM36" s="52">
        <f t="shared" ref="AM36:AM49" si="81">(W36/12)*AG36</f>
        <v>0</v>
      </c>
      <c r="AN36" s="52">
        <f t="shared" ref="AN36:AN49" si="82">(AB36/12)*AG36</f>
        <v>0</v>
      </c>
      <c r="AO36" s="52"/>
      <c r="AP36" s="724"/>
      <c r="AR36" s="745">
        <f t="shared" si="6"/>
        <v>0</v>
      </c>
      <c r="AS36" s="2"/>
    </row>
    <row r="37" spans="1:45" s="131" customFormat="1" hidden="1" x14ac:dyDescent="0.2">
      <c r="A37" s="129">
        <v>30</v>
      </c>
      <c r="B37" s="100" t="s">
        <v>404</v>
      </c>
      <c r="C37" s="263" t="s">
        <v>405</v>
      </c>
      <c r="D37" s="264">
        <v>1</v>
      </c>
      <c r="E37" s="265" t="s">
        <v>21</v>
      </c>
      <c r="F37" s="265" t="s">
        <v>406</v>
      </c>
      <c r="G37" s="265"/>
      <c r="H37" s="623">
        <v>0</v>
      </c>
      <c r="I37" s="267">
        <f>+H37*12*D37</f>
        <v>0</v>
      </c>
      <c r="J37" s="267"/>
      <c r="K37" s="267"/>
      <c r="L37" s="267">
        <f>+H37*D37</f>
        <v>0</v>
      </c>
      <c r="M37" s="824">
        <f>+I37*$M$10</f>
        <v>0</v>
      </c>
      <c r="N37" s="267"/>
      <c r="O37" s="267">
        <f>IF(H37&gt;685.71,685.71*$O$10*12,H37*$O$10*12)</f>
        <v>0</v>
      </c>
      <c r="P37" s="267"/>
      <c r="Q37" s="267">
        <f>SUM(N37:P37)</f>
        <v>0</v>
      </c>
      <c r="R37" s="252">
        <f>SUM(I37:P37)</f>
        <v>0</v>
      </c>
      <c r="S37" s="103"/>
      <c r="T37" s="103"/>
      <c r="U37" s="103"/>
      <c r="V37" s="727"/>
      <c r="W37" s="52"/>
      <c r="X37" s="52"/>
      <c r="Y37" s="52"/>
      <c r="Z37" s="52"/>
      <c r="AA37" s="52">
        <f t="shared" si="13"/>
        <v>0</v>
      </c>
      <c r="AB37" s="52">
        <f t="shared" si="53"/>
        <v>0</v>
      </c>
      <c r="AC37" s="52">
        <f t="shared" si="54"/>
        <v>0</v>
      </c>
      <c r="AD37" s="52"/>
      <c r="AE37" s="724">
        <f>SUM(Q37:AB37)</f>
        <v>0</v>
      </c>
      <c r="AG37" s="727"/>
      <c r="AH37" s="52"/>
      <c r="AI37" s="52"/>
      <c r="AJ37" s="52"/>
      <c r="AK37" s="52"/>
      <c r="AL37" s="52">
        <f t="shared" si="80"/>
        <v>0</v>
      </c>
      <c r="AM37" s="52">
        <f t="shared" si="81"/>
        <v>0</v>
      </c>
      <c r="AN37" s="52">
        <f t="shared" si="82"/>
        <v>0</v>
      </c>
      <c r="AO37" s="52"/>
      <c r="AP37" s="724">
        <f>SUM(AC37:AM37)</f>
        <v>0</v>
      </c>
      <c r="AR37" s="745">
        <f t="shared" si="6"/>
        <v>0</v>
      </c>
      <c r="AS37" s="2"/>
    </row>
    <row r="38" spans="1:45" s="131" customFormat="1" hidden="1" x14ac:dyDescent="0.2">
      <c r="A38" s="129">
        <v>31</v>
      </c>
      <c r="B38" s="100" t="s">
        <v>407</v>
      </c>
      <c r="C38" s="263" t="s">
        <v>405</v>
      </c>
      <c r="D38" s="264"/>
      <c r="E38" s="265" t="s">
        <v>21</v>
      </c>
      <c r="F38" s="265" t="s">
        <v>406</v>
      </c>
      <c r="G38" s="265"/>
      <c r="H38" s="623">
        <v>0</v>
      </c>
      <c r="I38" s="267">
        <f>+H38*12*D38</f>
        <v>0</v>
      </c>
      <c r="J38" s="267"/>
      <c r="K38" s="267"/>
      <c r="L38" s="267">
        <f>+H38*D38</f>
        <v>0</v>
      </c>
      <c r="M38" s="824">
        <f>+I38*$M$10</f>
        <v>0</v>
      </c>
      <c r="N38" s="268"/>
      <c r="O38" s="267">
        <f>IF(H38&gt;685.71,685.71*$O$10*12,H38*$O$10*12)</f>
        <v>0</v>
      </c>
      <c r="P38" s="267"/>
      <c r="Q38" s="267">
        <f>SUM(N38:P38)</f>
        <v>0</v>
      </c>
      <c r="R38" s="252">
        <f>SUM(I38:P38)</f>
        <v>0</v>
      </c>
      <c r="S38" s="103"/>
      <c r="T38" s="103"/>
      <c r="U38" s="103"/>
      <c r="V38" s="727"/>
      <c r="W38" s="52"/>
      <c r="X38" s="52"/>
      <c r="Y38" s="52"/>
      <c r="Z38" s="52"/>
      <c r="AA38" s="52">
        <f t="shared" si="13"/>
        <v>0</v>
      </c>
      <c r="AB38" s="52">
        <f t="shared" si="53"/>
        <v>0</v>
      </c>
      <c r="AC38" s="52">
        <f t="shared" si="54"/>
        <v>0</v>
      </c>
      <c r="AD38" s="52"/>
      <c r="AE38" s="724">
        <f>SUM(Q38:AB38)</f>
        <v>0</v>
      </c>
      <c r="AG38" s="727"/>
      <c r="AH38" s="52"/>
      <c r="AI38" s="52"/>
      <c r="AJ38" s="52"/>
      <c r="AK38" s="52"/>
      <c r="AL38" s="52">
        <f t="shared" si="80"/>
        <v>0</v>
      </c>
      <c r="AM38" s="52">
        <f t="shared" si="81"/>
        <v>0</v>
      </c>
      <c r="AN38" s="52">
        <f t="shared" si="82"/>
        <v>0</v>
      </c>
      <c r="AO38" s="52"/>
      <c r="AP38" s="724">
        <f>SUM(AC38:AM38)</f>
        <v>0</v>
      </c>
      <c r="AR38" s="745">
        <f t="shared" si="6"/>
        <v>0</v>
      </c>
      <c r="AS38" s="2"/>
    </row>
    <row r="39" spans="1:45" s="131" customFormat="1" hidden="1" x14ac:dyDescent="0.2">
      <c r="A39" s="129">
        <v>32</v>
      </c>
      <c r="B39" s="100" t="s">
        <v>408</v>
      </c>
      <c r="C39" s="263" t="s">
        <v>405</v>
      </c>
      <c r="D39" s="264"/>
      <c r="E39" s="265" t="s">
        <v>21</v>
      </c>
      <c r="F39" s="265" t="s">
        <v>406</v>
      </c>
      <c r="G39" s="265"/>
      <c r="H39" s="623">
        <v>0</v>
      </c>
      <c r="I39" s="267">
        <f>+H39*12*D39</f>
        <v>0</v>
      </c>
      <c r="J39" s="267"/>
      <c r="K39" s="267"/>
      <c r="L39" s="267">
        <f>+H39*D39</f>
        <v>0</v>
      </c>
      <c r="M39" s="824">
        <f>+I39*$M$10</f>
        <v>0</v>
      </c>
      <c r="N39" s="268"/>
      <c r="O39" s="267">
        <f>IF(H39&gt;685.71,685.71*$O$10*12,H39*$O$10*12)</f>
        <v>0</v>
      </c>
      <c r="P39" s="267"/>
      <c r="Q39" s="267">
        <f>SUM(N39:P39)</f>
        <v>0</v>
      </c>
      <c r="R39" s="252">
        <f>SUM(I39:P39)</f>
        <v>0</v>
      </c>
      <c r="S39" s="103"/>
      <c r="T39" s="103"/>
      <c r="U39" s="103"/>
      <c r="V39" s="727"/>
      <c r="W39" s="52"/>
      <c r="X39" s="52"/>
      <c r="Y39" s="52"/>
      <c r="Z39" s="52"/>
      <c r="AA39" s="52">
        <f t="shared" si="13"/>
        <v>0</v>
      </c>
      <c r="AB39" s="52">
        <f t="shared" si="53"/>
        <v>0</v>
      </c>
      <c r="AC39" s="52">
        <f t="shared" si="54"/>
        <v>0</v>
      </c>
      <c r="AD39" s="52"/>
      <c r="AE39" s="724">
        <f>SUM(Q39:AB39)</f>
        <v>0</v>
      </c>
      <c r="AG39" s="727"/>
      <c r="AH39" s="52"/>
      <c r="AI39" s="52"/>
      <c r="AJ39" s="52"/>
      <c r="AK39" s="52"/>
      <c r="AL39" s="52">
        <f t="shared" si="80"/>
        <v>0</v>
      </c>
      <c r="AM39" s="52">
        <f t="shared" si="81"/>
        <v>0</v>
      </c>
      <c r="AN39" s="52">
        <f t="shared" si="82"/>
        <v>0</v>
      </c>
      <c r="AO39" s="52"/>
      <c r="AP39" s="724">
        <f>SUM(AC39:AM39)</f>
        <v>0</v>
      </c>
      <c r="AR39" s="745">
        <f t="shared" si="6"/>
        <v>0</v>
      </c>
      <c r="AS39" s="2"/>
    </row>
    <row r="40" spans="1:45" s="131" customFormat="1" hidden="1" x14ac:dyDescent="0.2">
      <c r="A40" s="129">
        <v>33</v>
      </c>
      <c r="B40" s="100" t="s">
        <v>409</v>
      </c>
      <c r="C40" s="263" t="s">
        <v>405</v>
      </c>
      <c r="D40" s="264"/>
      <c r="E40" s="265" t="s">
        <v>21</v>
      </c>
      <c r="F40" s="265" t="s">
        <v>406</v>
      </c>
      <c r="G40" s="265"/>
      <c r="H40" s="623">
        <v>0</v>
      </c>
      <c r="I40" s="267">
        <f>+H40*12*D40</f>
        <v>0</v>
      </c>
      <c r="J40" s="267"/>
      <c r="K40" s="267"/>
      <c r="L40" s="267">
        <f>+H40*D40</f>
        <v>0</v>
      </c>
      <c r="M40" s="824">
        <f>+I40*$M$10</f>
        <v>0</v>
      </c>
      <c r="N40" s="268"/>
      <c r="O40" s="267">
        <f>IF(H40&gt;685.71,685.71*$O$10*12,H40*$O$10*12)</f>
        <v>0</v>
      </c>
      <c r="P40" s="267"/>
      <c r="Q40" s="267">
        <f>SUM(N40:P40)</f>
        <v>0</v>
      </c>
      <c r="R40" s="252">
        <f>SUM(I40:P40)</f>
        <v>0</v>
      </c>
      <c r="S40" s="103"/>
      <c r="T40" s="103"/>
      <c r="U40" s="103"/>
      <c r="V40" s="727"/>
      <c r="W40" s="52"/>
      <c r="X40" s="52"/>
      <c r="Y40" s="52"/>
      <c r="Z40" s="52"/>
      <c r="AA40" s="52">
        <f t="shared" si="13"/>
        <v>0</v>
      </c>
      <c r="AB40" s="52">
        <f t="shared" si="53"/>
        <v>0</v>
      </c>
      <c r="AC40" s="52">
        <f t="shared" si="54"/>
        <v>0</v>
      </c>
      <c r="AD40" s="52"/>
      <c r="AE40" s="724">
        <f>SUM(Q40:AB40)</f>
        <v>0</v>
      </c>
      <c r="AG40" s="727"/>
      <c r="AH40" s="52"/>
      <c r="AI40" s="52"/>
      <c r="AJ40" s="52"/>
      <c r="AK40" s="52"/>
      <c r="AL40" s="52">
        <f t="shared" si="80"/>
        <v>0</v>
      </c>
      <c r="AM40" s="52">
        <f t="shared" si="81"/>
        <v>0</v>
      </c>
      <c r="AN40" s="52">
        <f t="shared" si="82"/>
        <v>0</v>
      </c>
      <c r="AO40" s="52"/>
      <c r="AP40" s="724">
        <f>SUM(AC40:AM40)</f>
        <v>0</v>
      </c>
      <c r="AR40" s="745">
        <f t="shared" si="6"/>
        <v>0</v>
      </c>
      <c r="AS40" s="2"/>
    </row>
    <row r="41" spans="1:45" s="131" customFormat="1" ht="13.5" hidden="1" thickBot="1" x14ac:dyDescent="0.25">
      <c r="A41" s="132"/>
      <c r="B41" s="133" t="s">
        <v>410</v>
      </c>
      <c r="C41" s="269"/>
      <c r="D41" s="274">
        <f>SUM(D37:D40)</f>
        <v>1</v>
      </c>
      <c r="E41" s="271"/>
      <c r="F41" s="271"/>
      <c r="G41" s="271"/>
      <c r="H41" s="275">
        <f t="shared" ref="H41:R41" si="83">SUM(H37:H40)</f>
        <v>0</v>
      </c>
      <c r="I41" s="275">
        <f t="shared" si="83"/>
        <v>0</v>
      </c>
      <c r="J41" s="275"/>
      <c r="K41" s="275"/>
      <c r="L41" s="275">
        <f t="shared" si="83"/>
        <v>0</v>
      </c>
      <c r="M41" s="828">
        <f t="shared" si="83"/>
        <v>0</v>
      </c>
      <c r="N41" s="275">
        <f t="shared" si="83"/>
        <v>0</v>
      </c>
      <c r="O41" s="275">
        <f t="shared" si="83"/>
        <v>0</v>
      </c>
      <c r="P41" s="275">
        <f t="shared" si="83"/>
        <v>0</v>
      </c>
      <c r="Q41" s="275">
        <f t="shared" si="83"/>
        <v>0</v>
      </c>
      <c r="R41" s="256">
        <f t="shared" si="83"/>
        <v>0</v>
      </c>
      <c r="S41" s="103"/>
      <c r="T41" s="103"/>
      <c r="U41" s="103"/>
      <c r="V41" s="727"/>
      <c r="W41" s="52"/>
      <c r="X41" s="52"/>
      <c r="Y41" s="52"/>
      <c r="Z41" s="52"/>
      <c r="AA41" s="52">
        <f t="shared" si="13"/>
        <v>0</v>
      </c>
      <c r="AB41" s="52">
        <f t="shared" si="53"/>
        <v>0</v>
      </c>
      <c r="AC41" s="52">
        <f t="shared" si="54"/>
        <v>0</v>
      </c>
      <c r="AD41" s="52"/>
      <c r="AE41" s="724">
        <f t="shared" ref="AE41" si="84">SUM(AE37:AE40)</f>
        <v>0</v>
      </c>
      <c r="AG41" s="727"/>
      <c r="AH41" s="52"/>
      <c r="AI41" s="52"/>
      <c r="AJ41" s="52"/>
      <c r="AK41" s="52"/>
      <c r="AL41" s="52">
        <f t="shared" si="80"/>
        <v>0</v>
      </c>
      <c r="AM41" s="52">
        <f t="shared" si="81"/>
        <v>0</v>
      </c>
      <c r="AN41" s="52">
        <f t="shared" si="82"/>
        <v>0</v>
      </c>
      <c r="AO41" s="52"/>
      <c r="AP41" s="724">
        <f t="shared" ref="AP41" si="85">SUM(AP37:AP40)</f>
        <v>0</v>
      </c>
      <c r="AR41" s="745">
        <f t="shared" si="6"/>
        <v>0</v>
      </c>
      <c r="AS41" s="2"/>
    </row>
    <row r="42" spans="1:45" s="131" customFormat="1" hidden="1" x14ac:dyDescent="0.2">
      <c r="A42" s="129"/>
      <c r="B42" s="100"/>
      <c r="C42" s="263"/>
      <c r="D42" s="264"/>
      <c r="E42" s="265"/>
      <c r="F42" s="265"/>
      <c r="G42" s="265"/>
      <c r="H42" s="623"/>
      <c r="I42" s="267"/>
      <c r="J42" s="267"/>
      <c r="K42" s="267"/>
      <c r="L42" s="267"/>
      <c r="M42" s="824"/>
      <c r="N42" s="268"/>
      <c r="O42" s="267"/>
      <c r="P42" s="267"/>
      <c r="Q42" s="267"/>
      <c r="R42" s="252"/>
      <c r="S42" s="103"/>
      <c r="T42" s="103"/>
      <c r="U42" s="103"/>
      <c r="V42" s="727"/>
      <c r="W42" s="52"/>
      <c r="X42" s="52"/>
      <c r="Y42" s="52"/>
      <c r="Z42" s="52"/>
      <c r="AA42" s="52">
        <f t="shared" si="13"/>
        <v>0</v>
      </c>
      <c r="AB42" s="52">
        <f t="shared" si="53"/>
        <v>0</v>
      </c>
      <c r="AC42" s="52">
        <f t="shared" si="54"/>
        <v>0</v>
      </c>
      <c r="AD42" s="52"/>
      <c r="AE42" s="724"/>
      <c r="AG42" s="727"/>
      <c r="AH42" s="52"/>
      <c r="AI42" s="52"/>
      <c r="AJ42" s="52"/>
      <c r="AK42" s="52"/>
      <c r="AL42" s="52">
        <f t="shared" si="80"/>
        <v>0</v>
      </c>
      <c r="AM42" s="52">
        <f t="shared" si="81"/>
        <v>0</v>
      </c>
      <c r="AN42" s="52">
        <f t="shared" si="82"/>
        <v>0</v>
      </c>
      <c r="AO42" s="52"/>
      <c r="AP42" s="724"/>
      <c r="AR42" s="745">
        <f t="shared" si="6"/>
        <v>0</v>
      </c>
      <c r="AS42" s="2"/>
    </row>
    <row r="43" spans="1:45" s="131" customFormat="1" hidden="1" x14ac:dyDescent="0.2">
      <c r="A43" s="129">
        <v>34</v>
      </c>
      <c r="B43" s="100" t="s">
        <v>411</v>
      </c>
      <c r="C43" s="263" t="s">
        <v>412</v>
      </c>
      <c r="D43" s="264">
        <v>1</v>
      </c>
      <c r="E43" s="265" t="s">
        <v>21</v>
      </c>
      <c r="F43" s="265" t="s">
        <v>413</v>
      </c>
      <c r="G43" s="265"/>
      <c r="H43" s="623">
        <v>0</v>
      </c>
      <c r="I43" s="267">
        <f>+H43*12*D43</f>
        <v>0</v>
      </c>
      <c r="J43" s="267"/>
      <c r="K43" s="267"/>
      <c r="L43" s="267">
        <f>+H43*D43</f>
        <v>0</v>
      </c>
      <c r="M43" s="824">
        <f>+I43*$M$10</f>
        <v>0</v>
      </c>
      <c r="N43" s="268"/>
      <c r="O43" s="267">
        <f>IF(H43&gt;685.71,685.71*$O$10*12,H43*$O$10*12)</f>
        <v>0</v>
      </c>
      <c r="P43" s="267"/>
      <c r="Q43" s="267">
        <f>SUM(N43:P43)</f>
        <v>0</v>
      </c>
      <c r="R43" s="252">
        <f>SUM(I43:P43)</f>
        <v>0</v>
      </c>
      <c r="S43" s="103"/>
      <c r="T43" s="103"/>
      <c r="U43" s="103"/>
      <c r="V43" s="727"/>
      <c r="W43" s="52"/>
      <c r="X43" s="52"/>
      <c r="Y43" s="52"/>
      <c r="Z43" s="52"/>
      <c r="AA43" s="52">
        <f t="shared" si="13"/>
        <v>0</v>
      </c>
      <c r="AB43" s="52">
        <f t="shared" si="53"/>
        <v>0</v>
      </c>
      <c r="AC43" s="52">
        <f t="shared" si="54"/>
        <v>0</v>
      </c>
      <c r="AD43" s="52"/>
      <c r="AE43" s="724">
        <f>SUM(Q43:AB43)</f>
        <v>0</v>
      </c>
      <c r="AG43" s="727"/>
      <c r="AH43" s="52"/>
      <c r="AI43" s="52"/>
      <c r="AJ43" s="52"/>
      <c r="AK43" s="52"/>
      <c r="AL43" s="52">
        <f t="shared" si="80"/>
        <v>0</v>
      </c>
      <c r="AM43" s="52">
        <f t="shared" si="81"/>
        <v>0</v>
      </c>
      <c r="AN43" s="52">
        <f t="shared" si="82"/>
        <v>0</v>
      </c>
      <c r="AO43" s="52"/>
      <c r="AP43" s="724">
        <f>SUM(AC43:AM43)</f>
        <v>0</v>
      </c>
      <c r="AR43" s="745">
        <f t="shared" ref="AR43:AR66" si="86">AB43+AM43-M43</f>
        <v>0</v>
      </c>
      <c r="AS43" s="2"/>
    </row>
    <row r="44" spans="1:45" s="131" customFormat="1" hidden="1" x14ac:dyDescent="0.2">
      <c r="A44" s="129">
        <v>35</v>
      </c>
      <c r="B44" s="100" t="s">
        <v>414</v>
      </c>
      <c r="C44" s="263" t="s">
        <v>412</v>
      </c>
      <c r="D44" s="264"/>
      <c r="E44" s="265" t="s">
        <v>21</v>
      </c>
      <c r="F44" s="265" t="s">
        <v>413</v>
      </c>
      <c r="G44" s="265"/>
      <c r="H44" s="623">
        <v>0</v>
      </c>
      <c r="I44" s="267">
        <f>+H44*12*D44</f>
        <v>0</v>
      </c>
      <c r="J44" s="267"/>
      <c r="K44" s="267"/>
      <c r="L44" s="267">
        <f>+H44*D44</f>
        <v>0</v>
      </c>
      <c r="M44" s="824">
        <f>+I44*$M$10</f>
        <v>0</v>
      </c>
      <c r="N44" s="268"/>
      <c r="O44" s="267">
        <f>IF(H44&gt;685.71,685.71*$O$10*12,H44*$O$10*12)</f>
        <v>0</v>
      </c>
      <c r="P44" s="267"/>
      <c r="Q44" s="267">
        <f>SUM(N44:P44)</f>
        <v>0</v>
      </c>
      <c r="R44" s="252">
        <f>SUM(I44:P44)</f>
        <v>0</v>
      </c>
      <c r="S44" s="103"/>
      <c r="T44" s="103"/>
      <c r="U44" s="103"/>
      <c r="V44" s="727"/>
      <c r="W44" s="52"/>
      <c r="X44" s="52"/>
      <c r="Y44" s="52"/>
      <c r="Z44" s="52"/>
      <c r="AA44" s="52">
        <f t="shared" si="13"/>
        <v>0</v>
      </c>
      <c r="AB44" s="52">
        <f t="shared" si="53"/>
        <v>0</v>
      </c>
      <c r="AC44" s="52">
        <f t="shared" si="54"/>
        <v>0</v>
      </c>
      <c r="AD44" s="52"/>
      <c r="AE44" s="724">
        <f>SUM(Q44:AB44)</f>
        <v>0</v>
      </c>
      <c r="AG44" s="727"/>
      <c r="AH44" s="52"/>
      <c r="AI44" s="52"/>
      <c r="AJ44" s="52"/>
      <c r="AK44" s="52"/>
      <c r="AL44" s="52">
        <f t="shared" si="80"/>
        <v>0</v>
      </c>
      <c r="AM44" s="52">
        <f t="shared" si="81"/>
        <v>0</v>
      </c>
      <c r="AN44" s="52">
        <f t="shared" si="82"/>
        <v>0</v>
      </c>
      <c r="AO44" s="52"/>
      <c r="AP44" s="724">
        <f>SUM(AC44:AM44)</f>
        <v>0</v>
      </c>
      <c r="AR44" s="745">
        <f t="shared" si="86"/>
        <v>0</v>
      </c>
      <c r="AS44" s="2"/>
    </row>
    <row r="45" spans="1:45" s="131" customFormat="1" ht="13.5" hidden="1" thickBot="1" x14ac:dyDescent="0.25">
      <c r="A45" s="132"/>
      <c r="B45" s="133" t="s">
        <v>415</v>
      </c>
      <c r="C45" s="269"/>
      <c r="D45" s="274">
        <f>SUM(D43:D44)</f>
        <v>1</v>
      </c>
      <c r="E45" s="271"/>
      <c r="F45" s="271"/>
      <c r="G45" s="271"/>
      <c r="H45" s="275">
        <f t="shared" ref="H45:R45" si="87">SUM(H43:H44)</f>
        <v>0</v>
      </c>
      <c r="I45" s="275">
        <f t="shared" si="87"/>
        <v>0</v>
      </c>
      <c r="J45" s="275"/>
      <c r="K45" s="275"/>
      <c r="L45" s="275">
        <f t="shared" si="87"/>
        <v>0</v>
      </c>
      <c r="M45" s="828">
        <f t="shared" si="87"/>
        <v>0</v>
      </c>
      <c r="N45" s="275">
        <f t="shared" si="87"/>
        <v>0</v>
      </c>
      <c r="O45" s="275">
        <f t="shared" si="87"/>
        <v>0</v>
      </c>
      <c r="P45" s="275">
        <f t="shared" si="87"/>
        <v>0</v>
      </c>
      <c r="Q45" s="275">
        <f t="shared" si="87"/>
        <v>0</v>
      </c>
      <c r="R45" s="256">
        <f t="shared" si="87"/>
        <v>0</v>
      </c>
      <c r="S45" s="103"/>
      <c r="T45" s="103"/>
      <c r="U45" s="103"/>
      <c r="V45" s="727"/>
      <c r="W45" s="52"/>
      <c r="X45" s="52"/>
      <c r="Y45" s="52"/>
      <c r="Z45" s="52"/>
      <c r="AA45" s="52">
        <f t="shared" si="13"/>
        <v>0</v>
      </c>
      <c r="AB45" s="52">
        <f t="shared" si="53"/>
        <v>0</v>
      </c>
      <c r="AC45" s="52">
        <f t="shared" si="54"/>
        <v>0</v>
      </c>
      <c r="AD45" s="52"/>
      <c r="AE45" s="724">
        <f t="shared" ref="AE45" si="88">SUM(AE43:AE44)</f>
        <v>0</v>
      </c>
      <c r="AG45" s="727"/>
      <c r="AH45" s="52"/>
      <c r="AI45" s="52"/>
      <c r="AJ45" s="52"/>
      <c r="AK45" s="52"/>
      <c r="AL45" s="52">
        <f t="shared" si="80"/>
        <v>0</v>
      </c>
      <c r="AM45" s="52">
        <f t="shared" si="81"/>
        <v>0</v>
      </c>
      <c r="AN45" s="52">
        <f t="shared" si="82"/>
        <v>0</v>
      </c>
      <c r="AO45" s="52"/>
      <c r="AP45" s="724">
        <f t="shared" ref="AP45" si="89">SUM(AP43:AP44)</f>
        <v>0</v>
      </c>
      <c r="AR45" s="745">
        <f t="shared" si="86"/>
        <v>0</v>
      </c>
      <c r="AS45" s="2"/>
    </row>
    <row r="46" spans="1:45" s="131" customFormat="1" hidden="1" x14ac:dyDescent="0.2">
      <c r="A46" s="129"/>
      <c r="B46" s="100"/>
      <c r="C46" s="263"/>
      <c r="D46" s="264"/>
      <c r="E46" s="265"/>
      <c r="F46" s="265"/>
      <c r="G46" s="265"/>
      <c r="H46" s="623"/>
      <c r="I46" s="267"/>
      <c r="J46" s="267"/>
      <c r="K46" s="267"/>
      <c r="L46" s="267"/>
      <c r="M46" s="824"/>
      <c r="N46" s="268"/>
      <c r="O46" s="267"/>
      <c r="P46" s="267"/>
      <c r="Q46" s="267"/>
      <c r="R46" s="252"/>
      <c r="S46" s="103"/>
      <c r="T46" s="103"/>
      <c r="U46" s="103"/>
      <c r="V46" s="727"/>
      <c r="W46" s="52"/>
      <c r="X46" s="52"/>
      <c r="Y46" s="52"/>
      <c r="Z46" s="52"/>
      <c r="AA46" s="52">
        <f t="shared" si="13"/>
        <v>0</v>
      </c>
      <c r="AB46" s="52">
        <f t="shared" si="53"/>
        <v>0</v>
      </c>
      <c r="AC46" s="52">
        <f t="shared" si="54"/>
        <v>0</v>
      </c>
      <c r="AD46" s="52"/>
      <c r="AE46" s="724"/>
      <c r="AG46" s="727"/>
      <c r="AH46" s="52"/>
      <c r="AI46" s="52"/>
      <c r="AJ46" s="52"/>
      <c r="AK46" s="52"/>
      <c r="AL46" s="52">
        <f t="shared" si="80"/>
        <v>0</v>
      </c>
      <c r="AM46" s="52">
        <f t="shared" si="81"/>
        <v>0</v>
      </c>
      <c r="AN46" s="52">
        <f t="shared" si="82"/>
        <v>0</v>
      </c>
      <c r="AO46" s="52"/>
      <c r="AP46" s="724"/>
      <c r="AR46" s="745">
        <f t="shared" si="86"/>
        <v>0</v>
      </c>
      <c r="AS46" s="2"/>
    </row>
    <row r="47" spans="1:45" s="131" customFormat="1" hidden="1" x14ac:dyDescent="0.2">
      <c r="A47" s="129">
        <v>36</v>
      </c>
      <c r="B47" s="100" t="s">
        <v>416</v>
      </c>
      <c r="C47" s="263" t="s">
        <v>417</v>
      </c>
      <c r="D47" s="264">
        <v>1</v>
      </c>
      <c r="E47" s="265" t="s">
        <v>21</v>
      </c>
      <c r="F47" s="265" t="s">
        <v>418</v>
      </c>
      <c r="G47" s="265"/>
      <c r="H47" s="623">
        <v>0</v>
      </c>
      <c r="I47" s="267">
        <f>+H47*12*D47</f>
        <v>0</v>
      </c>
      <c r="J47" s="267"/>
      <c r="K47" s="267"/>
      <c r="L47" s="267">
        <f>+H47*D47</f>
        <v>0</v>
      </c>
      <c r="M47" s="824">
        <f>+I47*$M$10</f>
        <v>0</v>
      </c>
      <c r="N47" s="268"/>
      <c r="O47" s="267">
        <f>IF(H47&gt;685.71,685.71*$O$10*12,H47*$O$10*12)</f>
        <v>0</v>
      </c>
      <c r="P47" s="267"/>
      <c r="Q47" s="267">
        <f>SUM(N47:P47)</f>
        <v>0</v>
      </c>
      <c r="R47" s="252">
        <f>SUM(I47:P47)</f>
        <v>0</v>
      </c>
      <c r="S47" s="103"/>
      <c r="T47" s="103"/>
      <c r="U47" s="103"/>
      <c r="V47" s="727"/>
      <c r="W47" s="52"/>
      <c r="X47" s="52"/>
      <c r="Y47" s="52"/>
      <c r="Z47" s="52"/>
      <c r="AA47" s="52">
        <f t="shared" si="13"/>
        <v>0</v>
      </c>
      <c r="AB47" s="52">
        <f t="shared" si="53"/>
        <v>0</v>
      </c>
      <c r="AC47" s="52">
        <f t="shared" si="54"/>
        <v>0</v>
      </c>
      <c r="AD47" s="52"/>
      <c r="AE47" s="724">
        <f>SUM(Q47:AB47)</f>
        <v>0</v>
      </c>
      <c r="AG47" s="727"/>
      <c r="AH47" s="52"/>
      <c r="AI47" s="52"/>
      <c r="AJ47" s="52"/>
      <c r="AK47" s="52"/>
      <c r="AL47" s="52">
        <f t="shared" si="80"/>
        <v>0</v>
      </c>
      <c r="AM47" s="52">
        <f t="shared" si="81"/>
        <v>0</v>
      </c>
      <c r="AN47" s="52">
        <f t="shared" si="82"/>
        <v>0</v>
      </c>
      <c r="AO47" s="52"/>
      <c r="AP47" s="724">
        <f>SUM(AC47:AM47)</f>
        <v>0</v>
      </c>
      <c r="AR47" s="745">
        <f t="shared" si="86"/>
        <v>0</v>
      </c>
      <c r="AS47" s="2"/>
    </row>
    <row r="48" spans="1:45" s="131" customFormat="1" hidden="1" x14ac:dyDescent="0.2">
      <c r="A48" s="129">
        <v>37</v>
      </c>
      <c r="B48" s="100" t="s">
        <v>414</v>
      </c>
      <c r="C48" s="263" t="s">
        <v>417</v>
      </c>
      <c r="D48" s="264"/>
      <c r="E48" s="265" t="s">
        <v>21</v>
      </c>
      <c r="F48" s="265" t="s">
        <v>418</v>
      </c>
      <c r="G48" s="265"/>
      <c r="H48" s="623">
        <v>0</v>
      </c>
      <c r="I48" s="267">
        <f>+H48*12*D48</f>
        <v>0</v>
      </c>
      <c r="J48" s="267"/>
      <c r="K48" s="267"/>
      <c r="L48" s="267">
        <f>+H48*D48</f>
        <v>0</v>
      </c>
      <c r="M48" s="824">
        <f>+I48*$M$10</f>
        <v>0</v>
      </c>
      <c r="N48" s="268"/>
      <c r="O48" s="267">
        <f>IF(H48&gt;685.71,685.71*$O$10*12,H48*$O$10*12)</f>
        <v>0</v>
      </c>
      <c r="P48" s="267"/>
      <c r="Q48" s="267">
        <f>SUM(N48:P48)</f>
        <v>0</v>
      </c>
      <c r="R48" s="252">
        <f>SUM(I48:P48)</f>
        <v>0</v>
      </c>
      <c r="S48" s="103"/>
      <c r="T48" s="103"/>
      <c r="U48" s="103"/>
      <c r="V48" s="727"/>
      <c r="W48" s="52"/>
      <c r="X48" s="52"/>
      <c r="Y48" s="52"/>
      <c r="Z48" s="52"/>
      <c r="AA48" s="52">
        <f t="shared" si="13"/>
        <v>0</v>
      </c>
      <c r="AB48" s="52">
        <f t="shared" si="53"/>
        <v>0</v>
      </c>
      <c r="AC48" s="52">
        <f t="shared" si="54"/>
        <v>0</v>
      </c>
      <c r="AD48" s="52"/>
      <c r="AE48" s="724">
        <f>SUM(Q48:AB48)</f>
        <v>0</v>
      </c>
      <c r="AG48" s="727"/>
      <c r="AH48" s="52"/>
      <c r="AI48" s="52"/>
      <c r="AJ48" s="52"/>
      <c r="AK48" s="52"/>
      <c r="AL48" s="52">
        <f t="shared" si="80"/>
        <v>0</v>
      </c>
      <c r="AM48" s="52">
        <f t="shared" si="81"/>
        <v>0</v>
      </c>
      <c r="AN48" s="52">
        <f t="shared" si="82"/>
        <v>0</v>
      </c>
      <c r="AO48" s="52"/>
      <c r="AP48" s="724">
        <f>SUM(AC48:AM48)</f>
        <v>0</v>
      </c>
      <c r="AR48" s="745">
        <f t="shared" si="86"/>
        <v>0</v>
      </c>
      <c r="AS48" s="2"/>
    </row>
    <row r="49" spans="1:45" s="131" customFormat="1" ht="13.5" hidden="1" thickBot="1" x14ac:dyDescent="0.25">
      <c r="A49" s="132"/>
      <c r="B49" s="133" t="s">
        <v>419</v>
      </c>
      <c r="C49" s="269"/>
      <c r="D49" s="274">
        <f>SUM(D47:D48)</f>
        <v>1</v>
      </c>
      <c r="E49" s="271"/>
      <c r="F49" s="271"/>
      <c r="G49" s="271"/>
      <c r="H49" s="275">
        <f t="shared" ref="H49:R49" si="90">SUM(H47:H48)</f>
        <v>0</v>
      </c>
      <c r="I49" s="275">
        <f t="shared" si="90"/>
        <v>0</v>
      </c>
      <c r="J49" s="275"/>
      <c r="K49" s="275"/>
      <c r="L49" s="275">
        <f t="shared" si="90"/>
        <v>0</v>
      </c>
      <c r="M49" s="828">
        <f t="shared" si="90"/>
        <v>0</v>
      </c>
      <c r="N49" s="275">
        <f t="shared" si="90"/>
        <v>0</v>
      </c>
      <c r="O49" s="275">
        <f t="shared" si="90"/>
        <v>0</v>
      </c>
      <c r="P49" s="275">
        <f t="shared" si="90"/>
        <v>0</v>
      </c>
      <c r="Q49" s="275">
        <f t="shared" si="90"/>
        <v>0</v>
      </c>
      <c r="R49" s="256">
        <f t="shared" si="90"/>
        <v>0</v>
      </c>
      <c r="S49" s="103"/>
      <c r="T49" s="103"/>
      <c r="U49" s="103"/>
      <c r="V49" s="727"/>
      <c r="W49" s="52"/>
      <c r="X49" s="52"/>
      <c r="Y49" s="52"/>
      <c r="Z49" s="52"/>
      <c r="AA49" s="52">
        <f t="shared" si="13"/>
        <v>0</v>
      </c>
      <c r="AB49" s="52">
        <f t="shared" si="53"/>
        <v>0</v>
      </c>
      <c r="AC49" s="52">
        <f t="shared" si="54"/>
        <v>0</v>
      </c>
      <c r="AD49" s="52"/>
      <c r="AE49" s="724">
        <f t="shared" ref="AE49" si="91">SUM(AE47:AE48)</f>
        <v>0</v>
      </c>
      <c r="AG49" s="727"/>
      <c r="AH49" s="52"/>
      <c r="AI49" s="52"/>
      <c r="AJ49" s="52"/>
      <c r="AK49" s="52"/>
      <c r="AL49" s="52">
        <f t="shared" si="80"/>
        <v>0</v>
      </c>
      <c r="AM49" s="52">
        <f t="shared" si="81"/>
        <v>0</v>
      </c>
      <c r="AN49" s="52">
        <f t="shared" si="82"/>
        <v>0</v>
      </c>
      <c r="AO49" s="52"/>
      <c r="AP49" s="724">
        <f t="shared" ref="AP49" si="92">SUM(AP47:AP48)</f>
        <v>0</v>
      </c>
      <c r="AR49" s="745">
        <f t="shared" si="86"/>
        <v>0</v>
      </c>
      <c r="AS49" s="2"/>
    </row>
    <row r="50" spans="1:45" s="131" customFormat="1" x14ac:dyDescent="0.2">
      <c r="A50" s="129">
        <v>38</v>
      </c>
      <c r="B50" s="100" t="s">
        <v>420</v>
      </c>
      <c r="C50" s="263" t="s">
        <v>421</v>
      </c>
      <c r="D50" s="264">
        <v>1</v>
      </c>
      <c r="E50" s="265" t="s">
        <v>24</v>
      </c>
      <c r="F50" s="265" t="s">
        <v>24</v>
      </c>
      <c r="G50" s="606">
        <v>450</v>
      </c>
      <c r="H50" s="623">
        <f t="shared" ref="H50:H55" si="93">D50*G50</f>
        <v>450</v>
      </c>
      <c r="I50" s="267">
        <f>H50*12</f>
        <v>5400</v>
      </c>
      <c r="J50" s="267">
        <f t="shared" ref="J50:J55" si="94">100*D50</f>
        <v>100</v>
      </c>
      <c r="K50" s="267">
        <v>0</v>
      </c>
      <c r="L50" s="267">
        <f>H50</f>
        <v>450</v>
      </c>
      <c r="M50" s="824">
        <f>ROUND(I50*$M$10,2)</f>
        <v>418.5</v>
      </c>
      <c r="N50" s="267">
        <v>0</v>
      </c>
      <c r="O50" s="267">
        <f t="shared" ref="O50:O55" si="95">ROUND((IF(H50&gt;1000,1000*$O$10*12,H50*$O$10*12)),2)</f>
        <v>405</v>
      </c>
      <c r="P50" s="267">
        <f t="shared" ref="P50:P55" si="96">ROUND(((I50+K50)*P$10),2)</f>
        <v>54</v>
      </c>
      <c r="Q50" s="267">
        <f t="shared" ref="Q50:Q55" si="97">SUM(M50:P50)</f>
        <v>877.5</v>
      </c>
      <c r="R50" s="252">
        <f t="shared" ref="R50:R55" si="98">I50+J50+K50+L50+Q50</f>
        <v>6827.5</v>
      </c>
      <c r="S50" s="103"/>
      <c r="T50" s="103"/>
      <c r="U50" s="103"/>
      <c r="V50" s="728" t="s">
        <v>312</v>
      </c>
      <c r="W50" s="267">
        <f t="shared" ref="W50:W55" si="99">H50*V50</f>
        <v>1350</v>
      </c>
      <c r="X50" s="267"/>
      <c r="Y50" s="267"/>
      <c r="Z50" s="267">
        <f t="shared" ref="Z50:Z55" si="100">ROUND(((O50/12)*V50),2)</f>
        <v>101.25</v>
      </c>
      <c r="AA50" s="267">
        <f t="shared" si="13"/>
        <v>0</v>
      </c>
      <c r="AB50" s="267">
        <f t="shared" ref="AB50:AB55" si="101">ROUND(((M50/12)*V50),2)</f>
        <v>104.63</v>
      </c>
      <c r="AC50" s="267">
        <f t="shared" ref="AC50:AC55" si="102">ROUND(((P50/12)*V50),2)</f>
        <v>13.5</v>
      </c>
      <c r="AD50" s="267">
        <f t="shared" ref="AD50:AD55" si="103">L50</f>
        <v>450</v>
      </c>
      <c r="AE50" s="267">
        <f t="shared" ref="AE50:AE55" si="104">SUM(W50:AD50)</f>
        <v>2019.38</v>
      </c>
      <c r="AG50" s="728">
        <f t="shared" ref="AG50:AG55" si="105">12-V50</f>
        <v>9</v>
      </c>
      <c r="AH50" s="267">
        <f t="shared" ref="AH50:AH55" si="106">H50*AG50</f>
        <v>4050</v>
      </c>
      <c r="AI50" s="267">
        <f t="shared" ref="AI50:AI55" si="107">J50</f>
        <v>100</v>
      </c>
      <c r="AJ50" s="267"/>
      <c r="AK50" s="267">
        <f t="shared" ref="AK50:AK55" si="108">ROUND(((O50/12)*AG50),2)</f>
        <v>303.75</v>
      </c>
      <c r="AL50" s="267">
        <f t="shared" ref="AL50:AL55" si="109">(N50/12)*AG50</f>
        <v>0</v>
      </c>
      <c r="AM50" s="267">
        <f t="shared" ref="AM50:AM55" si="110">ROUND(((M50/12)*AG50),2)</f>
        <v>313.88</v>
      </c>
      <c r="AN50" s="267">
        <f t="shared" ref="AN50:AN55" si="111">ROUND(((P50/12)*AG50),2)</f>
        <v>40.5</v>
      </c>
      <c r="AO50" s="267"/>
      <c r="AP50" s="267">
        <f t="shared" ref="AP50:AP55" si="112">SUM(AH50:AN50)</f>
        <v>4808.13</v>
      </c>
      <c r="AR50" s="745">
        <f>AB50+AM50-M50</f>
        <v>9.9999999999909051E-3</v>
      </c>
      <c r="AS50" s="2"/>
    </row>
    <row r="51" spans="1:45" s="131" customFormat="1" x14ac:dyDescent="0.2">
      <c r="A51" s="129"/>
      <c r="B51" s="100" t="s">
        <v>625</v>
      </c>
      <c r="C51" s="263" t="s">
        <v>440</v>
      </c>
      <c r="D51" s="264">
        <v>1</v>
      </c>
      <c r="E51" s="265" t="s">
        <v>24</v>
      </c>
      <c r="F51" s="265" t="s">
        <v>24</v>
      </c>
      <c r="G51" s="606">
        <v>500</v>
      </c>
      <c r="H51" s="623">
        <f t="shared" si="93"/>
        <v>500</v>
      </c>
      <c r="I51" s="267">
        <f>H51*12</f>
        <v>6000</v>
      </c>
      <c r="J51" s="267">
        <f t="shared" si="94"/>
        <v>100</v>
      </c>
      <c r="K51" s="267">
        <v>0</v>
      </c>
      <c r="L51" s="267">
        <f t="shared" ref="L51:L55" si="113">H51</f>
        <v>500</v>
      </c>
      <c r="M51" s="824">
        <f t="shared" ref="M51:M55" si="114">ROUND(I51*$M$10,2)</f>
        <v>465</v>
      </c>
      <c r="N51" s="267">
        <v>0</v>
      </c>
      <c r="O51" s="267">
        <f t="shared" si="95"/>
        <v>450</v>
      </c>
      <c r="P51" s="267">
        <f t="shared" si="96"/>
        <v>60</v>
      </c>
      <c r="Q51" s="267">
        <f t="shared" si="97"/>
        <v>975</v>
      </c>
      <c r="R51" s="252">
        <f t="shared" si="98"/>
        <v>7575</v>
      </c>
      <c r="S51" s="103"/>
      <c r="T51" s="103"/>
      <c r="U51" s="103"/>
      <c r="V51" s="728" t="s">
        <v>312</v>
      </c>
      <c r="W51" s="267">
        <f t="shared" si="99"/>
        <v>1500</v>
      </c>
      <c r="X51" s="267"/>
      <c r="Y51" s="267"/>
      <c r="Z51" s="267">
        <f t="shared" si="100"/>
        <v>112.5</v>
      </c>
      <c r="AA51" s="267">
        <f t="shared" si="13"/>
        <v>0</v>
      </c>
      <c r="AB51" s="267">
        <f t="shared" si="101"/>
        <v>116.25</v>
      </c>
      <c r="AC51" s="267">
        <f t="shared" si="102"/>
        <v>15</v>
      </c>
      <c r="AD51" s="267">
        <f t="shared" si="103"/>
        <v>500</v>
      </c>
      <c r="AE51" s="267">
        <f t="shared" si="104"/>
        <v>2243.75</v>
      </c>
      <c r="AG51" s="728">
        <f t="shared" si="105"/>
        <v>9</v>
      </c>
      <c r="AH51" s="267">
        <f t="shared" si="106"/>
        <v>4500</v>
      </c>
      <c r="AI51" s="267">
        <f t="shared" si="107"/>
        <v>100</v>
      </c>
      <c r="AJ51" s="267"/>
      <c r="AK51" s="267">
        <f t="shared" si="108"/>
        <v>337.5</v>
      </c>
      <c r="AL51" s="267">
        <f t="shared" si="109"/>
        <v>0</v>
      </c>
      <c r="AM51" s="267">
        <f t="shared" si="110"/>
        <v>348.75</v>
      </c>
      <c r="AN51" s="267">
        <f t="shared" si="111"/>
        <v>45</v>
      </c>
      <c r="AO51" s="267"/>
      <c r="AP51" s="267">
        <f t="shared" si="112"/>
        <v>5331.25</v>
      </c>
      <c r="AR51" s="745">
        <f t="shared" si="86"/>
        <v>0</v>
      </c>
      <c r="AS51" s="2"/>
    </row>
    <row r="52" spans="1:45" s="131" customFormat="1" x14ac:dyDescent="0.2">
      <c r="A52" s="129"/>
      <c r="B52" s="100" t="s">
        <v>626</v>
      </c>
      <c r="C52" s="263" t="s">
        <v>593</v>
      </c>
      <c r="D52" s="264">
        <v>1</v>
      </c>
      <c r="E52" s="265" t="s">
        <v>24</v>
      </c>
      <c r="F52" s="265" t="s">
        <v>24</v>
      </c>
      <c r="G52" s="606">
        <v>328.57</v>
      </c>
      <c r="H52" s="623">
        <f t="shared" si="93"/>
        <v>328.57</v>
      </c>
      <c r="I52" s="267">
        <f t="shared" ref="I52:I55" si="115">H52*12</f>
        <v>3942.84</v>
      </c>
      <c r="J52" s="267">
        <f t="shared" si="94"/>
        <v>100</v>
      </c>
      <c r="K52" s="267">
        <v>0</v>
      </c>
      <c r="L52" s="267">
        <f t="shared" si="113"/>
        <v>328.57</v>
      </c>
      <c r="M52" s="824">
        <f t="shared" si="114"/>
        <v>305.57</v>
      </c>
      <c r="N52" s="267">
        <v>0</v>
      </c>
      <c r="O52" s="267">
        <f t="shared" si="95"/>
        <v>295.70999999999998</v>
      </c>
      <c r="P52" s="267">
        <f t="shared" si="96"/>
        <v>39.43</v>
      </c>
      <c r="Q52" s="267">
        <f t="shared" si="97"/>
        <v>640.70999999999992</v>
      </c>
      <c r="R52" s="252">
        <f t="shared" si="98"/>
        <v>5012.12</v>
      </c>
      <c r="S52" s="103"/>
      <c r="T52" s="103"/>
      <c r="U52" s="103"/>
      <c r="V52" s="728" t="s">
        <v>312</v>
      </c>
      <c r="W52" s="267">
        <f t="shared" si="99"/>
        <v>985.71</v>
      </c>
      <c r="X52" s="267"/>
      <c r="Y52" s="267"/>
      <c r="Z52" s="267">
        <f t="shared" si="100"/>
        <v>73.930000000000007</v>
      </c>
      <c r="AA52" s="267">
        <f t="shared" si="13"/>
        <v>0</v>
      </c>
      <c r="AB52" s="267">
        <f t="shared" si="101"/>
        <v>76.39</v>
      </c>
      <c r="AC52" s="267">
        <f t="shared" si="102"/>
        <v>9.86</v>
      </c>
      <c r="AD52" s="267">
        <f t="shared" si="103"/>
        <v>328.57</v>
      </c>
      <c r="AE52" s="267">
        <f t="shared" si="104"/>
        <v>1474.46</v>
      </c>
      <c r="AG52" s="728">
        <f t="shared" si="105"/>
        <v>9</v>
      </c>
      <c r="AH52" s="267">
        <f t="shared" si="106"/>
        <v>2957.13</v>
      </c>
      <c r="AI52" s="267">
        <f t="shared" si="107"/>
        <v>100</v>
      </c>
      <c r="AJ52" s="267"/>
      <c r="AK52" s="267">
        <f t="shared" si="108"/>
        <v>221.78</v>
      </c>
      <c r="AL52" s="267">
        <f t="shared" si="109"/>
        <v>0</v>
      </c>
      <c r="AM52" s="267">
        <f t="shared" si="110"/>
        <v>229.18</v>
      </c>
      <c r="AN52" s="267">
        <f t="shared" si="111"/>
        <v>29.57</v>
      </c>
      <c r="AO52" s="267"/>
      <c r="AP52" s="267">
        <f t="shared" si="112"/>
        <v>3537.6600000000003</v>
      </c>
      <c r="AR52" s="745">
        <f t="shared" si="86"/>
        <v>0</v>
      </c>
      <c r="AS52" s="2"/>
    </row>
    <row r="53" spans="1:45" s="131" customFormat="1" ht="36" x14ac:dyDescent="0.2">
      <c r="A53" s="129"/>
      <c r="B53" s="186" t="s">
        <v>654</v>
      </c>
      <c r="C53" s="621" t="s">
        <v>648</v>
      </c>
      <c r="D53" s="264">
        <v>1</v>
      </c>
      <c r="E53" s="265" t="s">
        <v>24</v>
      </c>
      <c r="F53" s="265" t="s">
        <v>24</v>
      </c>
      <c r="G53" s="606">
        <v>400</v>
      </c>
      <c r="H53" s="623">
        <f t="shared" ref="H53" si="116">D53*G53</f>
        <v>400</v>
      </c>
      <c r="I53" s="267">
        <f t="shared" ref="I53" si="117">H53*12</f>
        <v>4800</v>
      </c>
      <c r="J53" s="267">
        <f t="shared" ref="J53" si="118">100*D53</f>
        <v>100</v>
      </c>
      <c r="K53" s="267">
        <v>0</v>
      </c>
      <c r="L53" s="267">
        <f t="shared" ref="L53" si="119">H53</f>
        <v>400</v>
      </c>
      <c r="M53" s="824">
        <f t="shared" si="114"/>
        <v>372</v>
      </c>
      <c r="N53" s="267">
        <f>+I53*$N$10</f>
        <v>288</v>
      </c>
      <c r="O53" s="267">
        <f t="shared" si="95"/>
        <v>360</v>
      </c>
      <c r="P53" s="267">
        <f t="shared" si="96"/>
        <v>48</v>
      </c>
      <c r="Q53" s="267">
        <f t="shared" si="97"/>
        <v>1068</v>
      </c>
      <c r="R53" s="252">
        <f t="shared" ref="R53" si="120">I53+J53+K53+L53+Q53</f>
        <v>6368</v>
      </c>
      <c r="S53" s="103"/>
      <c r="T53" s="103"/>
      <c r="U53" s="103"/>
      <c r="V53" s="728" t="s">
        <v>312</v>
      </c>
      <c r="W53" s="267">
        <f t="shared" si="99"/>
        <v>1200</v>
      </c>
      <c r="X53" s="267"/>
      <c r="Y53" s="267"/>
      <c r="Z53" s="267">
        <f t="shared" si="100"/>
        <v>90</v>
      </c>
      <c r="AA53" s="267">
        <f>ROUND(((N53/12)*V53),2)</f>
        <v>72</v>
      </c>
      <c r="AB53" s="267">
        <f t="shared" si="101"/>
        <v>93</v>
      </c>
      <c r="AC53" s="267">
        <f t="shared" si="102"/>
        <v>12</v>
      </c>
      <c r="AD53" s="267">
        <f t="shared" si="103"/>
        <v>400</v>
      </c>
      <c r="AE53" s="267">
        <f t="shared" si="104"/>
        <v>1867</v>
      </c>
      <c r="AG53" s="728">
        <f t="shared" si="105"/>
        <v>9</v>
      </c>
      <c r="AH53" s="267">
        <f t="shared" si="106"/>
        <v>3600</v>
      </c>
      <c r="AI53" s="267">
        <f t="shared" si="107"/>
        <v>100</v>
      </c>
      <c r="AJ53" s="267"/>
      <c r="AK53" s="267">
        <f t="shared" si="108"/>
        <v>270</v>
      </c>
      <c r="AL53" s="267">
        <f>ROUND(((N53/12)*AG53),2)</f>
        <v>216</v>
      </c>
      <c r="AM53" s="267">
        <f t="shared" si="110"/>
        <v>279</v>
      </c>
      <c r="AN53" s="267">
        <f t="shared" si="111"/>
        <v>36</v>
      </c>
      <c r="AO53" s="267"/>
      <c r="AP53" s="267">
        <f t="shared" si="112"/>
        <v>4501</v>
      </c>
      <c r="AR53" s="745">
        <f t="shared" si="86"/>
        <v>0</v>
      </c>
      <c r="AS53" s="2"/>
    </row>
    <row r="54" spans="1:45" s="131" customFormat="1" ht="36" customHeight="1" x14ac:dyDescent="0.2">
      <c r="A54" s="129"/>
      <c r="B54" s="186" t="s">
        <v>594</v>
      </c>
      <c r="C54" s="186" t="s">
        <v>595</v>
      </c>
      <c r="D54" s="512">
        <v>1</v>
      </c>
      <c r="E54" s="513" t="s">
        <v>24</v>
      </c>
      <c r="F54" s="513" t="s">
        <v>24</v>
      </c>
      <c r="G54" s="607">
        <v>328.57</v>
      </c>
      <c r="H54" s="624">
        <f t="shared" si="93"/>
        <v>328.57</v>
      </c>
      <c r="I54" s="514">
        <f t="shared" si="115"/>
        <v>3942.84</v>
      </c>
      <c r="J54" s="514">
        <f t="shared" si="94"/>
        <v>100</v>
      </c>
      <c r="K54" s="514">
        <v>0</v>
      </c>
      <c r="L54" s="514">
        <f t="shared" si="113"/>
        <v>328.57</v>
      </c>
      <c r="M54" s="826">
        <f>ROUND(I54*$M$10,2)</f>
        <v>305.57</v>
      </c>
      <c r="N54" s="514">
        <v>0</v>
      </c>
      <c r="O54" s="514">
        <f t="shared" si="95"/>
        <v>295.70999999999998</v>
      </c>
      <c r="P54" s="514">
        <f t="shared" si="96"/>
        <v>39.43</v>
      </c>
      <c r="Q54" s="514">
        <f t="shared" si="97"/>
        <v>640.70999999999992</v>
      </c>
      <c r="R54" s="515">
        <f t="shared" si="98"/>
        <v>5012.12</v>
      </c>
      <c r="S54" s="103"/>
      <c r="T54" s="103"/>
      <c r="U54" s="103"/>
      <c r="V54" s="728" t="s">
        <v>312</v>
      </c>
      <c r="W54" s="514">
        <f t="shared" si="99"/>
        <v>985.71</v>
      </c>
      <c r="X54" s="514"/>
      <c r="Y54" s="514"/>
      <c r="Z54" s="514">
        <f t="shared" si="100"/>
        <v>73.930000000000007</v>
      </c>
      <c r="AA54" s="514">
        <f t="shared" si="13"/>
        <v>0</v>
      </c>
      <c r="AB54" s="514">
        <f t="shared" si="101"/>
        <v>76.39</v>
      </c>
      <c r="AC54" s="514">
        <f t="shared" si="102"/>
        <v>9.86</v>
      </c>
      <c r="AD54" s="514">
        <f t="shared" si="103"/>
        <v>328.57</v>
      </c>
      <c r="AE54" s="514">
        <f t="shared" si="104"/>
        <v>1474.46</v>
      </c>
      <c r="AG54" s="728">
        <f t="shared" si="105"/>
        <v>9</v>
      </c>
      <c r="AH54" s="514">
        <f t="shared" si="106"/>
        <v>2957.13</v>
      </c>
      <c r="AI54" s="514">
        <f t="shared" si="107"/>
        <v>100</v>
      </c>
      <c r="AJ54" s="514"/>
      <c r="AK54" s="514">
        <f t="shared" si="108"/>
        <v>221.78</v>
      </c>
      <c r="AL54" s="514">
        <f t="shared" si="109"/>
        <v>0</v>
      </c>
      <c r="AM54" s="514">
        <f t="shared" si="110"/>
        <v>229.18</v>
      </c>
      <c r="AN54" s="514">
        <f t="shared" si="111"/>
        <v>29.57</v>
      </c>
      <c r="AO54" s="514"/>
      <c r="AP54" s="514">
        <f t="shared" si="112"/>
        <v>3537.6600000000003</v>
      </c>
      <c r="AR54" s="745">
        <f t="shared" si="86"/>
        <v>0</v>
      </c>
      <c r="AS54" s="2"/>
    </row>
    <row r="55" spans="1:45" s="131" customFormat="1" x14ac:dyDescent="0.2">
      <c r="A55" s="129">
        <v>39</v>
      </c>
      <c r="B55" s="100" t="s">
        <v>23</v>
      </c>
      <c r="C55" s="263"/>
      <c r="D55" s="264">
        <v>2</v>
      </c>
      <c r="E55" s="265" t="s">
        <v>24</v>
      </c>
      <c r="F55" s="265" t="s">
        <v>24</v>
      </c>
      <c r="G55" s="606">
        <v>300</v>
      </c>
      <c r="H55" s="623">
        <f t="shared" si="93"/>
        <v>600</v>
      </c>
      <c r="I55" s="267">
        <f t="shared" si="115"/>
        <v>7200</v>
      </c>
      <c r="J55" s="267">
        <f t="shared" si="94"/>
        <v>200</v>
      </c>
      <c r="K55" s="267">
        <v>0</v>
      </c>
      <c r="L55" s="267">
        <f t="shared" si="113"/>
        <v>600</v>
      </c>
      <c r="M55" s="824">
        <f t="shared" si="114"/>
        <v>558</v>
      </c>
      <c r="N55" s="267">
        <v>0</v>
      </c>
      <c r="O55" s="267">
        <f t="shared" si="95"/>
        <v>540</v>
      </c>
      <c r="P55" s="267">
        <f t="shared" si="96"/>
        <v>72</v>
      </c>
      <c r="Q55" s="267">
        <f t="shared" si="97"/>
        <v>1170</v>
      </c>
      <c r="R55" s="252">
        <f t="shared" si="98"/>
        <v>9170</v>
      </c>
      <c r="S55" s="103"/>
      <c r="T55" s="103"/>
      <c r="U55" s="103"/>
      <c r="V55" s="728" t="s">
        <v>312</v>
      </c>
      <c r="W55" s="267">
        <f t="shared" si="99"/>
        <v>1800</v>
      </c>
      <c r="X55" s="267"/>
      <c r="Y55" s="267"/>
      <c r="Z55" s="267">
        <f t="shared" si="100"/>
        <v>135</v>
      </c>
      <c r="AA55" s="267">
        <f t="shared" si="13"/>
        <v>0</v>
      </c>
      <c r="AB55" s="267">
        <f t="shared" si="101"/>
        <v>139.5</v>
      </c>
      <c r="AC55" s="267">
        <f t="shared" si="102"/>
        <v>18</v>
      </c>
      <c r="AD55" s="267">
        <f t="shared" si="103"/>
        <v>600</v>
      </c>
      <c r="AE55" s="267">
        <f t="shared" si="104"/>
        <v>2692.5</v>
      </c>
      <c r="AG55" s="728">
        <f t="shared" si="105"/>
        <v>9</v>
      </c>
      <c r="AH55" s="267">
        <f t="shared" si="106"/>
        <v>5400</v>
      </c>
      <c r="AI55" s="267">
        <f t="shared" si="107"/>
        <v>200</v>
      </c>
      <c r="AJ55" s="267"/>
      <c r="AK55" s="267">
        <f t="shared" si="108"/>
        <v>405</v>
      </c>
      <c r="AL55" s="267">
        <f t="shared" si="109"/>
        <v>0</v>
      </c>
      <c r="AM55" s="267">
        <f t="shared" si="110"/>
        <v>418.5</v>
      </c>
      <c r="AN55" s="267">
        <f t="shared" si="111"/>
        <v>54</v>
      </c>
      <c r="AO55" s="267"/>
      <c r="AP55" s="267">
        <f t="shared" si="112"/>
        <v>6477.5</v>
      </c>
      <c r="AR55" s="745">
        <f t="shared" si="86"/>
        <v>0</v>
      </c>
      <c r="AS55" s="2"/>
    </row>
    <row r="56" spans="1:45" s="131" customFormat="1" ht="13.5" thickBot="1" x14ac:dyDescent="0.25">
      <c r="A56" s="132"/>
      <c r="B56" s="142" t="s">
        <v>422</v>
      </c>
      <c r="C56" s="269"/>
      <c r="D56" s="270">
        <f>SUM(D50:D55)</f>
        <v>7</v>
      </c>
      <c r="E56" s="271"/>
      <c r="F56" s="271"/>
      <c r="G56" s="271"/>
      <c r="H56" s="272">
        <f t="shared" ref="H56:R56" si="121">SUM(H50:H55)</f>
        <v>2607.14</v>
      </c>
      <c r="I56" s="272">
        <f t="shared" si="121"/>
        <v>31285.68</v>
      </c>
      <c r="J56" s="272">
        <f t="shared" si="121"/>
        <v>700</v>
      </c>
      <c r="K56" s="272">
        <f t="shared" si="121"/>
        <v>0</v>
      </c>
      <c r="L56" s="272">
        <f t="shared" si="121"/>
        <v>2607.14</v>
      </c>
      <c r="M56" s="825">
        <f t="shared" si="121"/>
        <v>2424.64</v>
      </c>
      <c r="N56" s="272">
        <f t="shared" si="121"/>
        <v>288</v>
      </c>
      <c r="O56" s="272">
        <f t="shared" si="121"/>
        <v>2346.42</v>
      </c>
      <c r="P56" s="272">
        <f>SUM(P50:P55)</f>
        <v>312.86</v>
      </c>
      <c r="Q56" s="272">
        <f t="shared" si="121"/>
        <v>5371.92</v>
      </c>
      <c r="R56" s="134">
        <f t="shared" si="121"/>
        <v>39964.74</v>
      </c>
      <c r="S56" s="103"/>
      <c r="T56" s="103"/>
      <c r="U56" s="103"/>
      <c r="V56" s="737"/>
      <c r="W56" s="737">
        <f t="shared" ref="W56:AD56" si="122">SUM(W50:W55)</f>
        <v>7821.42</v>
      </c>
      <c r="X56" s="737"/>
      <c r="Y56" s="737"/>
      <c r="Z56" s="737">
        <f t="shared" si="122"/>
        <v>586.61</v>
      </c>
      <c r="AA56" s="737">
        <f t="shared" si="122"/>
        <v>72</v>
      </c>
      <c r="AB56" s="737">
        <f t="shared" si="122"/>
        <v>606.16</v>
      </c>
      <c r="AC56" s="737">
        <f t="shared" si="122"/>
        <v>78.22</v>
      </c>
      <c r="AD56" s="737">
        <f t="shared" si="122"/>
        <v>2607.14</v>
      </c>
      <c r="AE56" s="737">
        <f t="shared" ref="AE56" si="123">SUM(AE50:AE55)</f>
        <v>11771.55</v>
      </c>
      <c r="AG56" s="737"/>
      <c r="AH56" s="737">
        <f t="shared" ref="AH56:AI56" si="124">SUM(AH50:AH55)</f>
        <v>23464.260000000002</v>
      </c>
      <c r="AI56" s="737">
        <f t="shared" si="124"/>
        <v>700</v>
      </c>
      <c r="AJ56" s="737"/>
      <c r="AK56" s="737">
        <f t="shared" ref="AK56" si="125">SUM(AK50:AK55)</f>
        <v>1759.81</v>
      </c>
      <c r="AL56" s="737">
        <f t="shared" ref="AL56" si="126">SUM(AL50:AL55)</f>
        <v>216</v>
      </c>
      <c r="AM56" s="737">
        <f t="shared" ref="AM56" si="127">SUM(AM50:AM55)</f>
        <v>1818.49</v>
      </c>
      <c r="AN56" s="737">
        <f t="shared" ref="AN56" si="128">SUM(AN50:AN55)</f>
        <v>234.64</v>
      </c>
      <c r="AO56" s="737"/>
      <c r="AP56" s="737">
        <f t="shared" ref="AP56" si="129">SUM(AP50:AP55)</f>
        <v>28193.200000000001</v>
      </c>
      <c r="AR56" s="745">
        <f t="shared" si="86"/>
        <v>1.0000000000218279E-2</v>
      </c>
      <c r="AS56" s="2"/>
    </row>
    <row r="57" spans="1:45" s="131" customFormat="1" ht="13.5" hidden="1" thickTop="1" x14ac:dyDescent="0.2">
      <c r="A57" s="129"/>
      <c r="B57" s="100"/>
      <c r="C57" s="263"/>
      <c r="D57" s="264"/>
      <c r="E57" s="265"/>
      <c r="F57" s="265"/>
      <c r="G57" s="265"/>
      <c r="H57" s="623"/>
      <c r="I57" s="267"/>
      <c r="J57" s="267"/>
      <c r="K57" s="267"/>
      <c r="L57" s="267"/>
      <c r="M57" s="824"/>
      <c r="N57" s="268"/>
      <c r="O57" s="267"/>
      <c r="P57" s="267"/>
      <c r="Q57" s="267"/>
      <c r="R57" s="252"/>
      <c r="S57" s="103"/>
      <c r="T57" s="103"/>
      <c r="U57" s="103"/>
      <c r="V57" s="727"/>
      <c r="W57" s="52"/>
      <c r="X57" s="52"/>
      <c r="Y57" s="52"/>
      <c r="Z57" s="52"/>
      <c r="AA57" s="52">
        <f t="shared" si="13"/>
        <v>0</v>
      </c>
      <c r="AB57" s="52">
        <f t="shared" si="53"/>
        <v>0</v>
      </c>
      <c r="AC57" s="52">
        <f t="shared" si="54"/>
        <v>0</v>
      </c>
      <c r="AD57" s="52"/>
      <c r="AE57" s="724"/>
      <c r="AG57" s="727"/>
      <c r="AH57" s="52"/>
      <c r="AI57" s="52"/>
      <c r="AJ57" s="52"/>
      <c r="AK57" s="52"/>
      <c r="AL57" s="52">
        <f t="shared" ref="AL57:AL75" si="130">(Z57/12)*AG57</f>
        <v>0</v>
      </c>
      <c r="AM57" s="52">
        <f t="shared" ref="AM57:AM75" si="131">(W57/12)*AG57</f>
        <v>0</v>
      </c>
      <c r="AN57" s="52">
        <f t="shared" ref="AN57:AN61" si="132">(AB57/12)*AG57</f>
        <v>0</v>
      </c>
      <c r="AO57" s="52"/>
      <c r="AP57" s="724"/>
      <c r="AR57" s="745">
        <f t="shared" si="86"/>
        <v>0</v>
      </c>
      <c r="AS57" s="2"/>
    </row>
    <row r="58" spans="1:45" s="131" customFormat="1" ht="13.5" hidden="1" thickTop="1" x14ac:dyDescent="0.2">
      <c r="A58" s="129">
        <v>40</v>
      </c>
      <c r="B58" s="100" t="s">
        <v>423</v>
      </c>
      <c r="C58" s="263" t="s">
        <v>424</v>
      </c>
      <c r="D58" s="264">
        <v>1</v>
      </c>
      <c r="E58" s="265" t="s">
        <v>21</v>
      </c>
      <c r="F58" s="265" t="s">
        <v>425</v>
      </c>
      <c r="G58" s="265"/>
      <c r="H58" s="623">
        <v>0</v>
      </c>
      <c r="I58" s="267">
        <f>+H58*12*D58</f>
        <v>0</v>
      </c>
      <c r="J58" s="267"/>
      <c r="K58" s="267"/>
      <c r="L58" s="267">
        <f>+H58*D58</f>
        <v>0</v>
      </c>
      <c r="M58" s="824">
        <f>+I58*$M$10</f>
        <v>0</v>
      </c>
      <c r="N58" s="268"/>
      <c r="O58" s="267">
        <f>IF(H58&gt;685.71,685.71*$O$10*12,H58*$O$10*12)</f>
        <v>0</v>
      </c>
      <c r="P58" s="267"/>
      <c r="Q58" s="267">
        <f>SUM(N58:P58)</f>
        <v>0</v>
      </c>
      <c r="R58" s="252">
        <f>SUM(I58:P58)</f>
        <v>0</v>
      </c>
      <c r="S58" s="103"/>
      <c r="T58" s="103"/>
      <c r="U58" s="103"/>
      <c r="V58" s="727"/>
      <c r="W58" s="52"/>
      <c r="X58" s="52"/>
      <c r="Y58" s="52"/>
      <c r="Z58" s="52"/>
      <c r="AA58" s="52">
        <f t="shared" si="13"/>
        <v>0</v>
      </c>
      <c r="AB58" s="52">
        <f t="shared" si="53"/>
        <v>0</v>
      </c>
      <c r="AC58" s="52">
        <f t="shared" si="54"/>
        <v>0</v>
      </c>
      <c r="AD58" s="52"/>
      <c r="AE58" s="724">
        <f>SUM(Q58:AB58)</f>
        <v>0</v>
      </c>
      <c r="AG58" s="727"/>
      <c r="AH58" s="52"/>
      <c r="AI58" s="52"/>
      <c r="AJ58" s="52"/>
      <c r="AK58" s="52"/>
      <c r="AL58" s="52">
        <f t="shared" si="130"/>
        <v>0</v>
      </c>
      <c r="AM58" s="52">
        <f t="shared" si="131"/>
        <v>0</v>
      </c>
      <c r="AN58" s="52">
        <f t="shared" si="132"/>
        <v>0</v>
      </c>
      <c r="AO58" s="52"/>
      <c r="AP58" s="724">
        <f>SUM(AC58:AM58)</f>
        <v>0</v>
      </c>
      <c r="AR58" s="745">
        <f t="shared" si="86"/>
        <v>0</v>
      </c>
      <c r="AS58" s="2"/>
    </row>
    <row r="59" spans="1:45" s="131" customFormat="1" ht="13.5" hidden="1" thickTop="1" x14ac:dyDescent="0.2">
      <c r="A59" s="129">
        <v>41</v>
      </c>
      <c r="B59" s="100" t="s">
        <v>426</v>
      </c>
      <c r="C59" s="263" t="s">
        <v>427</v>
      </c>
      <c r="D59" s="264"/>
      <c r="E59" s="265" t="s">
        <v>21</v>
      </c>
      <c r="F59" s="265" t="s">
        <v>425</v>
      </c>
      <c r="G59" s="265"/>
      <c r="H59" s="623">
        <v>0</v>
      </c>
      <c r="I59" s="267">
        <f>+H59*12*D59</f>
        <v>0</v>
      </c>
      <c r="J59" s="267"/>
      <c r="K59" s="267"/>
      <c r="L59" s="267">
        <f>+H59*D59</f>
        <v>0</v>
      </c>
      <c r="M59" s="824">
        <f>+I59*$M$10</f>
        <v>0</v>
      </c>
      <c r="N59" s="268"/>
      <c r="O59" s="267">
        <f>IF(H59&gt;685.71,685.71*$O$10*12,H59*$O$10*12)</f>
        <v>0</v>
      </c>
      <c r="P59" s="267"/>
      <c r="Q59" s="267">
        <f>SUM(N59:P59)</f>
        <v>0</v>
      </c>
      <c r="R59" s="252">
        <f>SUM(I59:P59)</f>
        <v>0</v>
      </c>
      <c r="S59" s="103"/>
      <c r="T59" s="103"/>
      <c r="U59" s="103"/>
      <c r="V59" s="727"/>
      <c r="W59" s="52"/>
      <c r="X59" s="52"/>
      <c r="Y59" s="52"/>
      <c r="Z59" s="52"/>
      <c r="AA59" s="52">
        <f t="shared" si="13"/>
        <v>0</v>
      </c>
      <c r="AB59" s="52">
        <f t="shared" si="53"/>
        <v>0</v>
      </c>
      <c r="AC59" s="52">
        <f t="shared" si="54"/>
        <v>0</v>
      </c>
      <c r="AD59" s="52"/>
      <c r="AE59" s="724">
        <f>SUM(Q59:AB59)</f>
        <v>0</v>
      </c>
      <c r="AG59" s="727"/>
      <c r="AH59" s="52"/>
      <c r="AI59" s="52"/>
      <c r="AJ59" s="52"/>
      <c r="AK59" s="52"/>
      <c r="AL59" s="52">
        <f t="shared" si="130"/>
        <v>0</v>
      </c>
      <c r="AM59" s="52">
        <f t="shared" si="131"/>
        <v>0</v>
      </c>
      <c r="AN59" s="52">
        <f t="shared" si="132"/>
        <v>0</v>
      </c>
      <c r="AO59" s="52"/>
      <c r="AP59" s="724">
        <f>SUM(AC59:AM59)</f>
        <v>0</v>
      </c>
      <c r="AR59" s="745">
        <f t="shared" si="86"/>
        <v>0</v>
      </c>
      <c r="AS59" s="2"/>
    </row>
    <row r="60" spans="1:45" s="131" customFormat="1" ht="13.5" hidden="1" thickTop="1" x14ac:dyDescent="0.2">
      <c r="A60" s="129">
        <v>42</v>
      </c>
      <c r="B60" s="100" t="s">
        <v>414</v>
      </c>
      <c r="C60" s="263" t="s">
        <v>427</v>
      </c>
      <c r="D60" s="264"/>
      <c r="E60" s="265" t="s">
        <v>21</v>
      </c>
      <c r="F60" s="265" t="s">
        <v>425</v>
      </c>
      <c r="G60" s="265"/>
      <c r="H60" s="623">
        <v>0</v>
      </c>
      <c r="I60" s="267">
        <f>+H60*12*D60</f>
        <v>0</v>
      </c>
      <c r="J60" s="267"/>
      <c r="K60" s="267"/>
      <c r="L60" s="267">
        <f>+H60*D60</f>
        <v>0</v>
      </c>
      <c r="M60" s="824">
        <f>+I60*$M$10</f>
        <v>0</v>
      </c>
      <c r="N60" s="268"/>
      <c r="O60" s="267">
        <f>IF(H60&gt;685.71,685.71*$O$10*12,H60*$O$10*12)</f>
        <v>0</v>
      </c>
      <c r="P60" s="267"/>
      <c r="Q60" s="267">
        <f>SUM(N60:P60)</f>
        <v>0</v>
      </c>
      <c r="R60" s="255">
        <f>SUM(I60:P60)</f>
        <v>0</v>
      </c>
      <c r="S60" s="103"/>
      <c r="T60" s="103"/>
      <c r="U60" s="103"/>
      <c r="V60" s="727"/>
      <c r="W60" s="52"/>
      <c r="X60" s="52"/>
      <c r="Y60" s="52"/>
      <c r="Z60" s="52"/>
      <c r="AA60" s="52">
        <f t="shared" si="13"/>
        <v>0</v>
      </c>
      <c r="AB60" s="52">
        <f t="shared" si="53"/>
        <v>0</v>
      </c>
      <c r="AC60" s="52">
        <f t="shared" si="54"/>
        <v>0</v>
      </c>
      <c r="AD60" s="52"/>
      <c r="AE60" s="724">
        <f>SUM(Q60:AB60)</f>
        <v>0</v>
      </c>
      <c r="AG60" s="727"/>
      <c r="AH60" s="52"/>
      <c r="AI60" s="52"/>
      <c r="AJ60" s="52"/>
      <c r="AK60" s="52"/>
      <c r="AL60" s="52">
        <f t="shared" si="130"/>
        <v>0</v>
      </c>
      <c r="AM60" s="52">
        <f t="shared" si="131"/>
        <v>0</v>
      </c>
      <c r="AN60" s="52">
        <f t="shared" si="132"/>
        <v>0</v>
      </c>
      <c r="AO60" s="52"/>
      <c r="AP60" s="724">
        <f>SUM(AC60:AM60)</f>
        <v>0</v>
      </c>
      <c r="AR60" s="745">
        <f t="shared" si="86"/>
        <v>0</v>
      </c>
      <c r="AS60" s="2"/>
    </row>
    <row r="61" spans="1:45" s="131" customFormat="1" ht="14.25" hidden="1" thickTop="1" thickBot="1" x14ac:dyDescent="0.25">
      <c r="A61" s="132"/>
      <c r="B61" s="133" t="s">
        <v>428</v>
      </c>
      <c r="C61" s="269"/>
      <c r="D61" s="274">
        <f>SUM(D58:D60)</f>
        <v>1</v>
      </c>
      <c r="E61" s="271"/>
      <c r="F61" s="271"/>
      <c r="G61" s="271"/>
      <c r="H61" s="275">
        <f t="shared" ref="H61:R61" si="133">SUM(H58:H60)</f>
        <v>0</v>
      </c>
      <c r="I61" s="275">
        <f t="shared" si="133"/>
        <v>0</v>
      </c>
      <c r="J61" s="275"/>
      <c r="K61" s="275"/>
      <c r="L61" s="275">
        <f t="shared" si="133"/>
        <v>0</v>
      </c>
      <c r="M61" s="828">
        <f t="shared" si="133"/>
        <v>0</v>
      </c>
      <c r="N61" s="275">
        <f t="shared" si="133"/>
        <v>0</v>
      </c>
      <c r="O61" s="275">
        <f t="shared" si="133"/>
        <v>0</v>
      </c>
      <c r="P61" s="275">
        <f t="shared" si="133"/>
        <v>0</v>
      </c>
      <c r="Q61" s="275">
        <f t="shared" si="133"/>
        <v>0</v>
      </c>
      <c r="R61" s="256">
        <f t="shared" si="133"/>
        <v>0</v>
      </c>
      <c r="S61" s="103"/>
      <c r="T61" s="103"/>
      <c r="U61" s="103"/>
      <c r="V61" s="727"/>
      <c r="W61" s="52"/>
      <c r="X61" s="52"/>
      <c r="Y61" s="52"/>
      <c r="Z61" s="52"/>
      <c r="AA61" s="52">
        <f t="shared" si="13"/>
        <v>0</v>
      </c>
      <c r="AB61" s="52">
        <f t="shared" si="53"/>
        <v>0</v>
      </c>
      <c r="AC61" s="52">
        <f t="shared" si="54"/>
        <v>0</v>
      </c>
      <c r="AD61" s="52"/>
      <c r="AE61" s="724">
        <f t="shared" ref="AE61" si="134">SUM(AE58:AE60)</f>
        <v>0</v>
      </c>
      <c r="AG61" s="727"/>
      <c r="AH61" s="52"/>
      <c r="AI61" s="52"/>
      <c r="AJ61" s="52"/>
      <c r="AK61" s="52"/>
      <c r="AL61" s="52">
        <f t="shared" si="130"/>
        <v>0</v>
      </c>
      <c r="AM61" s="52">
        <f t="shared" si="131"/>
        <v>0</v>
      </c>
      <c r="AN61" s="52">
        <f t="shared" si="132"/>
        <v>0</v>
      </c>
      <c r="AO61" s="52"/>
      <c r="AP61" s="724">
        <f t="shared" ref="AP61" si="135">SUM(AP58:AP60)</f>
        <v>0</v>
      </c>
      <c r="AR61" s="745">
        <f t="shared" si="86"/>
        <v>0</v>
      </c>
      <c r="AS61" s="2"/>
    </row>
    <row r="62" spans="1:45" s="131" customFormat="1" ht="13.5" thickTop="1" x14ac:dyDescent="0.2">
      <c r="A62" s="129"/>
      <c r="B62" s="100" t="s">
        <v>665</v>
      </c>
      <c r="C62" s="263" t="s">
        <v>429</v>
      </c>
      <c r="D62" s="264">
        <v>1</v>
      </c>
      <c r="E62" s="265" t="s">
        <v>255</v>
      </c>
      <c r="F62" s="265" t="s">
        <v>255</v>
      </c>
      <c r="G62" s="606">
        <v>0</v>
      </c>
      <c r="H62" s="623">
        <f t="shared" ref="H62:H72" si="136">D62*G62</f>
        <v>0</v>
      </c>
      <c r="I62" s="267">
        <f>H62*12</f>
        <v>0</v>
      </c>
      <c r="J62" s="267">
        <v>0</v>
      </c>
      <c r="K62" s="267">
        <v>0</v>
      </c>
      <c r="L62" s="267">
        <f>H62</f>
        <v>0</v>
      </c>
      <c r="M62" s="824">
        <f>(I62+K62)*M$10</f>
        <v>0</v>
      </c>
      <c r="N62" s="267">
        <f>(I62+K62)*N$10</f>
        <v>0</v>
      </c>
      <c r="O62" s="267">
        <f>ROUND(((I62+K62)*O$10),2)</f>
        <v>0</v>
      </c>
      <c r="P62" s="267">
        <f>ROUND(((I62+K62)*P$10),2)</f>
        <v>0</v>
      </c>
      <c r="Q62" s="267">
        <f>SUM(M62:P62)</f>
        <v>0</v>
      </c>
      <c r="R62" s="252">
        <f t="shared" ref="R62:R72" si="137">I62+J62+K62+L62+Q62</f>
        <v>0</v>
      </c>
      <c r="S62" s="103"/>
      <c r="T62" s="103"/>
      <c r="U62" s="103"/>
      <c r="V62" s="728" t="s">
        <v>314</v>
      </c>
      <c r="W62" s="267">
        <f>H62*V62</f>
        <v>0</v>
      </c>
      <c r="X62" s="267"/>
      <c r="Y62" s="267"/>
      <c r="Z62" s="267">
        <f t="shared" ref="Z62:Z72" si="138">ROUND(((O62/12)*V62),2)</f>
        <v>0</v>
      </c>
      <c r="AA62" s="267">
        <f t="shared" si="13"/>
        <v>0</v>
      </c>
      <c r="AB62" s="267">
        <f t="shared" ref="AB62:AB72" si="139">ROUND(((M62/12)*V62),2)</f>
        <v>0</v>
      </c>
      <c r="AC62" s="267">
        <f t="shared" ref="AC62:AC72" si="140">ROUND(((P62/12)*V62),2)</f>
        <v>0</v>
      </c>
      <c r="AD62" s="267">
        <f t="shared" ref="AD62:AD72" si="141">L62</f>
        <v>0</v>
      </c>
      <c r="AE62" s="267">
        <f t="shared" ref="AE62:AE72" si="142">SUM(W62:AD62)</f>
        <v>0</v>
      </c>
      <c r="AG62" s="728">
        <f>12-V62</f>
        <v>8</v>
      </c>
      <c r="AH62" s="267">
        <f>H62*AG62</f>
        <v>0</v>
      </c>
      <c r="AI62" s="267">
        <f>J62</f>
        <v>0</v>
      </c>
      <c r="AJ62" s="267"/>
      <c r="AK62" s="267">
        <f t="shared" ref="AK62:AK72" si="143">ROUND(((O62/12)*AG62),2)</f>
        <v>0</v>
      </c>
      <c r="AL62" s="267">
        <f>(N62/12)*AG62</f>
        <v>0</v>
      </c>
      <c r="AM62" s="267">
        <f t="shared" ref="AM62:AM72" si="144">ROUND(((M62/12)*AG62),2)</f>
        <v>0</v>
      </c>
      <c r="AN62" s="267">
        <f t="shared" ref="AN62:AN72" si="145">ROUND(((P62/12)*AG62),2)</f>
        <v>0</v>
      </c>
      <c r="AO62" s="267"/>
      <c r="AP62" s="267">
        <f>SUM(AH62:AN62)</f>
        <v>0</v>
      </c>
      <c r="AR62" s="745">
        <f t="shared" si="86"/>
        <v>0</v>
      </c>
      <c r="AS62" s="2"/>
    </row>
    <row r="63" spans="1:45" s="131" customFormat="1" x14ac:dyDescent="0.2">
      <c r="A63" s="129"/>
      <c r="B63" s="100" t="s">
        <v>430</v>
      </c>
      <c r="C63" s="263" t="s">
        <v>429</v>
      </c>
      <c r="D63" s="264">
        <v>1</v>
      </c>
      <c r="E63" s="265" t="s">
        <v>255</v>
      </c>
      <c r="F63" s="265" t="s">
        <v>255</v>
      </c>
      <c r="G63" s="606">
        <v>328.57</v>
      </c>
      <c r="H63" s="623">
        <f t="shared" si="136"/>
        <v>328.57</v>
      </c>
      <c r="I63" s="267">
        <f>H63*12</f>
        <v>3942.84</v>
      </c>
      <c r="J63" s="267">
        <f t="shared" ref="J63:J72" si="146">100*D63</f>
        <v>100</v>
      </c>
      <c r="K63" s="267">
        <f>G63*D63</f>
        <v>328.57</v>
      </c>
      <c r="L63" s="267">
        <f t="shared" ref="L63:L75" si="147">H63</f>
        <v>328.57</v>
      </c>
      <c r="M63" s="824">
        <f>ROUND(((I63+K63)*M$10),2)</f>
        <v>331.03</v>
      </c>
      <c r="N63" s="267">
        <f>ROUND(((328.57*N10)*13),2)</f>
        <v>256.27999999999997</v>
      </c>
      <c r="O63" s="267">
        <f t="shared" ref="O63:O72" si="148">ROUND(((I63+K63)*O$10),2)</f>
        <v>320.36</v>
      </c>
      <c r="P63" s="267">
        <f t="shared" ref="P63:P71" si="149">ROUND(((I63+K63)*P$10),2)</f>
        <v>42.71</v>
      </c>
      <c r="Q63" s="267">
        <f t="shared" ref="Q63:Q72" si="150">SUM(M63:P63)</f>
        <v>950.38</v>
      </c>
      <c r="R63" s="252">
        <f t="shared" si="137"/>
        <v>5650.36</v>
      </c>
      <c r="S63" s="103"/>
      <c r="T63" s="103"/>
      <c r="U63" s="103"/>
      <c r="V63" s="728" t="s">
        <v>314</v>
      </c>
      <c r="W63" s="267">
        <f t="shared" ref="W63:W72" si="151">H63*V63</f>
        <v>1314.28</v>
      </c>
      <c r="X63" s="267"/>
      <c r="Y63" s="267">
        <f>K63</f>
        <v>328.57</v>
      </c>
      <c r="Z63" s="267">
        <f t="shared" si="138"/>
        <v>106.79</v>
      </c>
      <c r="AA63" s="267">
        <f>ROUND(((N63/12)*V63),2)</f>
        <v>85.43</v>
      </c>
      <c r="AB63" s="267">
        <f t="shared" si="139"/>
        <v>110.34</v>
      </c>
      <c r="AC63" s="267">
        <f t="shared" si="140"/>
        <v>14.24</v>
      </c>
      <c r="AD63" s="267">
        <f t="shared" si="141"/>
        <v>328.57</v>
      </c>
      <c r="AE63" s="267">
        <f>SUM(W63:AD63)</f>
        <v>2288.2199999999998</v>
      </c>
      <c r="AG63" s="728">
        <f>12-V63</f>
        <v>8</v>
      </c>
      <c r="AH63" s="267">
        <f>H63*AG63</f>
        <v>2628.56</v>
      </c>
      <c r="AI63" s="267">
        <f>J63</f>
        <v>100</v>
      </c>
      <c r="AJ63" s="267"/>
      <c r="AK63" s="267">
        <f t="shared" si="143"/>
        <v>213.57</v>
      </c>
      <c r="AL63" s="267">
        <f>ROUND(((N63/12)*AG63),2)</f>
        <v>170.85</v>
      </c>
      <c r="AM63" s="267">
        <f t="shared" si="144"/>
        <v>220.69</v>
      </c>
      <c r="AN63" s="267">
        <f t="shared" si="145"/>
        <v>28.47</v>
      </c>
      <c r="AO63" s="267"/>
      <c r="AP63" s="267">
        <f>SUM(AH63:AN63)</f>
        <v>3362.14</v>
      </c>
      <c r="AR63" s="745">
        <f t="shared" si="86"/>
        <v>0</v>
      </c>
      <c r="AS63" s="2"/>
    </row>
    <row r="64" spans="1:45" s="131" customFormat="1" x14ac:dyDescent="0.2">
      <c r="A64" s="129"/>
      <c r="B64" s="100" t="s">
        <v>430</v>
      </c>
      <c r="C64" s="263" t="s">
        <v>429</v>
      </c>
      <c r="D64" s="264">
        <v>5</v>
      </c>
      <c r="E64" s="265" t="s">
        <v>255</v>
      </c>
      <c r="F64" s="265" t="s">
        <v>255</v>
      </c>
      <c r="G64" s="606">
        <v>300</v>
      </c>
      <c r="H64" s="623">
        <f t="shared" si="136"/>
        <v>1500</v>
      </c>
      <c r="I64" s="267">
        <f>H64*12</f>
        <v>18000</v>
      </c>
      <c r="J64" s="267">
        <f t="shared" si="146"/>
        <v>500</v>
      </c>
      <c r="K64" s="267">
        <f t="shared" ref="K64:K65" si="152">G64*D64</f>
        <v>1500</v>
      </c>
      <c r="L64" s="267">
        <f t="shared" si="147"/>
        <v>1500</v>
      </c>
      <c r="M64" s="824">
        <f t="shared" ref="M64:M72" si="153">ROUND(((I64+K64)*M$10),2)</f>
        <v>1511.25</v>
      </c>
      <c r="N64" s="267">
        <f>ROUND(((400*N10)*13),2)</f>
        <v>312</v>
      </c>
      <c r="O64" s="267">
        <f>ROUND(((I64+K64)*O$10),2)</f>
        <v>1462.5</v>
      </c>
      <c r="P64" s="267">
        <f t="shared" si="149"/>
        <v>195</v>
      </c>
      <c r="Q64" s="267">
        <f t="shared" si="150"/>
        <v>3480.75</v>
      </c>
      <c r="R64" s="252">
        <f t="shared" si="137"/>
        <v>24980.75</v>
      </c>
      <c r="S64" s="103"/>
      <c r="T64" s="103"/>
      <c r="U64" s="103"/>
      <c r="V64" s="728" t="s">
        <v>314</v>
      </c>
      <c r="W64" s="267">
        <f t="shared" si="151"/>
        <v>6000</v>
      </c>
      <c r="X64" s="267"/>
      <c r="Y64" s="267">
        <f t="shared" ref="Y64:Y65" si="154">K64</f>
        <v>1500</v>
      </c>
      <c r="Z64" s="267">
        <f t="shared" si="138"/>
        <v>487.5</v>
      </c>
      <c r="AA64" s="267">
        <f>ROUND(((N64/12)*V64),2)</f>
        <v>104</v>
      </c>
      <c r="AB64" s="267">
        <f t="shared" si="139"/>
        <v>503.75</v>
      </c>
      <c r="AC64" s="267">
        <f t="shared" si="140"/>
        <v>65</v>
      </c>
      <c r="AD64" s="267">
        <f t="shared" si="141"/>
        <v>1500</v>
      </c>
      <c r="AE64" s="267">
        <f t="shared" si="142"/>
        <v>10160.25</v>
      </c>
      <c r="AG64" s="728">
        <f>12-V64</f>
        <v>8</v>
      </c>
      <c r="AH64" s="267">
        <f>H64*AG64</f>
        <v>12000</v>
      </c>
      <c r="AI64" s="267">
        <f>J64</f>
        <v>500</v>
      </c>
      <c r="AJ64" s="267"/>
      <c r="AK64" s="267">
        <f t="shared" si="143"/>
        <v>975</v>
      </c>
      <c r="AL64" s="267">
        <f>ROUND(((N64/12)*AG64),2)</f>
        <v>208</v>
      </c>
      <c r="AM64" s="267">
        <f t="shared" si="144"/>
        <v>1007.5</v>
      </c>
      <c r="AN64" s="267">
        <f t="shared" si="145"/>
        <v>130</v>
      </c>
      <c r="AO64" s="267"/>
      <c r="AP64" s="267">
        <f>SUM(AH64:AN64)</f>
        <v>14820.5</v>
      </c>
      <c r="AR64" s="745">
        <f t="shared" si="86"/>
        <v>0</v>
      </c>
      <c r="AS64" s="2"/>
    </row>
    <row r="65" spans="1:45" s="131" customFormat="1" x14ac:dyDescent="0.2">
      <c r="A65" s="129">
        <v>23</v>
      </c>
      <c r="B65" s="100" t="s">
        <v>431</v>
      </c>
      <c r="C65" s="263" t="s">
        <v>7</v>
      </c>
      <c r="D65" s="264">
        <v>2</v>
      </c>
      <c r="E65" s="265" t="s">
        <v>255</v>
      </c>
      <c r="F65" s="265" t="s">
        <v>255</v>
      </c>
      <c r="G65" s="606">
        <v>300</v>
      </c>
      <c r="H65" s="623">
        <f t="shared" si="136"/>
        <v>600</v>
      </c>
      <c r="I65" s="267">
        <f t="shared" ref="I65:I75" si="155">H65*12</f>
        <v>7200</v>
      </c>
      <c r="J65" s="267">
        <f t="shared" si="146"/>
        <v>200</v>
      </c>
      <c r="K65" s="267">
        <f t="shared" si="152"/>
        <v>600</v>
      </c>
      <c r="L65" s="267">
        <f t="shared" si="147"/>
        <v>600</v>
      </c>
      <c r="M65" s="824">
        <f t="shared" si="153"/>
        <v>604.5</v>
      </c>
      <c r="N65" s="267">
        <v>0</v>
      </c>
      <c r="O65" s="267">
        <f t="shared" si="148"/>
        <v>585</v>
      </c>
      <c r="P65" s="267">
        <f t="shared" si="149"/>
        <v>78</v>
      </c>
      <c r="Q65" s="267">
        <f t="shared" si="150"/>
        <v>1267.5</v>
      </c>
      <c r="R65" s="252">
        <f t="shared" si="137"/>
        <v>9867.5</v>
      </c>
      <c r="S65" s="103"/>
      <c r="T65" s="103"/>
      <c r="U65" s="103"/>
      <c r="V65" s="728" t="s">
        <v>314</v>
      </c>
      <c r="W65" s="267">
        <f t="shared" si="151"/>
        <v>2400</v>
      </c>
      <c r="X65" s="267"/>
      <c r="Y65" s="267">
        <f t="shared" si="154"/>
        <v>600</v>
      </c>
      <c r="Z65" s="267">
        <f t="shared" si="138"/>
        <v>195</v>
      </c>
      <c r="AA65" s="267">
        <f t="shared" si="13"/>
        <v>0</v>
      </c>
      <c r="AB65" s="267">
        <f t="shared" si="139"/>
        <v>201.5</v>
      </c>
      <c r="AC65" s="267">
        <f t="shared" si="140"/>
        <v>26</v>
      </c>
      <c r="AD65" s="267">
        <f t="shared" si="141"/>
        <v>600</v>
      </c>
      <c r="AE65" s="267">
        <f t="shared" si="142"/>
        <v>4022.5</v>
      </c>
      <c r="AG65" s="728">
        <f>12-V65</f>
        <v>8</v>
      </c>
      <c r="AH65" s="267">
        <f>H65*AG65</f>
        <v>4800</v>
      </c>
      <c r="AI65" s="267">
        <f>J65</f>
        <v>200</v>
      </c>
      <c r="AJ65" s="267"/>
      <c r="AK65" s="267">
        <f t="shared" si="143"/>
        <v>390</v>
      </c>
      <c r="AL65" s="267">
        <f>(N65/12)*AG65</f>
        <v>0</v>
      </c>
      <c r="AM65" s="267">
        <f t="shared" si="144"/>
        <v>403</v>
      </c>
      <c r="AN65" s="267">
        <f t="shared" si="145"/>
        <v>52</v>
      </c>
      <c r="AO65" s="267"/>
      <c r="AP65" s="267">
        <f>SUM(AH65:AN65)</f>
        <v>5845</v>
      </c>
      <c r="AR65" s="745">
        <f t="shared" si="86"/>
        <v>0</v>
      </c>
      <c r="AS65" s="2"/>
    </row>
    <row r="66" spans="1:45" s="131" customFormat="1" x14ac:dyDescent="0.2">
      <c r="A66" s="129">
        <v>22</v>
      </c>
      <c r="B66" s="100" t="s">
        <v>432</v>
      </c>
      <c r="C66" s="263" t="s">
        <v>7</v>
      </c>
      <c r="D66" s="264">
        <v>1</v>
      </c>
      <c r="E66" s="265" t="s">
        <v>255</v>
      </c>
      <c r="F66" s="265" t="s">
        <v>255</v>
      </c>
      <c r="G66" s="606">
        <v>400</v>
      </c>
      <c r="H66" s="623">
        <f t="shared" si="136"/>
        <v>400</v>
      </c>
      <c r="I66" s="267">
        <f t="shared" si="155"/>
        <v>4800</v>
      </c>
      <c r="J66" s="267">
        <f t="shared" si="146"/>
        <v>100</v>
      </c>
      <c r="K66" s="267">
        <v>0</v>
      </c>
      <c r="L66" s="267">
        <f t="shared" si="147"/>
        <v>400</v>
      </c>
      <c r="M66" s="824">
        <f t="shared" si="153"/>
        <v>372</v>
      </c>
      <c r="N66" s="267">
        <v>0</v>
      </c>
      <c r="O66" s="267">
        <f t="shared" si="148"/>
        <v>360</v>
      </c>
      <c r="P66" s="267">
        <f t="shared" si="149"/>
        <v>48</v>
      </c>
      <c r="Q66" s="267">
        <f t="shared" si="150"/>
        <v>780</v>
      </c>
      <c r="R66" s="252">
        <f t="shared" si="137"/>
        <v>6080</v>
      </c>
      <c r="S66" s="103"/>
      <c r="T66" s="103"/>
      <c r="U66" s="103"/>
      <c r="V66" s="728" t="s">
        <v>314</v>
      </c>
      <c r="W66" s="267">
        <f t="shared" si="151"/>
        <v>1600</v>
      </c>
      <c r="X66" s="267"/>
      <c r="Y66" s="267"/>
      <c r="Z66" s="267">
        <f t="shared" si="138"/>
        <v>120</v>
      </c>
      <c r="AA66" s="267">
        <f t="shared" si="13"/>
        <v>0</v>
      </c>
      <c r="AB66" s="267">
        <f t="shared" si="139"/>
        <v>124</v>
      </c>
      <c r="AC66" s="267">
        <f t="shared" si="140"/>
        <v>16</v>
      </c>
      <c r="AD66" s="267">
        <f t="shared" si="141"/>
        <v>400</v>
      </c>
      <c r="AE66" s="267">
        <f t="shared" si="142"/>
        <v>2260</v>
      </c>
      <c r="AG66" s="728">
        <f>12-V66</f>
        <v>8</v>
      </c>
      <c r="AH66" s="267">
        <f>H66*AG66</f>
        <v>3200</v>
      </c>
      <c r="AI66" s="267">
        <f>J66</f>
        <v>100</v>
      </c>
      <c r="AJ66" s="267"/>
      <c r="AK66" s="267">
        <f t="shared" si="143"/>
        <v>240</v>
      </c>
      <c r="AL66" s="267">
        <f>(N66/12)*AG66</f>
        <v>0</v>
      </c>
      <c r="AM66" s="267">
        <f t="shared" si="144"/>
        <v>248</v>
      </c>
      <c r="AN66" s="267">
        <f t="shared" si="145"/>
        <v>32</v>
      </c>
      <c r="AO66" s="267"/>
      <c r="AP66" s="267">
        <f>SUM(AH66:AN66)</f>
        <v>3820</v>
      </c>
      <c r="AR66" s="745">
        <f t="shared" si="86"/>
        <v>0</v>
      </c>
      <c r="AS66" s="2"/>
    </row>
    <row r="67" spans="1:45" s="131" customFormat="1" x14ac:dyDescent="0.2">
      <c r="A67" s="129"/>
      <c r="B67" s="621" t="s">
        <v>663</v>
      </c>
      <c r="C67" s="263" t="s">
        <v>606</v>
      </c>
      <c r="D67" s="264">
        <v>1</v>
      </c>
      <c r="E67" s="265" t="s">
        <v>255</v>
      </c>
      <c r="F67" s="265" t="s">
        <v>255</v>
      </c>
      <c r="G67" s="606">
        <v>700</v>
      </c>
      <c r="H67" s="623">
        <f t="shared" ref="H67" si="156">D67*G67</f>
        <v>700</v>
      </c>
      <c r="I67" s="267">
        <f>H67*12</f>
        <v>8400</v>
      </c>
      <c r="J67" s="267">
        <f t="shared" ref="J67" si="157">100*D67</f>
        <v>100</v>
      </c>
      <c r="K67" s="267">
        <v>0</v>
      </c>
      <c r="L67" s="267">
        <f t="shared" si="147"/>
        <v>700</v>
      </c>
      <c r="M67" s="824">
        <f t="shared" si="153"/>
        <v>651</v>
      </c>
      <c r="N67" s="267">
        <v>0</v>
      </c>
      <c r="O67" s="267">
        <f t="shared" si="148"/>
        <v>630</v>
      </c>
      <c r="P67" s="267">
        <f t="shared" si="149"/>
        <v>84</v>
      </c>
      <c r="Q67" s="267">
        <f>SUM(M67:P67)</f>
        <v>1365</v>
      </c>
      <c r="R67" s="252">
        <f t="shared" ref="R67" si="158">I67+J67+K67+L67+Q67</f>
        <v>10565</v>
      </c>
      <c r="S67" s="103"/>
      <c r="T67" s="103"/>
      <c r="U67" s="103"/>
      <c r="V67" s="728" t="s">
        <v>314</v>
      </c>
      <c r="W67" s="267">
        <f t="shared" ref="W67" si="159">H67*V67</f>
        <v>2800</v>
      </c>
      <c r="X67" s="267"/>
      <c r="Y67" s="267"/>
      <c r="Z67" s="267">
        <f t="shared" si="138"/>
        <v>210</v>
      </c>
      <c r="AA67" s="267">
        <f t="shared" ref="AA67" si="160">(N67/12)*V67</f>
        <v>0</v>
      </c>
      <c r="AB67" s="267">
        <f t="shared" si="139"/>
        <v>217</v>
      </c>
      <c r="AC67" s="267">
        <f t="shared" si="140"/>
        <v>28</v>
      </c>
      <c r="AD67" s="267">
        <f t="shared" si="141"/>
        <v>700</v>
      </c>
      <c r="AE67" s="267">
        <f t="shared" si="142"/>
        <v>3955</v>
      </c>
      <c r="AG67" s="728">
        <f t="shared" ref="AG67" si="161">12-V67</f>
        <v>8</v>
      </c>
      <c r="AH67" s="267">
        <f t="shared" ref="AH67" si="162">H67*AG67</f>
        <v>5600</v>
      </c>
      <c r="AI67" s="267">
        <f t="shared" ref="AI67" si="163">J67</f>
        <v>100</v>
      </c>
      <c r="AJ67" s="267"/>
      <c r="AK67" s="267">
        <f t="shared" si="143"/>
        <v>420</v>
      </c>
      <c r="AL67" s="267">
        <f t="shared" ref="AL67" si="164">(N67/12)*AG67</f>
        <v>0</v>
      </c>
      <c r="AM67" s="267">
        <f t="shared" si="144"/>
        <v>434</v>
      </c>
      <c r="AN67" s="267">
        <f t="shared" si="145"/>
        <v>56</v>
      </c>
      <c r="AO67" s="267"/>
      <c r="AP67" s="267">
        <f t="shared" ref="AP67" si="165">SUM(AH67:AN67)</f>
        <v>6610</v>
      </c>
      <c r="AR67" s="745">
        <f t="shared" ref="AR67" si="166">AB67+AM67-M67</f>
        <v>0</v>
      </c>
      <c r="AS67" s="2"/>
    </row>
    <row r="68" spans="1:45" s="131" customFormat="1" x14ac:dyDescent="0.2">
      <c r="A68" s="129"/>
      <c r="B68" s="621" t="s">
        <v>664</v>
      </c>
      <c r="C68" s="263" t="s">
        <v>606</v>
      </c>
      <c r="D68" s="264">
        <v>1</v>
      </c>
      <c r="E68" s="265" t="s">
        <v>255</v>
      </c>
      <c r="F68" s="265" t="s">
        <v>255</v>
      </c>
      <c r="G68" s="606">
        <v>450</v>
      </c>
      <c r="H68" s="623">
        <f t="shared" si="136"/>
        <v>450</v>
      </c>
      <c r="I68" s="267">
        <f>H68*12</f>
        <v>5400</v>
      </c>
      <c r="J68" s="267">
        <f t="shared" si="146"/>
        <v>100</v>
      </c>
      <c r="K68" s="267">
        <v>0</v>
      </c>
      <c r="L68" s="267">
        <f t="shared" ref="L68" si="167">H68</f>
        <v>450</v>
      </c>
      <c r="M68" s="824">
        <f t="shared" si="153"/>
        <v>418.5</v>
      </c>
      <c r="N68" s="267">
        <v>0</v>
      </c>
      <c r="O68" s="267">
        <f t="shared" si="148"/>
        <v>405</v>
      </c>
      <c r="P68" s="267">
        <f t="shared" si="149"/>
        <v>54</v>
      </c>
      <c r="Q68" s="267">
        <f>SUM(M68:P68)</f>
        <v>877.5</v>
      </c>
      <c r="R68" s="252">
        <f t="shared" si="137"/>
        <v>6827.5</v>
      </c>
      <c r="S68" s="103"/>
      <c r="T68" s="103"/>
      <c r="U68" s="103"/>
      <c r="V68" s="728" t="s">
        <v>314</v>
      </c>
      <c r="W68" s="267">
        <f t="shared" si="151"/>
        <v>1800</v>
      </c>
      <c r="X68" s="267"/>
      <c r="Y68" s="267"/>
      <c r="Z68" s="267">
        <f t="shared" si="138"/>
        <v>135</v>
      </c>
      <c r="AA68" s="267">
        <f t="shared" si="13"/>
        <v>0</v>
      </c>
      <c r="AB68" s="267">
        <f t="shared" si="139"/>
        <v>139.5</v>
      </c>
      <c r="AC68" s="267">
        <f t="shared" si="140"/>
        <v>18</v>
      </c>
      <c r="AD68" s="267">
        <f t="shared" si="141"/>
        <v>450</v>
      </c>
      <c r="AE68" s="267">
        <f t="shared" si="142"/>
        <v>2542.5</v>
      </c>
      <c r="AG68" s="728">
        <f>12-V68</f>
        <v>8</v>
      </c>
      <c r="AH68" s="267">
        <f>H68*AG68</f>
        <v>3600</v>
      </c>
      <c r="AI68" s="267">
        <f>J68</f>
        <v>100</v>
      </c>
      <c r="AJ68" s="267"/>
      <c r="AK68" s="267">
        <f t="shared" si="143"/>
        <v>270</v>
      </c>
      <c r="AL68" s="267">
        <f>(N68/12)*AG68</f>
        <v>0</v>
      </c>
      <c r="AM68" s="267">
        <f t="shared" si="144"/>
        <v>279</v>
      </c>
      <c r="AN68" s="267">
        <f t="shared" si="145"/>
        <v>36</v>
      </c>
      <c r="AO68" s="267"/>
      <c r="AP68" s="267">
        <f>SUM(AH68:AN68)</f>
        <v>4285</v>
      </c>
      <c r="AR68" s="745">
        <f t="shared" ref="AR68:AR75" si="168">AB68+AM68-M68</f>
        <v>0</v>
      </c>
      <c r="AS68" s="2"/>
    </row>
    <row r="69" spans="1:45" s="131" customFormat="1" x14ac:dyDescent="0.2">
      <c r="A69" s="129"/>
      <c r="B69" s="100" t="s">
        <v>666</v>
      </c>
      <c r="C69" s="263" t="s">
        <v>578</v>
      </c>
      <c r="D69" s="264">
        <v>1</v>
      </c>
      <c r="E69" s="265" t="s">
        <v>255</v>
      </c>
      <c r="F69" s="265" t="s">
        <v>255</v>
      </c>
      <c r="G69" s="606">
        <v>450</v>
      </c>
      <c r="H69" s="623">
        <f t="shared" si="136"/>
        <v>450</v>
      </c>
      <c r="I69" s="267">
        <f t="shared" si="155"/>
        <v>5400</v>
      </c>
      <c r="J69" s="267">
        <f t="shared" si="146"/>
        <v>100</v>
      </c>
      <c r="K69" s="267">
        <f t="shared" ref="K69:K72" si="169">G69*D69</f>
        <v>450</v>
      </c>
      <c r="L69" s="267">
        <f t="shared" si="147"/>
        <v>450</v>
      </c>
      <c r="M69" s="824">
        <f t="shared" si="153"/>
        <v>453.38</v>
      </c>
      <c r="N69" s="267">
        <v>0</v>
      </c>
      <c r="O69" s="267">
        <f t="shared" si="148"/>
        <v>438.75</v>
      </c>
      <c r="P69" s="267">
        <f t="shared" si="149"/>
        <v>58.5</v>
      </c>
      <c r="Q69" s="267">
        <f>SUM(M69:P69)</f>
        <v>950.63</v>
      </c>
      <c r="R69" s="252">
        <f t="shared" si="137"/>
        <v>7350.63</v>
      </c>
      <c r="S69" s="103"/>
      <c r="T69" s="103"/>
      <c r="U69" s="103"/>
      <c r="V69" s="728" t="s">
        <v>314</v>
      </c>
      <c r="W69" s="267">
        <f t="shared" si="151"/>
        <v>1800</v>
      </c>
      <c r="X69" s="267"/>
      <c r="Y69" s="267"/>
      <c r="Z69" s="267">
        <f t="shared" si="138"/>
        <v>146.25</v>
      </c>
      <c r="AA69" s="267">
        <f t="shared" si="13"/>
        <v>0</v>
      </c>
      <c r="AB69" s="267">
        <f t="shared" si="139"/>
        <v>151.13</v>
      </c>
      <c r="AC69" s="267">
        <f t="shared" si="140"/>
        <v>19.5</v>
      </c>
      <c r="AD69" s="267">
        <f t="shared" si="141"/>
        <v>450</v>
      </c>
      <c r="AE69" s="267">
        <f t="shared" si="142"/>
        <v>2566.88</v>
      </c>
      <c r="AG69" s="728">
        <f>12-V69</f>
        <v>8</v>
      </c>
      <c r="AH69" s="267">
        <f>H69*AG69</f>
        <v>3600</v>
      </c>
      <c r="AI69" s="267">
        <f>J69</f>
        <v>100</v>
      </c>
      <c r="AJ69" s="267">
        <f>K69</f>
        <v>450</v>
      </c>
      <c r="AK69" s="267">
        <f t="shared" si="143"/>
        <v>292.5</v>
      </c>
      <c r="AL69" s="267">
        <f>(N69/12)*AG69</f>
        <v>0</v>
      </c>
      <c r="AM69" s="267">
        <f t="shared" si="144"/>
        <v>302.25</v>
      </c>
      <c r="AN69" s="267">
        <f t="shared" si="145"/>
        <v>39</v>
      </c>
      <c r="AO69" s="267"/>
      <c r="AP69" s="267">
        <f>SUM(AH69:AN69)</f>
        <v>4783.75</v>
      </c>
      <c r="AR69" s="745">
        <f t="shared" si="168"/>
        <v>0</v>
      </c>
      <c r="AS69" s="2"/>
    </row>
    <row r="70" spans="1:45" s="131" customFormat="1" x14ac:dyDescent="0.2">
      <c r="A70" s="129">
        <v>29</v>
      </c>
      <c r="B70" s="100" t="s">
        <v>667</v>
      </c>
      <c r="C70" s="263" t="s">
        <v>578</v>
      </c>
      <c r="D70" s="264">
        <v>1</v>
      </c>
      <c r="E70" s="265" t="s">
        <v>255</v>
      </c>
      <c r="F70" s="265" t="s">
        <v>255</v>
      </c>
      <c r="G70" s="606">
        <v>334.29</v>
      </c>
      <c r="H70" s="623">
        <f t="shared" si="136"/>
        <v>334.29</v>
      </c>
      <c r="I70" s="267">
        <f>H70*12</f>
        <v>4011.4800000000005</v>
      </c>
      <c r="J70" s="267">
        <f t="shared" si="146"/>
        <v>100</v>
      </c>
      <c r="K70" s="267">
        <f t="shared" si="169"/>
        <v>334.29</v>
      </c>
      <c r="L70" s="267">
        <f>H70</f>
        <v>334.29</v>
      </c>
      <c r="M70" s="824">
        <f t="shared" si="153"/>
        <v>336.8</v>
      </c>
      <c r="N70" s="267">
        <v>0</v>
      </c>
      <c r="O70" s="267">
        <f t="shared" si="148"/>
        <v>325.93</v>
      </c>
      <c r="P70" s="267">
        <f t="shared" si="149"/>
        <v>43.46</v>
      </c>
      <c r="Q70" s="267">
        <f>SUM(M70:P70)</f>
        <v>706.19</v>
      </c>
      <c r="R70" s="252">
        <f t="shared" si="137"/>
        <v>5486.25</v>
      </c>
      <c r="S70" s="103"/>
      <c r="T70" s="103"/>
      <c r="U70" s="103"/>
      <c r="V70" s="728" t="s">
        <v>314</v>
      </c>
      <c r="W70" s="267">
        <f t="shared" si="151"/>
        <v>1337.16</v>
      </c>
      <c r="X70" s="267"/>
      <c r="Y70" s="267"/>
      <c r="Z70" s="267">
        <f t="shared" si="138"/>
        <v>108.64</v>
      </c>
      <c r="AA70" s="267">
        <f t="shared" si="13"/>
        <v>0</v>
      </c>
      <c r="AB70" s="267">
        <f t="shared" si="139"/>
        <v>112.27</v>
      </c>
      <c r="AC70" s="267">
        <f t="shared" si="140"/>
        <v>14.49</v>
      </c>
      <c r="AD70" s="267">
        <f t="shared" si="141"/>
        <v>334.29</v>
      </c>
      <c r="AE70" s="267">
        <f t="shared" si="142"/>
        <v>1906.8500000000001</v>
      </c>
      <c r="AG70" s="728">
        <f>12-V70</f>
        <v>8</v>
      </c>
      <c r="AH70" s="267">
        <f>H70*AG70</f>
        <v>2674.32</v>
      </c>
      <c r="AI70" s="267">
        <f>J70</f>
        <v>100</v>
      </c>
      <c r="AJ70" s="267">
        <f t="shared" ref="AJ70:AJ72" si="170">K70</f>
        <v>334.29</v>
      </c>
      <c r="AK70" s="267">
        <f t="shared" si="143"/>
        <v>217.29</v>
      </c>
      <c r="AL70" s="267">
        <f>(N70/12)*AG70</f>
        <v>0</v>
      </c>
      <c r="AM70" s="267">
        <f t="shared" si="144"/>
        <v>224.53</v>
      </c>
      <c r="AN70" s="267">
        <f t="shared" si="145"/>
        <v>28.97</v>
      </c>
      <c r="AO70" s="267"/>
      <c r="AP70" s="267">
        <f>SUM(AH70:AN70)</f>
        <v>3579.4</v>
      </c>
      <c r="AR70" s="745">
        <f t="shared" si="168"/>
        <v>0</v>
      </c>
      <c r="AS70" s="2"/>
    </row>
    <row r="71" spans="1:45" s="131" customFormat="1" x14ac:dyDescent="0.2">
      <c r="A71" s="129"/>
      <c r="B71" s="100" t="s">
        <v>433</v>
      </c>
      <c r="C71" s="263" t="s">
        <v>578</v>
      </c>
      <c r="D71" s="264">
        <v>3</v>
      </c>
      <c r="E71" s="265" t="s">
        <v>255</v>
      </c>
      <c r="F71" s="265" t="s">
        <v>255</v>
      </c>
      <c r="G71" s="606">
        <v>300</v>
      </c>
      <c r="H71" s="623">
        <f t="shared" si="136"/>
        <v>900</v>
      </c>
      <c r="I71" s="267">
        <f>H71*12</f>
        <v>10800</v>
      </c>
      <c r="J71" s="267">
        <f t="shared" si="146"/>
        <v>300</v>
      </c>
      <c r="K71" s="267">
        <f t="shared" si="169"/>
        <v>900</v>
      </c>
      <c r="L71" s="267">
        <f t="shared" ref="L71" si="171">H71</f>
        <v>900</v>
      </c>
      <c r="M71" s="824">
        <f t="shared" si="153"/>
        <v>906.75</v>
      </c>
      <c r="N71" s="267">
        <v>0</v>
      </c>
      <c r="O71" s="267">
        <f t="shared" si="148"/>
        <v>877.5</v>
      </c>
      <c r="P71" s="267">
        <f t="shared" si="149"/>
        <v>117</v>
      </c>
      <c r="Q71" s="267">
        <f t="shared" ref="Q71" si="172">SUM(M71:P71)</f>
        <v>1901.25</v>
      </c>
      <c r="R71" s="252">
        <f t="shared" si="137"/>
        <v>14801.25</v>
      </c>
      <c r="S71" s="103"/>
      <c r="T71" s="103"/>
      <c r="U71" s="103"/>
      <c r="V71" s="728" t="s">
        <v>314</v>
      </c>
      <c r="W71" s="267">
        <f t="shared" si="151"/>
        <v>3600</v>
      </c>
      <c r="X71" s="267"/>
      <c r="Y71" s="267"/>
      <c r="Z71" s="267">
        <f t="shared" si="138"/>
        <v>292.5</v>
      </c>
      <c r="AA71" s="267">
        <f t="shared" si="13"/>
        <v>0</v>
      </c>
      <c r="AB71" s="267">
        <f t="shared" si="139"/>
        <v>302.25</v>
      </c>
      <c r="AC71" s="267">
        <f t="shared" si="140"/>
        <v>39</v>
      </c>
      <c r="AD71" s="267">
        <f t="shared" si="141"/>
        <v>900</v>
      </c>
      <c r="AE71" s="267">
        <f t="shared" si="142"/>
        <v>5133.75</v>
      </c>
      <c r="AG71" s="728">
        <f>12-V71</f>
        <v>8</v>
      </c>
      <c r="AH71" s="267">
        <f>H71*AG71</f>
        <v>7200</v>
      </c>
      <c r="AI71" s="267">
        <f>J71</f>
        <v>300</v>
      </c>
      <c r="AJ71" s="267">
        <f t="shared" si="170"/>
        <v>900</v>
      </c>
      <c r="AK71" s="267">
        <f t="shared" si="143"/>
        <v>585</v>
      </c>
      <c r="AL71" s="267">
        <f>(N71/12)*AG71</f>
        <v>0</v>
      </c>
      <c r="AM71" s="267">
        <f t="shared" si="144"/>
        <v>604.5</v>
      </c>
      <c r="AN71" s="267">
        <f t="shared" si="145"/>
        <v>78</v>
      </c>
      <c r="AO71" s="267"/>
      <c r="AP71" s="267">
        <f>SUM(AH71:AN71)</f>
        <v>9667.5</v>
      </c>
      <c r="AR71" s="745">
        <f t="shared" si="168"/>
        <v>0</v>
      </c>
      <c r="AS71" s="2"/>
    </row>
    <row r="72" spans="1:45" s="131" customFormat="1" x14ac:dyDescent="0.2">
      <c r="A72" s="129"/>
      <c r="B72" s="100" t="s">
        <v>434</v>
      </c>
      <c r="C72" s="263" t="s">
        <v>578</v>
      </c>
      <c r="D72" s="264">
        <v>3</v>
      </c>
      <c r="E72" s="265" t="s">
        <v>255</v>
      </c>
      <c r="F72" s="265" t="s">
        <v>255</v>
      </c>
      <c r="G72" s="606">
        <v>300</v>
      </c>
      <c r="H72" s="623">
        <f t="shared" si="136"/>
        <v>900</v>
      </c>
      <c r="I72" s="267">
        <f t="shared" si="155"/>
        <v>10800</v>
      </c>
      <c r="J72" s="267">
        <f t="shared" si="146"/>
        <v>300</v>
      </c>
      <c r="K72" s="267">
        <f t="shared" si="169"/>
        <v>900</v>
      </c>
      <c r="L72" s="267">
        <f t="shared" si="147"/>
        <v>900</v>
      </c>
      <c r="M72" s="824">
        <f t="shared" si="153"/>
        <v>906.75</v>
      </c>
      <c r="N72" s="267">
        <v>0</v>
      </c>
      <c r="O72" s="267">
        <f t="shared" si="148"/>
        <v>877.5</v>
      </c>
      <c r="P72" s="267">
        <f>ROUND(((I72+K72)*P$10),2)</f>
        <v>117</v>
      </c>
      <c r="Q72" s="267">
        <f t="shared" si="150"/>
        <v>1901.25</v>
      </c>
      <c r="R72" s="252">
        <f t="shared" si="137"/>
        <v>14801.25</v>
      </c>
      <c r="S72" s="103"/>
      <c r="T72" s="103"/>
      <c r="U72" s="103"/>
      <c r="V72" s="728" t="s">
        <v>314</v>
      </c>
      <c r="W72" s="267">
        <f t="shared" si="151"/>
        <v>3600</v>
      </c>
      <c r="X72" s="267"/>
      <c r="Y72" s="267"/>
      <c r="Z72" s="267">
        <f t="shared" si="138"/>
        <v>292.5</v>
      </c>
      <c r="AA72" s="267">
        <f t="shared" si="13"/>
        <v>0</v>
      </c>
      <c r="AB72" s="267">
        <f t="shared" si="139"/>
        <v>302.25</v>
      </c>
      <c r="AC72" s="267">
        <f t="shared" si="140"/>
        <v>39</v>
      </c>
      <c r="AD72" s="267">
        <f t="shared" si="141"/>
        <v>900</v>
      </c>
      <c r="AE72" s="267">
        <f t="shared" si="142"/>
        <v>5133.75</v>
      </c>
      <c r="AG72" s="728">
        <f>12-V72</f>
        <v>8</v>
      </c>
      <c r="AH72" s="267">
        <f>H72*AG72</f>
        <v>7200</v>
      </c>
      <c r="AI72" s="267">
        <f>J72</f>
        <v>300</v>
      </c>
      <c r="AJ72" s="267">
        <f t="shared" si="170"/>
        <v>900</v>
      </c>
      <c r="AK72" s="267">
        <f t="shared" si="143"/>
        <v>585</v>
      </c>
      <c r="AL72" s="267">
        <f>(N72/12)*AG72</f>
        <v>0</v>
      </c>
      <c r="AM72" s="267">
        <f t="shared" si="144"/>
        <v>604.5</v>
      </c>
      <c r="AN72" s="267">
        <f t="shared" si="145"/>
        <v>78</v>
      </c>
      <c r="AO72" s="267"/>
      <c r="AP72" s="267">
        <f>SUM(AH72:AN72)</f>
        <v>9667.5</v>
      </c>
      <c r="AR72" s="745">
        <f t="shared" si="168"/>
        <v>0</v>
      </c>
    </row>
    <row r="73" spans="1:45" s="131" customFormat="1" hidden="1" x14ac:dyDescent="0.2">
      <c r="A73" s="129"/>
      <c r="B73" s="100" t="s">
        <v>509</v>
      </c>
      <c r="C73" s="263" t="s">
        <v>512</v>
      </c>
      <c r="D73" s="264">
        <v>1</v>
      </c>
      <c r="E73" s="265" t="s">
        <v>255</v>
      </c>
      <c r="F73" s="265" t="s">
        <v>255</v>
      </c>
      <c r="G73" s="265"/>
      <c r="H73" s="623"/>
      <c r="I73" s="267">
        <f t="shared" si="155"/>
        <v>0</v>
      </c>
      <c r="J73" s="267"/>
      <c r="K73" s="267"/>
      <c r="L73" s="267">
        <f t="shared" si="147"/>
        <v>0</v>
      </c>
      <c r="M73" s="824">
        <f t="shared" ref="M73:M75" si="173">+I73*$M$10</f>
        <v>0</v>
      </c>
      <c r="N73" s="267">
        <v>0</v>
      </c>
      <c r="O73" s="267">
        <f t="shared" ref="O73:O75" si="174">IF(H73&gt;685.71,685.71*$O$10*12,H73*$O$10*12)*D73</f>
        <v>0</v>
      </c>
      <c r="P73" s="267"/>
      <c r="Q73" s="267">
        <f t="shared" ref="Q73:Q75" si="175">SUM(M73:P73)</f>
        <v>0</v>
      </c>
      <c r="R73" s="252">
        <f t="shared" ref="R73:R75" si="176">SUM(I73:P73)</f>
        <v>0</v>
      </c>
      <c r="S73" s="103"/>
      <c r="T73" s="103"/>
      <c r="U73" s="103"/>
      <c r="V73" s="727"/>
      <c r="W73" s="267"/>
      <c r="X73" s="267"/>
      <c r="Y73" s="267"/>
      <c r="Z73" s="267"/>
      <c r="AA73" s="267">
        <f t="shared" si="13"/>
        <v>0</v>
      </c>
      <c r="AB73" s="267">
        <f t="shared" si="53"/>
        <v>0</v>
      </c>
      <c r="AC73" s="267"/>
      <c r="AD73" s="267"/>
      <c r="AE73" s="267">
        <f t="shared" ref="AE73:AE75" si="177">SUM(Q73:AB73)</f>
        <v>0</v>
      </c>
      <c r="AG73" s="727"/>
      <c r="AH73" s="267"/>
      <c r="AI73" s="267"/>
      <c r="AJ73" s="267"/>
      <c r="AK73" s="267"/>
      <c r="AL73" s="267">
        <f t="shared" si="130"/>
        <v>0</v>
      </c>
      <c r="AM73" s="267">
        <f t="shared" si="131"/>
        <v>0</v>
      </c>
      <c r="AN73" s="267"/>
      <c r="AO73" s="267"/>
      <c r="AP73" s="267">
        <f t="shared" ref="AP73:AP75" si="178">SUM(AC73:AM73)</f>
        <v>0</v>
      </c>
      <c r="AR73" s="745">
        <f t="shared" si="168"/>
        <v>0</v>
      </c>
    </row>
    <row r="74" spans="1:45" s="131" customFormat="1" hidden="1" x14ac:dyDescent="0.2">
      <c r="A74" s="129"/>
      <c r="B74" s="100" t="s">
        <v>510</v>
      </c>
      <c r="C74" s="263" t="s">
        <v>512</v>
      </c>
      <c r="D74" s="264">
        <v>2</v>
      </c>
      <c r="E74" s="265" t="s">
        <v>255</v>
      </c>
      <c r="F74" s="265" t="s">
        <v>255</v>
      </c>
      <c r="G74" s="265"/>
      <c r="H74" s="623"/>
      <c r="I74" s="267">
        <f t="shared" si="155"/>
        <v>0</v>
      </c>
      <c r="J74" s="267"/>
      <c r="K74" s="267"/>
      <c r="L74" s="267">
        <f t="shared" si="147"/>
        <v>0</v>
      </c>
      <c r="M74" s="824">
        <f>+I74*$M$10</f>
        <v>0</v>
      </c>
      <c r="N74" s="267">
        <v>0</v>
      </c>
      <c r="O74" s="267">
        <f t="shared" si="174"/>
        <v>0</v>
      </c>
      <c r="P74" s="267"/>
      <c r="Q74" s="267">
        <f t="shared" si="175"/>
        <v>0</v>
      </c>
      <c r="R74" s="252">
        <f t="shared" si="176"/>
        <v>0</v>
      </c>
      <c r="S74" s="103"/>
      <c r="T74" s="103"/>
      <c r="U74" s="103"/>
      <c r="V74" s="727"/>
      <c r="W74" s="267"/>
      <c r="X74" s="267"/>
      <c r="Y74" s="267"/>
      <c r="Z74" s="267"/>
      <c r="AA74" s="267">
        <f t="shared" si="13"/>
        <v>0</v>
      </c>
      <c r="AB74" s="267">
        <f t="shared" si="53"/>
        <v>0</v>
      </c>
      <c r="AC74" s="267"/>
      <c r="AD74" s="267"/>
      <c r="AE74" s="267">
        <f t="shared" si="177"/>
        <v>0</v>
      </c>
      <c r="AG74" s="727"/>
      <c r="AH74" s="267"/>
      <c r="AI74" s="267"/>
      <c r="AJ74" s="267"/>
      <c r="AK74" s="267"/>
      <c r="AL74" s="267">
        <f t="shared" si="130"/>
        <v>0</v>
      </c>
      <c r="AM74" s="267">
        <f t="shared" si="131"/>
        <v>0</v>
      </c>
      <c r="AN74" s="267"/>
      <c r="AO74" s="267"/>
      <c r="AP74" s="267">
        <f t="shared" si="178"/>
        <v>0</v>
      </c>
      <c r="AR74" s="745">
        <f t="shared" si="168"/>
        <v>0</v>
      </c>
    </row>
    <row r="75" spans="1:45" s="131" customFormat="1" hidden="1" x14ac:dyDescent="0.2">
      <c r="A75" s="129"/>
      <c r="B75" s="100" t="s">
        <v>511</v>
      </c>
      <c r="C75" s="263" t="s">
        <v>513</v>
      </c>
      <c r="D75" s="264">
        <v>1</v>
      </c>
      <c r="E75" s="265" t="s">
        <v>255</v>
      </c>
      <c r="F75" s="265" t="s">
        <v>255</v>
      </c>
      <c r="G75" s="265"/>
      <c r="H75" s="623"/>
      <c r="I75" s="267">
        <f t="shared" si="155"/>
        <v>0</v>
      </c>
      <c r="J75" s="267"/>
      <c r="K75" s="267"/>
      <c r="L75" s="267">
        <f t="shared" si="147"/>
        <v>0</v>
      </c>
      <c r="M75" s="824">
        <f t="shared" si="173"/>
        <v>0</v>
      </c>
      <c r="N75" s="267">
        <v>0</v>
      </c>
      <c r="O75" s="267">
        <f t="shared" si="174"/>
        <v>0</v>
      </c>
      <c r="P75" s="267"/>
      <c r="Q75" s="267">
        <f t="shared" si="175"/>
        <v>0</v>
      </c>
      <c r="R75" s="252">
        <f t="shared" si="176"/>
        <v>0</v>
      </c>
      <c r="S75" s="103"/>
      <c r="T75" s="103"/>
      <c r="U75" s="103"/>
      <c r="V75" s="727"/>
      <c r="W75" s="267"/>
      <c r="X75" s="267"/>
      <c r="Y75" s="267"/>
      <c r="Z75" s="267"/>
      <c r="AA75" s="267">
        <f t="shared" si="13"/>
        <v>0</v>
      </c>
      <c r="AB75" s="267">
        <f t="shared" si="53"/>
        <v>0</v>
      </c>
      <c r="AC75" s="267"/>
      <c r="AD75" s="267"/>
      <c r="AE75" s="267">
        <f t="shared" si="177"/>
        <v>0</v>
      </c>
      <c r="AG75" s="727"/>
      <c r="AH75" s="267"/>
      <c r="AI75" s="267"/>
      <c r="AJ75" s="267"/>
      <c r="AK75" s="267"/>
      <c r="AL75" s="267">
        <f t="shared" si="130"/>
        <v>0</v>
      </c>
      <c r="AM75" s="267">
        <f t="shared" si="131"/>
        <v>0</v>
      </c>
      <c r="AN75" s="267"/>
      <c r="AO75" s="267"/>
      <c r="AP75" s="267">
        <f t="shared" si="178"/>
        <v>0</v>
      </c>
      <c r="AR75" s="745">
        <f t="shared" si="168"/>
        <v>0</v>
      </c>
    </row>
    <row r="76" spans="1:45" s="131" customFormat="1" ht="13.5" thickBot="1" x14ac:dyDescent="0.25">
      <c r="A76" s="129"/>
      <c r="B76" s="142" t="s">
        <v>454</v>
      </c>
      <c r="C76" s="269"/>
      <c r="D76" s="270">
        <f>SUM(D62:D75)</f>
        <v>24</v>
      </c>
      <c r="E76" s="271"/>
      <c r="F76" s="271"/>
      <c r="G76" s="271"/>
      <c r="H76" s="272">
        <f t="shared" ref="H76:R76" si="179">SUM(H62:H75)</f>
        <v>6562.86</v>
      </c>
      <c r="I76" s="272">
        <f t="shared" si="179"/>
        <v>78754.320000000007</v>
      </c>
      <c r="J76" s="272">
        <f t="shared" si="179"/>
        <v>1900</v>
      </c>
      <c r="K76" s="272">
        <f t="shared" si="179"/>
        <v>5012.8599999999997</v>
      </c>
      <c r="L76" s="272">
        <f t="shared" si="179"/>
        <v>6562.86</v>
      </c>
      <c r="M76" s="825">
        <f t="shared" si="179"/>
        <v>6491.96</v>
      </c>
      <c r="N76" s="272">
        <f t="shared" si="179"/>
        <v>568.28</v>
      </c>
      <c r="O76" s="272">
        <f t="shared" si="179"/>
        <v>6282.5400000000009</v>
      </c>
      <c r="P76" s="272">
        <f t="shared" si="179"/>
        <v>837.67000000000007</v>
      </c>
      <c r="Q76" s="272">
        <f t="shared" si="179"/>
        <v>14180.45</v>
      </c>
      <c r="R76" s="134">
        <f t="shared" si="179"/>
        <v>106410.49</v>
      </c>
      <c r="S76" s="585"/>
      <c r="T76" s="585"/>
      <c r="U76" s="585"/>
      <c r="V76" s="737"/>
      <c r="W76" s="737">
        <f>SUM(W62:W75)</f>
        <v>26251.439999999999</v>
      </c>
      <c r="X76" s="737">
        <f t="shared" ref="X76:Y76" si="180">SUM(X62:X75)</f>
        <v>0</v>
      </c>
      <c r="Y76" s="737">
        <f t="shared" si="180"/>
        <v>2428.5699999999997</v>
      </c>
      <c r="Z76" s="737">
        <f t="shared" ref="Z76:AE76" si="181">SUM(Z62:Z75)</f>
        <v>2094.1800000000003</v>
      </c>
      <c r="AA76" s="737">
        <f t="shared" si="181"/>
        <v>189.43</v>
      </c>
      <c r="AB76" s="737">
        <f t="shared" si="181"/>
        <v>2163.9900000000002</v>
      </c>
      <c r="AC76" s="737">
        <f t="shared" si="181"/>
        <v>279.23</v>
      </c>
      <c r="AD76" s="737">
        <f t="shared" si="181"/>
        <v>6562.86</v>
      </c>
      <c r="AE76" s="737">
        <f t="shared" si="181"/>
        <v>39969.699999999997</v>
      </c>
      <c r="AG76" s="737"/>
      <c r="AH76" s="737">
        <f t="shared" ref="AH76:AN76" si="182">SUM(AH62:AH75)</f>
        <v>52502.879999999997</v>
      </c>
      <c r="AI76" s="737">
        <f t="shared" si="182"/>
        <v>1900</v>
      </c>
      <c r="AJ76" s="737">
        <f t="shared" si="182"/>
        <v>2584.29</v>
      </c>
      <c r="AK76" s="737">
        <f t="shared" si="182"/>
        <v>4188.3599999999997</v>
      </c>
      <c r="AL76" s="737">
        <f t="shared" si="182"/>
        <v>378.85</v>
      </c>
      <c r="AM76" s="737">
        <f t="shared" si="182"/>
        <v>4327.97</v>
      </c>
      <c r="AN76" s="737">
        <f t="shared" si="182"/>
        <v>558.44000000000005</v>
      </c>
      <c r="AO76" s="737"/>
      <c r="AP76" s="737">
        <f>SUM(AP62:AP75)</f>
        <v>66440.790000000008</v>
      </c>
      <c r="AR76" s="745"/>
    </row>
    <row r="77" spans="1:45" s="2" customFormat="1" ht="14.25" thickTop="1" thickBot="1" x14ac:dyDescent="0.25">
      <c r="A77" s="140"/>
      <c r="B77" s="141" t="s">
        <v>634</v>
      </c>
      <c r="C77" s="284"/>
      <c r="D77" s="281">
        <f>+D56+D76</f>
        <v>31</v>
      </c>
      <c r="E77" s="285"/>
      <c r="F77" s="285"/>
      <c r="G77" s="285"/>
      <c r="H77" s="283">
        <f t="shared" ref="H77:M77" si="183">H56+H76</f>
        <v>9170</v>
      </c>
      <c r="I77" s="283">
        <f t="shared" si="183"/>
        <v>110040</v>
      </c>
      <c r="J77" s="283">
        <f t="shared" si="183"/>
        <v>2600</v>
      </c>
      <c r="K77" s="283">
        <f t="shared" si="183"/>
        <v>5012.8599999999997</v>
      </c>
      <c r="L77" s="283">
        <f t="shared" si="183"/>
        <v>9170</v>
      </c>
      <c r="M77" s="830">
        <f t="shared" si="183"/>
        <v>8916.6</v>
      </c>
      <c r="N77" s="283">
        <f>+N61+N56+N49+N45+N41+N76</f>
        <v>856.28</v>
      </c>
      <c r="O77" s="283">
        <f>O76+O56</f>
        <v>8628.9600000000009</v>
      </c>
      <c r="P77" s="283">
        <f>+P76+P56</f>
        <v>1150.5300000000002</v>
      </c>
      <c r="Q77" s="283">
        <f>Q76+Q56</f>
        <v>19552.370000000003</v>
      </c>
      <c r="R77" s="143">
        <f>R76+R56</f>
        <v>146375.23000000001</v>
      </c>
      <c r="S77" s="103"/>
      <c r="T77" s="103"/>
      <c r="U77" s="103"/>
      <c r="V77" s="734"/>
      <c r="W77" s="734">
        <f>+W76+W56</f>
        <v>34072.86</v>
      </c>
      <c r="X77" s="734">
        <f t="shared" ref="X77:Y77" si="184">+X76+X56</f>
        <v>0</v>
      </c>
      <c r="Y77" s="734">
        <f t="shared" si="184"/>
        <v>2428.5699999999997</v>
      </c>
      <c r="Z77" s="734">
        <f>+Z76+Z56</f>
        <v>2680.7900000000004</v>
      </c>
      <c r="AA77" s="734">
        <f>+AA76+AA56</f>
        <v>261.43</v>
      </c>
      <c r="AB77" s="734">
        <f>+AB76+AB56</f>
        <v>2770.15</v>
      </c>
      <c r="AC77" s="734">
        <f>+AC76+AC56</f>
        <v>357.45000000000005</v>
      </c>
      <c r="AD77" s="734">
        <f>+AD76+AD56</f>
        <v>9170</v>
      </c>
      <c r="AE77" s="734">
        <f>AE76+AE56</f>
        <v>51741.25</v>
      </c>
      <c r="AG77" s="734"/>
      <c r="AH77" s="734">
        <f t="shared" ref="AH77:AN77" si="185">+AH76+AH56</f>
        <v>75967.14</v>
      </c>
      <c r="AI77" s="734">
        <f t="shared" si="185"/>
        <v>2600</v>
      </c>
      <c r="AJ77" s="734">
        <f t="shared" si="185"/>
        <v>2584.29</v>
      </c>
      <c r="AK77" s="734">
        <f t="shared" si="185"/>
        <v>5948.17</v>
      </c>
      <c r="AL77" s="734">
        <f t="shared" si="185"/>
        <v>594.85</v>
      </c>
      <c r="AM77" s="734">
        <f t="shared" si="185"/>
        <v>6146.46</v>
      </c>
      <c r="AN77" s="734">
        <f t="shared" si="185"/>
        <v>793.08</v>
      </c>
      <c r="AO77" s="734"/>
      <c r="AP77" s="734">
        <f>AP76+AP56</f>
        <v>94633.99</v>
      </c>
      <c r="AR77" s="745"/>
    </row>
    <row r="78" spans="1:45" s="2" customFormat="1" ht="6.75" customHeight="1" thickBot="1" x14ac:dyDescent="0.25">
      <c r="A78" s="130"/>
      <c r="B78" s="100"/>
      <c r="C78" s="286"/>
      <c r="D78" s="286"/>
      <c r="E78" s="265"/>
      <c r="F78" s="265"/>
      <c r="G78" s="265"/>
      <c r="H78" s="287"/>
      <c r="I78" s="287"/>
      <c r="J78" s="287"/>
      <c r="K78" s="287"/>
      <c r="L78" s="287"/>
      <c r="M78" s="831"/>
      <c r="N78" s="287"/>
      <c r="O78" s="287"/>
      <c r="P78" s="287"/>
      <c r="Q78" s="288"/>
      <c r="R78" s="144"/>
      <c r="S78" s="103"/>
      <c r="T78" s="103"/>
      <c r="U78" s="103"/>
      <c r="V78" s="735"/>
      <c r="W78" s="735"/>
      <c r="X78" s="735"/>
      <c r="Y78" s="735"/>
      <c r="Z78" s="735"/>
      <c r="AA78" s="735"/>
      <c r="AB78" s="735"/>
      <c r="AC78" s="735"/>
      <c r="AD78" s="735"/>
      <c r="AE78" s="735"/>
      <c r="AG78" s="735"/>
      <c r="AH78" s="735"/>
      <c r="AI78" s="735"/>
      <c r="AJ78" s="735"/>
      <c r="AK78" s="735"/>
      <c r="AL78" s="735"/>
      <c r="AM78" s="735"/>
      <c r="AN78" s="735"/>
      <c r="AO78" s="735"/>
      <c r="AP78" s="735"/>
      <c r="AR78" s="745"/>
    </row>
    <row r="79" spans="1:45" s="131" customFormat="1" ht="13.5" thickBot="1" x14ac:dyDescent="0.25">
      <c r="A79" s="145"/>
      <c r="B79" s="146" t="s">
        <v>435</v>
      </c>
      <c r="C79" s="289"/>
      <c r="D79" s="289"/>
      <c r="E79" s="290"/>
      <c r="F79" s="290"/>
      <c r="G79" s="290"/>
      <c r="H79" s="147">
        <f t="shared" ref="H79:Q79" si="186">+H77+H35</f>
        <v>20520</v>
      </c>
      <c r="I79" s="147">
        <f t="shared" si="186"/>
        <v>246240</v>
      </c>
      <c r="J79" s="147">
        <f t="shared" si="186"/>
        <v>3900</v>
      </c>
      <c r="K79" s="147">
        <f t="shared" si="186"/>
        <v>5012.8599999999997</v>
      </c>
      <c r="L79" s="147">
        <f t="shared" si="186"/>
        <v>20520</v>
      </c>
      <c r="M79" s="832">
        <f t="shared" si="186"/>
        <v>18588.599999999999</v>
      </c>
      <c r="N79" s="147">
        <f t="shared" si="186"/>
        <v>856.28</v>
      </c>
      <c r="O79" s="147">
        <f t="shared" si="186"/>
        <v>16548.96</v>
      </c>
      <c r="P79" s="147">
        <f t="shared" si="186"/>
        <v>2206.5300000000002</v>
      </c>
      <c r="Q79" s="147">
        <f t="shared" si="186"/>
        <v>38200.370000000003</v>
      </c>
      <c r="R79" s="257">
        <f>R35+R77</f>
        <v>313873.23</v>
      </c>
      <c r="S79" s="148"/>
      <c r="T79" s="148"/>
      <c r="U79" s="148"/>
      <c r="V79" s="736"/>
      <c r="W79" s="736">
        <f>+W77+W35</f>
        <v>79472.86</v>
      </c>
      <c r="X79" s="736">
        <f t="shared" ref="X79:Y79" si="187">+X77+X35</f>
        <v>0</v>
      </c>
      <c r="Y79" s="736">
        <f t="shared" si="187"/>
        <v>2428.5699999999997</v>
      </c>
      <c r="Z79" s="736">
        <f>+Z77+Z35</f>
        <v>5320.7900000000009</v>
      </c>
      <c r="AA79" s="736">
        <f>+AA77+AA35</f>
        <v>261.43</v>
      </c>
      <c r="AB79" s="736">
        <f>+AB77+AB35</f>
        <v>5994.15</v>
      </c>
      <c r="AC79" s="736">
        <f>+AC77+AC35</f>
        <v>709.45</v>
      </c>
      <c r="AD79" s="736">
        <f>+AD77+AD35</f>
        <v>20520</v>
      </c>
      <c r="AE79" s="736">
        <f>AE35+AE77</f>
        <v>114707.25</v>
      </c>
      <c r="AG79" s="736"/>
      <c r="AH79" s="736">
        <f t="shared" ref="AH79:AN79" si="188">+AH77+AH35</f>
        <v>166767.14000000001</v>
      </c>
      <c r="AI79" s="736">
        <f t="shared" si="188"/>
        <v>3900</v>
      </c>
      <c r="AJ79" s="736">
        <f t="shared" si="188"/>
        <v>2584.29</v>
      </c>
      <c r="AK79" s="736">
        <f t="shared" si="188"/>
        <v>11228.17</v>
      </c>
      <c r="AL79" s="736">
        <f t="shared" si="188"/>
        <v>594.85</v>
      </c>
      <c r="AM79" s="736">
        <f t="shared" si="188"/>
        <v>12594.46</v>
      </c>
      <c r="AN79" s="736">
        <f t="shared" si="188"/>
        <v>1497.08</v>
      </c>
      <c r="AO79" s="736"/>
      <c r="AP79" s="736">
        <f>AP35+AP77</f>
        <v>199165.99</v>
      </c>
      <c r="AQ79" s="15"/>
      <c r="AR79" s="745"/>
    </row>
    <row r="80" spans="1:45" s="2" customFormat="1" ht="13.5" thickBot="1" x14ac:dyDescent="0.25">
      <c r="A80" s="149"/>
      <c r="B80" s="146" t="s">
        <v>436</v>
      </c>
      <c r="C80" s="291"/>
      <c r="D80" s="291"/>
      <c r="E80" s="292"/>
      <c r="F80" s="292"/>
      <c r="G80" s="292"/>
      <c r="H80" s="626"/>
      <c r="I80" s="150"/>
      <c r="J80" s="150"/>
      <c r="K80" s="150"/>
      <c r="L80" s="150"/>
      <c r="M80" s="150"/>
      <c r="N80" s="150"/>
      <c r="O80" s="150"/>
      <c r="P80" s="584"/>
      <c r="Q80" s="150"/>
      <c r="R80" s="258">
        <f>SUM(R79:R79)</f>
        <v>313873.23</v>
      </c>
      <c r="S80" s="103"/>
      <c r="T80" s="103"/>
      <c r="U80" s="103"/>
      <c r="V80" s="729"/>
      <c r="W80" s="584"/>
      <c r="X80" s="584"/>
      <c r="Y80" s="584"/>
      <c r="Z80" s="584"/>
      <c r="AA80" s="584"/>
      <c r="AB80" s="584"/>
      <c r="AC80" s="584"/>
      <c r="AD80" s="584"/>
      <c r="AE80" s="584"/>
      <c r="AG80" s="729"/>
      <c r="AH80" s="584"/>
      <c r="AI80" s="584"/>
      <c r="AJ80" s="584"/>
      <c r="AK80" s="584"/>
      <c r="AL80" s="584"/>
      <c r="AM80" s="584"/>
      <c r="AN80" s="584"/>
      <c r="AO80" s="584"/>
      <c r="AP80" s="584"/>
      <c r="AR80" s="745"/>
    </row>
    <row r="81" spans="1:45" x14ac:dyDescent="0.2">
      <c r="A81" s="1"/>
      <c r="H81" s="627"/>
      <c r="I81" s="547"/>
      <c r="J81" s="618"/>
      <c r="K81" s="547"/>
      <c r="L81" s="548"/>
      <c r="M81" s="548"/>
      <c r="N81" s="548"/>
      <c r="O81" s="548"/>
      <c r="P81" s="958"/>
      <c r="Q81" s="548"/>
      <c r="R81" s="549"/>
      <c r="S81" s="42"/>
      <c r="T81" s="42"/>
      <c r="U81" s="42"/>
      <c r="W81" s="42"/>
      <c r="X81" s="42"/>
      <c r="Y81" s="42"/>
      <c r="Z81" s="42"/>
      <c r="AA81" s="42"/>
      <c r="AB81" s="42"/>
      <c r="AC81" s="42"/>
      <c r="AD81" s="42"/>
      <c r="AE81" s="725"/>
      <c r="AH81" s="42"/>
      <c r="AI81" s="42"/>
      <c r="AJ81" s="42"/>
      <c r="AK81" s="42"/>
      <c r="AL81" s="42"/>
      <c r="AM81" s="42"/>
      <c r="AN81" s="42"/>
      <c r="AO81" s="42"/>
      <c r="AP81" s="725"/>
      <c r="AR81" s="618"/>
    </row>
    <row r="82" spans="1:45" x14ac:dyDescent="0.2">
      <c r="B82" s="101"/>
      <c r="H82" s="628"/>
      <c r="I82" s="547"/>
      <c r="J82" s="618"/>
      <c r="K82" s="547"/>
      <c r="L82" s="548"/>
      <c r="M82" s="550"/>
      <c r="N82" s="551"/>
      <c r="O82" s="549"/>
      <c r="Q82" s="598"/>
      <c r="R82" s="598"/>
      <c r="AD82" t="s">
        <v>673</v>
      </c>
      <c r="AE82" s="618">
        <f>AE79</f>
        <v>114707.25</v>
      </c>
      <c r="AI82" s="4"/>
      <c r="AO82" t="s">
        <v>673</v>
      </c>
      <c r="AP82" s="618">
        <f>AP79</f>
        <v>199165.99</v>
      </c>
      <c r="AQ82" s="4"/>
      <c r="AR82" s="618"/>
    </row>
    <row r="83" spans="1:45" x14ac:dyDescent="0.2">
      <c r="B83" s="102"/>
      <c r="H83" s="627"/>
      <c r="I83" s="548"/>
      <c r="K83" s="548"/>
      <c r="L83" s="548"/>
      <c r="M83" s="550"/>
      <c r="N83" s="833"/>
      <c r="O83" s="548"/>
      <c r="Q83" s="598"/>
      <c r="R83" s="598"/>
      <c r="AD83" t="s">
        <v>671</v>
      </c>
      <c r="AE83" s="521">
        <f>('PLLA DIETAS'!E20+'PLLA DIETAS'!H20+'PLLA DIETAS'!I20)/2</f>
        <v>38142</v>
      </c>
      <c r="AM83" s="4"/>
      <c r="AO83" t="s">
        <v>671</v>
      </c>
      <c r="AP83" s="521">
        <f>('PLLA DIETAS'!E20+'PLLA DIETAS'!H20+'PLLA DIETAS'!I20)/2</f>
        <v>38142</v>
      </c>
    </row>
    <row r="84" spans="1:45" x14ac:dyDescent="0.2">
      <c r="B84" s="102"/>
      <c r="H84" s="628"/>
      <c r="I84" s="548"/>
      <c r="K84" s="548"/>
      <c r="L84" s="548"/>
      <c r="M84" s="550"/>
      <c r="N84" s="548"/>
      <c r="O84" s="548"/>
      <c r="Q84" s="548"/>
      <c r="R84" s="598"/>
      <c r="AD84" t="s">
        <v>351</v>
      </c>
      <c r="AE84" s="521">
        <f>'PLLA MUNICIPAL HONORARIOS'!L26/2</f>
        <v>3600</v>
      </c>
      <c r="AM84" s="4"/>
      <c r="AN84" s="56"/>
      <c r="AO84" t="s">
        <v>351</v>
      </c>
      <c r="AP84" s="521">
        <f>'PLLA MUNICIPAL HONORARIOS'!L26/2</f>
        <v>3600</v>
      </c>
    </row>
    <row r="85" spans="1:45" x14ac:dyDescent="0.2">
      <c r="B85" s="102"/>
      <c r="H85" s="628"/>
      <c r="I85" s="548"/>
      <c r="K85" s="548"/>
      <c r="L85" s="548"/>
      <c r="M85" s="550"/>
      <c r="N85" s="548"/>
      <c r="O85" s="548"/>
      <c r="Q85" s="548"/>
      <c r="R85" s="598"/>
      <c r="AD85" t="s">
        <v>672</v>
      </c>
      <c r="AE85" s="671">
        <f>(600*12)/2</f>
        <v>3600</v>
      </c>
      <c r="AO85" t="s">
        <v>672</v>
      </c>
      <c r="AP85" s="671">
        <f>(600*12)/2</f>
        <v>3600</v>
      </c>
    </row>
    <row r="86" spans="1:45" x14ac:dyDescent="0.2">
      <c r="B86" s="102"/>
      <c r="H86" s="628"/>
      <c r="I86" s="548"/>
      <c r="K86" s="548"/>
      <c r="L86" s="548"/>
      <c r="M86" s="550"/>
      <c r="N86" s="548"/>
      <c r="O86" s="548"/>
      <c r="Q86" s="548"/>
      <c r="R86" s="598"/>
      <c r="AD86" t="s">
        <v>676</v>
      </c>
      <c r="AE86" s="671">
        <f>'AG1'!C26</f>
        <v>200</v>
      </c>
      <c r="AO86" t="s">
        <v>676</v>
      </c>
      <c r="AP86" s="671"/>
    </row>
    <row r="87" spans="1:45" s="131" customFormat="1" x14ac:dyDescent="0.2">
      <c r="A87" s="129">
        <v>23</v>
      </c>
      <c r="B87" s="100" t="s">
        <v>431</v>
      </c>
      <c r="C87" s="263" t="s">
        <v>7</v>
      </c>
      <c r="D87" s="264">
        <v>1</v>
      </c>
      <c r="E87" s="265" t="s">
        <v>255</v>
      </c>
      <c r="F87" s="265" t="s">
        <v>255</v>
      </c>
      <c r="G87" s="606">
        <v>300</v>
      </c>
      <c r="H87" s="623">
        <v>600</v>
      </c>
      <c r="I87" s="267">
        <f>H87*1</f>
        <v>600</v>
      </c>
      <c r="J87" s="267">
        <v>0</v>
      </c>
      <c r="K87" s="267">
        <v>0</v>
      </c>
      <c r="L87" s="267"/>
      <c r="M87" s="824">
        <f>ROUND(((I87+K87)*M$10),2)</f>
        <v>46.5</v>
      </c>
      <c r="N87" s="267">
        <v>0</v>
      </c>
      <c r="O87" s="267">
        <f>ROUND(((I87+K87)*O$10),2)</f>
        <v>45</v>
      </c>
      <c r="P87" s="267">
        <f>ROUND(((I87+K87)*P$10),2)</f>
        <v>6</v>
      </c>
      <c r="Q87" s="267">
        <f>SUM(M87:P87)</f>
        <v>97.5</v>
      </c>
      <c r="R87" s="252">
        <f>I87+J87+K87+L87+Q87</f>
        <v>697.5</v>
      </c>
      <c r="S87" s="103"/>
      <c r="T87" s="103"/>
      <c r="U87" s="103"/>
      <c r="V87" s="728" t="s">
        <v>314</v>
      </c>
      <c r="W87" s="267">
        <f t="shared" ref="W87:W88" si="189">H87*V87</f>
        <v>2400</v>
      </c>
      <c r="X87" s="267"/>
      <c r="Y87" s="267">
        <f t="shared" ref="Y87" si="190">K87</f>
        <v>0</v>
      </c>
      <c r="Z87" s="267">
        <f t="shared" ref="Z87:Z88" si="191">ROUND(((O87/12)*V87),2)</f>
        <v>15</v>
      </c>
      <c r="AA87" s="267">
        <f t="shared" ref="AA87:AA88" si="192">(N87/12)*V87</f>
        <v>0</v>
      </c>
      <c r="AB87" s="267">
        <f t="shared" ref="AB87:AB88" si="193">ROUND(((M87/12)*V87),2)</f>
        <v>15.5</v>
      </c>
      <c r="AC87" s="267">
        <f t="shared" ref="AC87:AC88" si="194">ROUND(((P87/12)*V87),2)</f>
        <v>2</v>
      </c>
      <c r="AD87" s="267">
        <f t="shared" ref="AD87:AD88" si="195">L87</f>
        <v>0</v>
      </c>
      <c r="AE87" s="267">
        <f t="shared" ref="AE87:AE88" si="196">SUM(W87:AD87)</f>
        <v>2432.5</v>
      </c>
      <c r="AG87" s="728">
        <f>12-V87</f>
        <v>8</v>
      </c>
      <c r="AH87" s="267">
        <f>H87*AG87</f>
        <v>4800</v>
      </c>
      <c r="AI87" s="267">
        <f>J87</f>
        <v>0</v>
      </c>
      <c r="AJ87" s="267"/>
      <c r="AK87" s="267">
        <f t="shared" ref="AK87:AK88" si="197">ROUND(((O87/12)*AG87),2)</f>
        <v>30</v>
      </c>
      <c r="AL87" s="267">
        <f>(N87/12)*AG87</f>
        <v>0</v>
      </c>
      <c r="AM87" s="267">
        <f t="shared" ref="AM87:AM88" si="198">ROUND(((M87/12)*AG87),2)</f>
        <v>31</v>
      </c>
      <c r="AN87" s="267">
        <f t="shared" ref="AN87:AN88" si="199">ROUND(((P87/12)*AG87),2)</f>
        <v>4</v>
      </c>
      <c r="AO87" s="267"/>
      <c r="AP87" s="267">
        <f>SUM(AH87:AN87)</f>
        <v>4865</v>
      </c>
      <c r="AR87" s="745">
        <f t="shared" ref="AR87:AR88" si="200">AB87+AM87-M87</f>
        <v>0</v>
      </c>
      <c r="AS87" s="2"/>
    </row>
    <row r="88" spans="1:45" s="131" customFormat="1" x14ac:dyDescent="0.2">
      <c r="A88" s="129">
        <v>22</v>
      </c>
      <c r="B88" s="100" t="s">
        <v>432</v>
      </c>
      <c r="C88" s="263" t="s">
        <v>7</v>
      </c>
      <c r="D88" s="264">
        <v>1</v>
      </c>
      <c r="E88" s="265" t="s">
        <v>255</v>
      </c>
      <c r="F88" s="265" t="s">
        <v>255</v>
      </c>
      <c r="G88" s="606">
        <v>400</v>
      </c>
      <c r="H88" s="623">
        <f t="shared" ref="H88" si="201">D88*G88</f>
        <v>400</v>
      </c>
      <c r="I88" s="267">
        <f>H88*1</f>
        <v>400</v>
      </c>
      <c r="J88" s="267">
        <v>0</v>
      </c>
      <c r="K88" s="267">
        <v>0</v>
      </c>
      <c r="L88" s="267"/>
      <c r="M88" s="824">
        <f t="shared" ref="M88" si="202">ROUND(((I88+K88)*M$10),2)</f>
        <v>31</v>
      </c>
      <c r="N88" s="267">
        <v>0</v>
      </c>
      <c r="O88" s="267">
        <f t="shared" ref="O88" si="203">ROUND(((I88+K88)*O$10),2)</f>
        <v>30</v>
      </c>
      <c r="P88" s="267">
        <f t="shared" ref="P88" si="204">ROUND(((I88+K88)*P$10),2)</f>
        <v>4</v>
      </c>
      <c r="Q88" s="267">
        <f t="shared" ref="Q88" si="205">SUM(M88:P88)</f>
        <v>65</v>
      </c>
      <c r="R88" s="252">
        <f t="shared" ref="R88" si="206">I88+J88+K88+L88+Q88</f>
        <v>465</v>
      </c>
      <c r="S88" s="103"/>
      <c r="T88" s="103"/>
      <c r="U88" s="103"/>
      <c r="V88" s="728" t="s">
        <v>314</v>
      </c>
      <c r="W88" s="267">
        <f t="shared" si="189"/>
        <v>1600</v>
      </c>
      <c r="X88" s="267"/>
      <c r="Y88" s="267"/>
      <c r="Z88" s="267">
        <f t="shared" si="191"/>
        <v>10</v>
      </c>
      <c r="AA88" s="267">
        <f t="shared" si="192"/>
        <v>0</v>
      </c>
      <c r="AB88" s="267">
        <f t="shared" si="193"/>
        <v>10.33</v>
      </c>
      <c r="AC88" s="267">
        <f t="shared" si="194"/>
        <v>1.33</v>
      </c>
      <c r="AD88" s="267">
        <f t="shared" si="195"/>
        <v>0</v>
      </c>
      <c r="AE88" s="267">
        <f t="shared" si="196"/>
        <v>1621.6599999999999</v>
      </c>
      <c r="AG88" s="728">
        <f>12-V88</f>
        <v>8</v>
      </c>
      <c r="AH88" s="267">
        <f>H88*AG88</f>
        <v>3200</v>
      </c>
      <c r="AI88" s="267">
        <f>J88</f>
        <v>0</v>
      </c>
      <c r="AJ88" s="267"/>
      <c r="AK88" s="267">
        <f t="shared" si="197"/>
        <v>20</v>
      </c>
      <c r="AL88" s="267">
        <f>(N88/12)*AG88</f>
        <v>0</v>
      </c>
      <c r="AM88" s="267">
        <f t="shared" si="198"/>
        <v>20.67</v>
      </c>
      <c r="AN88" s="267">
        <f t="shared" si="199"/>
        <v>2.67</v>
      </c>
      <c r="AO88" s="267"/>
      <c r="AP88" s="267">
        <f>SUM(AH88:AN88)</f>
        <v>3243.34</v>
      </c>
      <c r="AR88" s="745">
        <f t="shared" si="200"/>
        <v>0</v>
      </c>
      <c r="AS88" s="2"/>
    </row>
    <row r="89" spans="1:45" x14ac:dyDescent="0.2">
      <c r="B89" s="102"/>
      <c r="H89" s="628"/>
      <c r="I89" s="548"/>
      <c r="K89" s="548"/>
      <c r="L89" s="548"/>
      <c r="M89" s="550"/>
      <c r="N89" s="548"/>
      <c r="O89" s="548"/>
      <c r="Q89" s="548"/>
      <c r="R89" s="598"/>
      <c r="AD89" t="s">
        <v>677</v>
      </c>
      <c r="AE89" s="671"/>
      <c r="AK89" s="4"/>
      <c r="AO89" t="s">
        <v>677</v>
      </c>
      <c r="AP89" s="671">
        <f>68*3+600*10</f>
        <v>6204</v>
      </c>
    </row>
    <row r="90" spans="1:45" x14ac:dyDescent="0.2">
      <c r="B90" s="102"/>
      <c r="H90" s="628"/>
      <c r="I90" s="548"/>
      <c r="K90" s="548"/>
      <c r="L90" s="548"/>
      <c r="M90" s="550"/>
      <c r="N90" s="548"/>
      <c r="O90" s="548"/>
      <c r="Q90" s="548"/>
      <c r="R90" s="598"/>
      <c r="AD90" t="s">
        <v>678</v>
      </c>
      <c r="AE90" s="671"/>
      <c r="AO90" t="s">
        <v>678</v>
      </c>
      <c r="AP90" s="671">
        <v>328.57</v>
      </c>
    </row>
    <row r="91" spans="1:45" ht="13.5" thickBot="1" x14ac:dyDescent="0.25">
      <c r="B91" s="102"/>
      <c r="H91" s="627"/>
      <c r="I91" s="548"/>
      <c r="K91" s="548"/>
      <c r="L91" s="548"/>
      <c r="M91" s="550"/>
      <c r="N91" s="548"/>
      <c r="O91" s="548"/>
      <c r="Q91" s="548"/>
      <c r="R91" s="1022">
        <f>(R87/30)*8</f>
        <v>186</v>
      </c>
      <c r="AD91" t="s">
        <v>4</v>
      </c>
      <c r="AE91" s="803">
        <f>SUM(AE82:AE90)</f>
        <v>164303.41</v>
      </c>
      <c r="AO91" t="s">
        <v>4</v>
      </c>
      <c r="AP91" s="803">
        <f>SUM(AP82:AP90)</f>
        <v>259148.9</v>
      </c>
      <c r="AR91" s="618">
        <f>+AE91+AP91</f>
        <v>423452.31</v>
      </c>
    </row>
    <row r="92" spans="1:45" ht="13.5" thickTop="1" x14ac:dyDescent="0.2">
      <c r="B92" s="102"/>
      <c r="H92" s="627"/>
      <c r="I92" s="548"/>
      <c r="K92" s="548"/>
      <c r="L92" s="548"/>
      <c r="M92" s="550"/>
      <c r="N92" s="548"/>
      <c r="O92" s="548"/>
      <c r="Q92" s="548"/>
      <c r="R92" s="1022">
        <f>(R88/30)*8</f>
        <v>124</v>
      </c>
      <c r="AR92" s="521">
        <f>+'AG1'!H12</f>
        <v>411289.80000000005</v>
      </c>
    </row>
    <row r="93" spans="1:45" ht="13.5" thickBot="1" x14ac:dyDescent="0.25">
      <c r="B93" s="102"/>
      <c r="H93" s="628"/>
      <c r="I93" s="548"/>
      <c r="K93" s="548"/>
      <c r="L93" s="548"/>
      <c r="M93" s="550"/>
      <c r="N93" s="548"/>
      <c r="O93" s="548"/>
      <c r="Q93" s="548"/>
      <c r="R93" s="548"/>
      <c r="AD93" t="s">
        <v>674</v>
      </c>
      <c r="AE93" s="521">
        <f>'ING. REALES'!C54/2</f>
        <v>164314.92500000002</v>
      </c>
      <c r="AR93" s="804">
        <f>+AR91-AR92</f>
        <v>12162.509999999951</v>
      </c>
    </row>
    <row r="94" spans="1:45" ht="13.5" thickTop="1" x14ac:dyDescent="0.2">
      <c r="B94" s="102"/>
      <c r="H94" s="629"/>
      <c r="I94" s="548"/>
      <c r="K94" s="548"/>
      <c r="L94" s="548"/>
      <c r="M94" s="550"/>
      <c r="N94" s="548"/>
      <c r="O94" s="548"/>
      <c r="Q94" s="548"/>
      <c r="R94" s="598"/>
    </row>
    <row r="95" spans="1:45" x14ac:dyDescent="0.2">
      <c r="B95" s="102"/>
      <c r="H95" s="627"/>
      <c r="I95" s="548"/>
      <c r="K95" s="548"/>
      <c r="L95" s="548"/>
      <c r="M95" s="550"/>
      <c r="N95" s="548"/>
      <c r="O95" s="548"/>
      <c r="Q95" s="548"/>
      <c r="R95" s="1022">
        <f>R91*12</f>
        <v>2232</v>
      </c>
      <c r="AE95" s="618">
        <f>AE91-AE93</f>
        <v>-11.51500000001397</v>
      </c>
    </row>
    <row r="96" spans="1:45" x14ac:dyDescent="0.2">
      <c r="B96" s="102"/>
      <c r="H96" s="628"/>
      <c r="I96" s="548"/>
      <c r="K96" s="548"/>
      <c r="L96" s="548"/>
      <c r="M96" s="550"/>
      <c r="N96" s="548"/>
      <c r="O96" s="548"/>
      <c r="Q96" s="548"/>
      <c r="R96" s="1022">
        <f>R92*12</f>
        <v>1488</v>
      </c>
    </row>
    <row r="97" spans="8:31" x14ac:dyDescent="0.2">
      <c r="H97" s="630"/>
      <c r="M97" s="4"/>
      <c r="R97" s="1023">
        <f>+R95+R96</f>
        <v>3720</v>
      </c>
    </row>
    <row r="98" spans="8:31" x14ac:dyDescent="0.2">
      <c r="M98" s="4"/>
    </row>
    <row r="99" spans="8:31" x14ac:dyDescent="0.2">
      <c r="M99" s="4"/>
      <c r="N99" s="1084"/>
      <c r="O99" s="1084"/>
      <c r="AC99" s="56"/>
    </row>
    <row r="100" spans="8:31" x14ac:dyDescent="0.2">
      <c r="M100" s="4"/>
    </row>
    <row r="101" spans="8:31" x14ac:dyDescent="0.2">
      <c r="M101" s="4"/>
    </row>
    <row r="102" spans="8:31" x14ac:dyDescent="0.2">
      <c r="M102" s="4"/>
    </row>
    <row r="103" spans="8:31" x14ac:dyDescent="0.2">
      <c r="M103" s="4"/>
    </row>
    <row r="104" spans="8:31" x14ac:dyDescent="0.2">
      <c r="M104" s="4"/>
    </row>
    <row r="105" spans="8:31" x14ac:dyDescent="0.2">
      <c r="M105" s="4"/>
      <c r="AE105" s="521">
        <v>164314.91999999998</v>
      </c>
    </row>
    <row r="106" spans="8:31" x14ac:dyDescent="0.2">
      <c r="M106" s="4"/>
      <c r="O106" s="42"/>
    </row>
    <row r="107" spans="8:31" x14ac:dyDescent="0.2">
      <c r="M107" s="4"/>
    </row>
  </sheetData>
  <mergeCells count="25">
    <mergeCell ref="V8:AE8"/>
    <mergeCell ref="V7:AE7"/>
    <mergeCell ref="AG7:AP7"/>
    <mergeCell ref="AG8:AP8"/>
    <mergeCell ref="R7:R10"/>
    <mergeCell ref="A3:R3"/>
    <mergeCell ref="A4:R4"/>
    <mergeCell ref="A5:R5"/>
    <mergeCell ref="A7:A10"/>
    <mergeCell ref="B7:B10"/>
    <mergeCell ref="C7:C10"/>
    <mergeCell ref="D7:D10"/>
    <mergeCell ref="M7:Q7"/>
    <mergeCell ref="G7:I8"/>
    <mergeCell ref="J7:L8"/>
    <mergeCell ref="J9:J10"/>
    <mergeCell ref="N99:O99"/>
    <mergeCell ref="E7:E10"/>
    <mergeCell ref="F7:F10"/>
    <mergeCell ref="K9:K10"/>
    <mergeCell ref="G9:G10"/>
    <mergeCell ref="N8:O8"/>
    <mergeCell ref="H9:H10"/>
    <mergeCell ref="I9:I10"/>
    <mergeCell ref="L9:L10"/>
  </mergeCells>
  <phoneticPr fontId="0" type="noConversion"/>
  <pageMargins left="0.11811023622047245" right="0.11811023622047245" top="0.78740157480314965" bottom="0.23622047244094491" header="0.47244094488188981" footer="0"/>
  <pageSetup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M28"/>
  <sheetViews>
    <sheetView showGridLines="0" topLeftCell="A7" workbookViewId="0">
      <selection activeCell="B9" sqref="B9:B18"/>
    </sheetView>
  </sheetViews>
  <sheetFormatPr baseColWidth="10" defaultColWidth="9.140625" defaultRowHeight="12.75" x14ac:dyDescent="0.2"/>
  <cols>
    <col min="1" max="1" width="5.140625" style="188" customWidth="1"/>
    <col min="2" max="2" width="28.5703125" style="188" customWidth="1"/>
    <col min="3" max="3" width="20.140625" style="27" customWidth="1"/>
    <col min="4" max="4" width="13.140625" style="27" customWidth="1"/>
    <col min="5" max="5" width="14.28515625" style="27" customWidth="1"/>
    <col min="6" max="10" width="12.5703125" style="27" customWidth="1"/>
    <col min="11" max="11" width="14.5703125" style="27" customWidth="1"/>
    <col min="12" max="16384" width="9.140625" style="27"/>
  </cols>
  <sheetData>
    <row r="1" spans="1:13" ht="12.75" customHeight="1" x14ac:dyDescent="0.2">
      <c r="A1" s="1043" t="s">
        <v>448</v>
      </c>
      <c r="B1" s="1043"/>
      <c r="C1" s="1043"/>
      <c r="D1" s="1043"/>
      <c r="E1" s="1043"/>
      <c r="F1" s="1043"/>
      <c r="G1" s="1043"/>
      <c r="H1" s="1043"/>
      <c r="I1" s="1043"/>
      <c r="J1" s="1043"/>
      <c r="K1" s="1043"/>
    </row>
    <row r="2" spans="1:13" ht="12.75" customHeight="1" x14ac:dyDescent="0.2">
      <c r="A2" s="1043" t="s">
        <v>449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3" ht="12.75" customHeight="1" x14ac:dyDescent="0.2">
      <c r="A3" s="1043" t="s">
        <v>679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</row>
    <row r="4" spans="1:13" ht="13.5" thickBot="1" x14ac:dyDescent="0.25">
      <c r="C4" s="297"/>
      <c r="D4" s="297"/>
      <c r="E4" s="297"/>
      <c r="F4" s="297"/>
      <c r="G4" s="297"/>
      <c r="H4" s="297"/>
      <c r="I4" s="297"/>
      <c r="J4" s="297"/>
    </row>
    <row r="5" spans="1:13" s="188" customFormat="1" ht="18.75" customHeight="1" thickBot="1" x14ac:dyDescent="0.25">
      <c r="A5" s="1129" t="s">
        <v>387</v>
      </c>
      <c r="B5" s="1129" t="s">
        <v>381</v>
      </c>
      <c r="C5" s="1130" t="s">
        <v>382</v>
      </c>
      <c r="D5" s="1129" t="s">
        <v>130</v>
      </c>
      <c r="E5" s="1129"/>
      <c r="F5" s="1131" t="s">
        <v>631</v>
      </c>
      <c r="G5" s="1128" t="s">
        <v>580</v>
      </c>
      <c r="H5" s="1128"/>
      <c r="I5" s="1128"/>
      <c r="J5" s="1128"/>
      <c r="K5" s="1129" t="s">
        <v>25</v>
      </c>
    </row>
    <row r="6" spans="1:13" s="188" customFormat="1" ht="18.75" customHeight="1" thickBot="1" x14ac:dyDescent="0.25">
      <c r="A6" s="1129"/>
      <c r="B6" s="1129"/>
      <c r="C6" s="1130"/>
      <c r="D6" s="1129"/>
      <c r="E6" s="1129"/>
      <c r="F6" s="1132"/>
      <c r="G6" s="806" t="s">
        <v>581</v>
      </c>
      <c r="H6" s="807" t="s">
        <v>582</v>
      </c>
      <c r="I6" s="1138" t="s">
        <v>649</v>
      </c>
      <c r="J6" s="1135" t="s">
        <v>583</v>
      </c>
      <c r="K6" s="1129"/>
    </row>
    <row r="7" spans="1:13" s="188" customFormat="1" ht="18.75" customHeight="1" thickBot="1" x14ac:dyDescent="0.25">
      <c r="A7" s="1129"/>
      <c r="B7" s="1129"/>
      <c r="C7" s="1130"/>
      <c r="D7" s="1130" t="s">
        <v>492</v>
      </c>
      <c r="E7" s="1134" t="s">
        <v>493</v>
      </c>
      <c r="F7" s="1132"/>
      <c r="G7" s="808" t="s">
        <v>396</v>
      </c>
      <c r="H7" s="809" t="s">
        <v>19</v>
      </c>
      <c r="I7" s="1139"/>
      <c r="J7" s="1136"/>
      <c r="K7" s="1129"/>
    </row>
    <row r="8" spans="1:13" s="188" customFormat="1" ht="18.75" customHeight="1" thickBot="1" x14ac:dyDescent="0.25">
      <c r="A8" s="1129"/>
      <c r="B8" s="1129"/>
      <c r="C8" s="1130"/>
      <c r="D8" s="1130"/>
      <c r="E8" s="1134"/>
      <c r="F8" s="1133"/>
      <c r="G8" s="810">
        <v>7.7499999999999999E-2</v>
      </c>
      <c r="H8" s="811">
        <v>7.4999999999999997E-2</v>
      </c>
      <c r="I8" s="811">
        <v>0.01</v>
      </c>
      <c r="J8" s="1137"/>
      <c r="K8" s="1129"/>
    </row>
    <row r="9" spans="1:13" s="188" customFormat="1" ht="26.25" customHeight="1" x14ac:dyDescent="0.2">
      <c r="A9" s="812">
        <v>1</v>
      </c>
      <c r="B9" s="813"/>
      <c r="C9" s="814" t="s">
        <v>383</v>
      </c>
      <c r="D9" s="959">
        <v>600</v>
      </c>
      <c r="E9" s="960">
        <f>+D9*12</f>
        <v>7200</v>
      </c>
      <c r="F9" s="961">
        <f t="shared" ref="F9:F18" si="0">D9</f>
        <v>600</v>
      </c>
      <c r="G9" s="962">
        <v>0</v>
      </c>
      <c r="H9" s="963">
        <f>ROUND((E9*H$8),2)</f>
        <v>540</v>
      </c>
      <c r="I9" s="964">
        <f t="shared" ref="I9:I11" si="1">ROUND((E9*I$8),2)</f>
        <v>72</v>
      </c>
      <c r="J9" s="965">
        <f>SUM(G9:I9)</f>
        <v>612</v>
      </c>
      <c r="K9" s="961">
        <f t="shared" ref="K9:K18" si="2">+E9+F9+J9</f>
        <v>8412</v>
      </c>
    </row>
    <row r="10" spans="1:13" s="188" customFormat="1" ht="26.25" customHeight="1" x14ac:dyDescent="0.2">
      <c r="A10" s="815">
        <f>A9+1</f>
        <v>2</v>
      </c>
      <c r="B10" s="816"/>
      <c r="C10" s="817" t="s">
        <v>630</v>
      </c>
      <c r="D10" s="966">
        <v>600</v>
      </c>
      <c r="E10" s="967">
        <f>+D10*12</f>
        <v>7200</v>
      </c>
      <c r="F10" s="968">
        <f t="shared" si="0"/>
        <v>600</v>
      </c>
      <c r="G10" s="969">
        <v>0</v>
      </c>
      <c r="H10" s="969">
        <f>ROUND((E10*H$8),2)</f>
        <v>540</v>
      </c>
      <c r="I10" s="970">
        <f t="shared" si="1"/>
        <v>72</v>
      </c>
      <c r="J10" s="967">
        <f>SUM(G10:I10)</f>
        <v>612</v>
      </c>
      <c r="K10" s="961">
        <f t="shared" si="2"/>
        <v>8412</v>
      </c>
      <c r="M10" s="582"/>
    </row>
    <row r="11" spans="1:13" s="188" customFormat="1" ht="26.25" customHeight="1" x14ac:dyDescent="0.2">
      <c r="A11" s="815">
        <f t="shared" ref="A11:A17" si="3">A10+1</f>
        <v>3</v>
      </c>
      <c r="B11" s="816"/>
      <c r="C11" s="817" t="s">
        <v>579</v>
      </c>
      <c r="D11" s="966">
        <v>600</v>
      </c>
      <c r="E11" s="967">
        <f t="shared" ref="E11:E18" si="4">+D11*12</f>
        <v>7200</v>
      </c>
      <c r="F11" s="968">
        <f t="shared" si="0"/>
        <v>600</v>
      </c>
      <c r="G11" s="969">
        <v>0</v>
      </c>
      <c r="H11" s="969">
        <f>ROUND((E11*H$8),2)</f>
        <v>540</v>
      </c>
      <c r="I11" s="970">
        <f t="shared" si="1"/>
        <v>72</v>
      </c>
      <c r="J11" s="967">
        <f t="shared" ref="J11:J18" si="5">SUM(G11:I11)</f>
        <v>612</v>
      </c>
      <c r="K11" s="961">
        <f t="shared" si="2"/>
        <v>8412</v>
      </c>
    </row>
    <row r="12" spans="1:13" s="188" customFormat="1" ht="26.25" customHeight="1" x14ac:dyDescent="0.2">
      <c r="A12" s="815">
        <f t="shared" si="3"/>
        <v>4</v>
      </c>
      <c r="B12" s="816"/>
      <c r="C12" s="817" t="s">
        <v>620</v>
      </c>
      <c r="D12" s="966">
        <v>600</v>
      </c>
      <c r="E12" s="967">
        <f t="shared" si="4"/>
        <v>7200</v>
      </c>
      <c r="F12" s="968">
        <f t="shared" si="0"/>
        <v>600</v>
      </c>
      <c r="G12" s="969">
        <v>0</v>
      </c>
      <c r="H12" s="969">
        <v>0</v>
      </c>
      <c r="I12" s="970">
        <v>0</v>
      </c>
      <c r="J12" s="967">
        <f t="shared" si="5"/>
        <v>0</v>
      </c>
      <c r="K12" s="961">
        <f t="shared" si="2"/>
        <v>7800</v>
      </c>
      <c r="M12" s="582"/>
    </row>
    <row r="13" spans="1:13" s="188" customFormat="1" ht="26.25" customHeight="1" x14ac:dyDescent="0.2">
      <c r="A13" s="815">
        <f t="shared" si="3"/>
        <v>5</v>
      </c>
      <c r="B13" s="816"/>
      <c r="C13" s="817" t="s">
        <v>621</v>
      </c>
      <c r="D13" s="966">
        <v>600</v>
      </c>
      <c r="E13" s="967">
        <f t="shared" si="4"/>
        <v>7200</v>
      </c>
      <c r="F13" s="968">
        <f t="shared" si="0"/>
        <v>600</v>
      </c>
      <c r="G13" s="969">
        <v>0</v>
      </c>
      <c r="H13" s="969">
        <f>ROUND((E13*H$8),2)</f>
        <v>540</v>
      </c>
      <c r="I13" s="970">
        <f>ROUND((E13*I$8),2)</f>
        <v>72</v>
      </c>
      <c r="J13" s="967">
        <f t="shared" si="5"/>
        <v>612</v>
      </c>
      <c r="K13" s="961">
        <f t="shared" si="2"/>
        <v>8412</v>
      </c>
    </row>
    <row r="14" spans="1:13" s="188" customFormat="1" ht="26.25" customHeight="1" x14ac:dyDescent="0.2">
      <c r="A14" s="815">
        <f t="shared" si="3"/>
        <v>6</v>
      </c>
      <c r="B14" s="816"/>
      <c r="C14" s="817" t="s">
        <v>622</v>
      </c>
      <c r="D14" s="966">
        <v>600</v>
      </c>
      <c r="E14" s="967">
        <f t="shared" si="4"/>
        <v>7200</v>
      </c>
      <c r="F14" s="968">
        <f t="shared" si="0"/>
        <v>600</v>
      </c>
      <c r="G14" s="969">
        <v>0</v>
      </c>
      <c r="H14" s="969">
        <v>0</v>
      </c>
      <c r="I14" s="970">
        <v>0</v>
      </c>
      <c r="J14" s="967">
        <f t="shared" si="5"/>
        <v>0</v>
      </c>
      <c r="K14" s="961">
        <f t="shared" si="2"/>
        <v>7800</v>
      </c>
    </row>
    <row r="15" spans="1:13" s="188" customFormat="1" ht="26.25" customHeight="1" x14ac:dyDescent="0.2">
      <c r="A15" s="815">
        <f t="shared" si="3"/>
        <v>7</v>
      </c>
      <c r="B15" s="816"/>
      <c r="C15" s="817" t="s">
        <v>623</v>
      </c>
      <c r="D15" s="966">
        <v>600</v>
      </c>
      <c r="E15" s="967">
        <f t="shared" si="4"/>
        <v>7200</v>
      </c>
      <c r="F15" s="968">
        <f t="shared" si="0"/>
        <v>600</v>
      </c>
      <c r="G15" s="971">
        <v>0</v>
      </c>
      <c r="H15" s="972">
        <f>ROUND((E15*H$8),2)</f>
        <v>540</v>
      </c>
      <c r="I15" s="970">
        <f t="shared" ref="I15:I16" si="6">ROUND((E15*I$8),2)</f>
        <v>72</v>
      </c>
      <c r="J15" s="967">
        <f t="shared" si="5"/>
        <v>612</v>
      </c>
      <c r="K15" s="961">
        <f t="shared" si="2"/>
        <v>8412</v>
      </c>
    </row>
    <row r="16" spans="1:13" s="188" customFormat="1" ht="26.25" customHeight="1" x14ac:dyDescent="0.2">
      <c r="A16" s="815">
        <f t="shared" si="3"/>
        <v>8</v>
      </c>
      <c r="B16" s="816"/>
      <c r="C16" s="817" t="s">
        <v>384</v>
      </c>
      <c r="D16" s="966">
        <v>600</v>
      </c>
      <c r="E16" s="967">
        <f t="shared" si="4"/>
        <v>7200</v>
      </c>
      <c r="F16" s="968">
        <f t="shared" si="0"/>
        <v>600</v>
      </c>
      <c r="G16" s="969">
        <v>0</v>
      </c>
      <c r="H16" s="969">
        <f>ROUND((E16*H$8),2)</f>
        <v>540</v>
      </c>
      <c r="I16" s="970">
        <f t="shared" si="6"/>
        <v>72</v>
      </c>
      <c r="J16" s="967">
        <f t="shared" si="5"/>
        <v>612</v>
      </c>
      <c r="K16" s="961">
        <f t="shared" si="2"/>
        <v>8412</v>
      </c>
      <c r="L16" s="599"/>
    </row>
    <row r="17" spans="1:11" s="188" customFormat="1" ht="26.25" customHeight="1" x14ac:dyDescent="0.2">
      <c r="A17" s="815">
        <f t="shared" si="3"/>
        <v>9</v>
      </c>
      <c r="B17" s="816"/>
      <c r="C17" s="817" t="s">
        <v>624</v>
      </c>
      <c r="D17" s="966">
        <v>600</v>
      </c>
      <c r="E17" s="967">
        <f t="shared" si="4"/>
        <v>7200</v>
      </c>
      <c r="F17" s="968">
        <f t="shared" si="0"/>
        <v>600</v>
      </c>
      <c r="G17" s="969">
        <v>0</v>
      </c>
      <c r="H17" s="969">
        <v>0</v>
      </c>
      <c r="I17" s="970">
        <v>0</v>
      </c>
      <c r="J17" s="967">
        <f t="shared" si="5"/>
        <v>0</v>
      </c>
      <c r="K17" s="961">
        <f t="shared" si="2"/>
        <v>7800</v>
      </c>
    </row>
    <row r="18" spans="1:11" s="188" customFormat="1" ht="26.25" customHeight="1" thickBot="1" x14ac:dyDescent="0.25">
      <c r="A18" s="818">
        <f>A17+1</f>
        <v>10</v>
      </c>
      <c r="B18" s="819"/>
      <c r="C18" s="820" t="s">
        <v>385</v>
      </c>
      <c r="D18" s="973">
        <v>600</v>
      </c>
      <c r="E18" s="974">
        <f t="shared" si="4"/>
        <v>7200</v>
      </c>
      <c r="F18" s="975">
        <f t="shared" si="0"/>
        <v>600</v>
      </c>
      <c r="G18" s="969">
        <v>0</v>
      </c>
      <c r="H18" s="969">
        <f>ROUND((E18*H$8),2)</f>
        <v>540</v>
      </c>
      <c r="I18" s="976">
        <f>ROUND((E18*I$8),2)</f>
        <v>72</v>
      </c>
      <c r="J18" s="977">
        <f t="shared" si="5"/>
        <v>612</v>
      </c>
      <c r="K18" s="961">
        <f t="shared" si="2"/>
        <v>8412</v>
      </c>
    </row>
    <row r="19" spans="1:11" s="188" customFormat="1" ht="26.25" customHeight="1" thickBot="1" x14ac:dyDescent="0.25">
      <c r="A19" s="1125" t="s">
        <v>386</v>
      </c>
      <c r="B19" s="1126"/>
      <c r="C19" s="1127"/>
      <c r="D19" s="978">
        <f t="shared" ref="D19:J19" si="7">SUM(D9:D18)</f>
        <v>6000</v>
      </c>
      <c r="E19" s="979">
        <f t="shared" si="7"/>
        <v>72000</v>
      </c>
      <c r="F19" s="980">
        <f t="shared" si="7"/>
        <v>6000</v>
      </c>
      <c r="G19" s="978">
        <f>SUM(G9:G18)</f>
        <v>0</v>
      </c>
      <c r="H19" s="981">
        <f>SUM(H9:H18)</f>
        <v>3780</v>
      </c>
      <c r="I19" s="982">
        <f>SUM(I9:I18)</f>
        <v>504</v>
      </c>
      <c r="J19" s="979">
        <f t="shared" si="7"/>
        <v>4284</v>
      </c>
      <c r="K19" s="980">
        <f>SUM(K9:K18)</f>
        <v>82284</v>
      </c>
    </row>
    <row r="20" spans="1:11" s="188" customFormat="1" ht="26.25" customHeight="1" thickBot="1" x14ac:dyDescent="0.25">
      <c r="A20" s="1125" t="s">
        <v>757</v>
      </c>
      <c r="B20" s="1126"/>
      <c r="C20" s="1127"/>
      <c r="D20" s="978">
        <f t="shared" ref="D20:K20" si="8">SUM(D19:D19)</f>
        <v>6000</v>
      </c>
      <c r="E20" s="979">
        <f t="shared" si="8"/>
        <v>72000</v>
      </c>
      <c r="F20" s="980">
        <f t="shared" si="8"/>
        <v>6000</v>
      </c>
      <c r="G20" s="978">
        <f t="shared" si="8"/>
        <v>0</v>
      </c>
      <c r="H20" s="981">
        <f t="shared" si="8"/>
        <v>3780</v>
      </c>
      <c r="I20" s="982">
        <f t="shared" ref="I20" si="9">SUM(I19:I19)</f>
        <v>504</v>
      </c>
      <c r="J20" s="979">
        <f t="shared" si="8"/>
        <v>4284</v>
      </c>
      <c r="K20" s="980">
        <f t="shared" si="8"/>
        <v>82284</v>
      </c>
    </row>
    <row r="22" spans="1:11" x14ac:dyDescent="0.2">
      <c r="G22" s="251"/>
      <c r="H22" s="251"/>
      <c r="I22" s="251"/>
      <c r="K22" s="217">
        <f>'PLLA MUNICIPAL HONORARIOS'!L26+'PLLA MUNICIPAL LEY SAL'!R80+'PLLA DIETAS'!K20</f>
        <v>403357.23</v>
      </c>
    </row>
    <row r="24" spans="1:11" x14ac:dyDescent="0.2">
      <c r="G24" s="299"/>
    </row>
    <row r="26" spans="1:11" x14ac:dyDescent="0.2">
      <c r="F26" s="251"/>
      <c r="G26" s="251"/>
      <c r="H26" s="251"/>
      <c r="I26" s="251"/>
      <c r="J26" s="251"/>
    </row>
    <row r="28" spans="1:11" x14ac:dyDescent="0.2">
      <c r="F28" s="251"/>
      <c r="G28" s="251"/>
      <c r="H28" s="251"/>
      <c r="I28" s="251"/>
      <c r="J28" s="251"/>
    </row>
  </sheetData>
  <mergeCells count="16">
    <mergeCell ref="A20:C20"/>
    <mergeCell ref="G5:J5"/>
    <mergeCell ref="D5:E6"/>
    <mergeCell ref="A1:K1"/>
    <mergeCell ref="A2:K2"/>
    <mergeCell ref="K5:K8"/>
    <mergeCell ref="A5:A8"/>
    <mergeCell ref="C5:C8"/>
    <mergeCell ref="F5:F8"/>
    <mergeCell ref="D7:D8"/>
    <mergeCell ref="E7:E8"/>
    <mergeCell ref="J6:J8"/>
    <mergeCell ref="A19:C19"/>
    <mergeCell ref="A3:K3"/>
    <mergeCell ref="B5:B8"/>
    <mergeCell ref="I6:I7"/>
  </mergeCells>
  <phoneticPr fontId="0" type="noConversion"/>
  <printOptions horizontalCentered="1"/>
  <pageMargins left="0.23622047244094491" right="0.15748031496062992" top="1.0629921259842521" bottom="0.98425196850393704" header="1.6929133858267718" footer="0"/>
  <pageSetup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K228"/>
  <sheetViews>
    <sheetView showGridLines="0" topLeftCell="A10" zoomScale="130" zoomScaleNormal="130" workbookViewId="0">
      <selection activeCell="F211" sqref="F211"/>
    </sheetView>
  </sheetViews>
  <sheetFormatPr baseColWidth="10" defaultRowHeight="12.75" x14ac:dyDescent="0.2"/>
  <cols>
    <col min="1" max="1" width="6.140625" customWidth="1"/>
    <col min="2" max="2" width="47.140625" customWidth="1"/>
    <col min="3" max="3" width="15.5703125" style="335" customWidth="1"/>
    <col min="4" max="4" width="15.42578125" style="335" customWidth="1"/>
    <col min="5" max="5" width="13.7109375" style="335" customWidth="1"/>
    <col min="6" max="6" width="14.42578125" style="335" customWidth="1"/>
    <col min="7" max="7" width="14" style="331" bestFit="1" customWidth="1"/>
    <col min="8" max="8" width="15.140625" style="191" customWidth="1"/>
    <col min="9" max="9" width="12.28515625" style="319" bestFit="1" customWidth="1"/>
    <col min="10" max="10" width="12.28515625" bestFit="1" customWidth="1"/>
  </cols>
  <sheetData>
    <row r="2" spans="1:11" x14ac:dyDescent="0.2">
      <c r="A2" s="1096" t="s">
        <v>584</v>
      </c>
      <c r="B2" s="1096"/>
      <c r="C2" s="1096"/>
      <c r="D2" s="1096"/>
      <c r="E2" s="1096"/>
      <c r="F2" s="1096"/>
      <c r="G2" s="1096"/>
    </row>
    <row r="3" spans="1:11" x14ac:dyDescent="0.2">
      <c r="A3" s="1140" t="s">
        <v>101</v>
      </c>
      <c r="B3" s="1140"/>
      <c r="C3" s="1140"/>
      <c r="D3" s="1140"/>
      <c r="E3" s="1140"/>
      <c r="F3" s="1140"/>
      <c r="G3" s="1140"/>
    </row>
    <row r="4" spans="1:11" x14ac:dyDescent="0.2">
      <c r="A4" s="1140" t="s">
        <v>102</v>
      </c>
      <c r="B4" s="1140"/>
      <c r="C4" s="1140"/>
      <c r="D4" s="1140"/>
      <c r="E4" s="1140"/>
      <c r="F4" s="1140"/>
      <c r="G4" s="1140"/>
    </row>
    <row r="5" spans="1:11" x14ac:dyDescent="0.2">
      <c r="A5" s="1140" t="s">
        <v>461</v>
      </c>
      <c r="B5" s="1140"/>
      <c r="C5" s="1140"/>
      <c r="D5" s="1140"/>
      <c r="E5" s="1140"/>
      <c r="F5" s="1140"/>
      <c r="G5" s="1140"/>
    </row>
    <row r="6" spans="1:11" x14ac:dyDescent="0.2">
      <c r="A6" s="1140" t="s">
        <v>682</v>
      </c>
      <c r="B6" s="1140"/>
      <c r="C6" s="1140"/>
      <c r="D6" s="1140"/>
      <c r="E6" s="1140"/>
      <c r="F6" s="1140"/>
      <c r="G6" s="1140"/>
    </row>
    <row r="7" spans="1:11" ht="13.5" thickBot="1" x14ac:dyDescent="0.25">
      <c r="B7" s="5"/>
      <c r="H7" s="189"/>
    </row>
    <row r="8" spans="1:11" s="2" customFormat="1" ht="13.5" thickBot="1" x14ac:dyDescent="0.25">
      <c r="A8" s="1143" t="s">
        <v>585</v>
      </c>
      <c r="B8" s="1143" t="s">
        <v>14</v>
      </c>
      <c r="C8" s="1146" t="s">
        <v>104</v>
      </c>
      <c r="D8" s="1147"/>
      <c r="E8" s="1147"/>
      <c r="F8" s="1147"/>
      <c r="G8" s="1148"/>
      <c r="H8" s="191"/>
      <c r="I8" s="320"/>
    </row>
    <row r="9" spans="1:11" s="2" customFormat="1" ht="12.75" customHeight="1" x14ac:dyDescent="0.2">
      <c r="A9" s="1144"/>
      <c r="B9" s="1144"/>
      <c r="C9" s="1141" t="s">
        <v>517</v>
      </c>
      <c r="D9" s="1141" t="s">
        <v>518</v>
      </c>
      <c r="E9" s="1141" t="s">
        <v>107</v>
      </c>
      <c r="F9" s="1141" t="s">
        <v>186</v>
      </c>
      <c r="G9" s="1141" t="s">
        <v>4</v>
      </c>
      <c r="H9" s="191"/>
      <c r="I9" s="320"/>
    </row>
    <row r="10" spans="1:11" s="2" customFormat="1" ht="39.75" customHeight="1" thickBot="1" x14ac:dyDescent="0.25">
      <c r="A10" s="1145"/>
      <c r="B10" s="1145"/>
      <c r="C10" s="1142"/>
      <c r="D10" s="1142"/>
      <c r="E10" s="1142"/>
      <c r="F10" s="1142"/>
      <c r="G10" s="1142"/>
      <c r="H10" s="191"/>
      <c r="I10" s="320"/>
    </row>
    <row r="11" spans="1:11" x14ac:dyDescent="0.2">
      <c r="A11" s="400">
        <v>54</v>
      </c>
      <c r="B11" s="392" t="s">
        <v>27</v>
      </c>
      <c r="C11" s="897">
        <f>C12+C32+C38+C54+C59</f>
        <v>24876</v>
      </c>
      <c r="D11" s="913">
        <f>D12+D32+D38+D54</f>
        <v>8600</v>
      </c>
      <c r="E11" s="913">
        <f>E12+E32+E38+E54</f>
        <v>1200</v>
      </c>
      <c r="F11" s="905">
        <f>F12+F32+F38+F54</f>
        <v>137781.43</v>
      </c>
      <c r="G11" s="383">
        <f>G12+G32+G38+G54+G59</f>
        <v>172457.43</v>
      </c>
      <c r="H11" s="189"/>
    </row>
    <row r="12" spans="1:11" x14ac:dyDescent="0.2">
      <c r="A12" s="401">
        <v>541</v>
      </c>
      <c r="B12" s="393" t="s">
        <v>28</v>
      </c>
      <c r="C12" s="763">
        <f>SUM(C13:C31)</f>
        <v>9196</v>
      </c>
      <c r="D12" s="633">
        <f>SUM(D13:D31)</f>
        <v>8300</v>
      </c>
      <c r="E12" s="633">
        <f>SUM(E13:E31)</f>
        <v>1100</v>
      </c>
      <c r="F12" s="906">
        <f>SUM(F13:F31)</f>
        <v>5400</v>
      </c>
      <c r="G12" s="384">
        <f>SUM(C12:F12)</f>
        <v>23996</v>
      </c>
      <c r="H12" s="189"/>
      <c r="I12" s="321"/>
    </row>
    <row r="13" spans="1:11" x14ac:dyDescent="0.2">
      <c r="A13" s="402">
        <v>54101</v>
      </c>
      <c r="B13" s="394" t="s">
        <v>29</v>
      </c>
      <c r="C13" s="898">
        <v>200</v>
      </c>
      <c r="D13" s="914">
        <v>0</v>
      </c>
      <c r="E13" s="914">
        <v>0</v>
      </c>
      <c r="F13" s="634">
        <v>0</v>
      </c>
      <c r="G13" s="385">
        <f>SUM(C13:F13)</f>
        <v>200</v>
      </c>
      <c r="H13" s="189"/>
      <c r="J13" s="4"/>
      <c r="K13" s="4"/>
    </row>
    <row r="14" spans="1:11" hidden="1" x14ac:dyDescent="0.2">
      <c r="A14" s="402">
        <v>54103</v>
      </c>
      <c r="B14" s="394" t="s">
        <v>30</v>
      </c>
      <c r="C14" s="898"/>
      <c r="D14" s="914">
        <v>0</v>
      </c>
      <c r="E14" s="914">
        <v>0</v>
      </c>
      <c r="F14" s="634">
        <v>0</v>
      </c>
      <c r="G14" s="386">
        <f>+C14+F14</f>
        <v>0</v>
      </c>
      <c r="H14" s="189"/>
    </row>
    <row r="15" spans="1:11" x14ac:dyDescent="0.2">
      <c r="A15" s="402">
        <v>54104</v>
      </c>
      <c r="B15" s="394" t="s">
        <v>31</v>
      </c>
      <c r="C15" s="898">
        <v>2500</v>
      </c>
      <c r="D15" s="914">
        <v>0</v>
      </c>
      <c r="E15" s="914">
        <v>0</v>
      </c>
      <c r="F15" s="634">
        <v>0</v>
      </c>
      <c r="G15" s="385">
        <f t="shared" ref="G15:G31" si="0">SUM(C15:F15)</f>
        <v>2500</v>
      </c>
      <c r="H15" s="189"/>
    </row>
    <row r="16" spans="1:11" s="1" customFormat="1" x14ac:dyDescent="0.2">
      <c r="A16" s="402">
        <v>54105</v>
      </c>
      <c r="B16" s="394" t="s">
        <v>32</v>
      </c>
      <c r="C16" s="898">
        <v>600</v>
      </c>
      <c r="D16" s="914">
        <v>2500</v>
      </c>
      <c r="E16" s="914">
        <v>500</v>
      </c>
      <c r="F16" s="634">
        <v>200</v>
      </c>
      <c r="G16" s="385">
        <f t="shared" si="0"/>
        <v>3800</v>
      </c>
      <c r="H16" s="189"/>
      <c r="I16" s="319"/>
    </row>
    <row r="17" spans="1:9" s="1" customFormat="1" hidden="1" x14ac:dyDescent="0.2">
      <c r="A17" s="402">
        <v>54106</v>
      </c>
      <c r="B17" s="394" t="s">
        <v>33</v>
      </c>
      <c r="C17" s="898"/>
      <c r="D17" s="914"/>
      <c r="E17" s="914"/>
      <c r="F17" s="634"/>
      <c r="G17" s="385">
        <f t="shared" si="0"/>
        <v>0</v>
      </c>
      <c r="H17" s="189"/>
      <c r="I17" s="322"/>
    </row>
    <row r="18" spans="1:9" x14ac:dyDescent="0.2">
      <c r="A18" s="402">
        <v>54107</v>
      </c>
      <c r="B18" s="394" t="s">
        <v>34</v>
      </c>
      <c r="C18" s="898">
        <v>0</v>
      </c>
      <c r="D18" s="914">
        <v>0</v>
      </c>
      <c r="E18" s="914">
        <v>0</v>
      </c>
      <c r="F18" s="634">
        <v>500</v>
      </c>
      <c r="G18" s="385">
        <f t="shared" si="0"/>
        <v>500</v>
      </c>
      <c r="H18" s="189"/>
      <c r="I18" s="322"/>
    </row>
    <row r="19" spans="1:9" x14ac:dyDescent="0.2">
      <c r="A19" s="402">
        <v>54108</v>
      </c>
      <c r="B19" s="394" t="s">
        <v>35</v>
      </c>
      <c r="C19" s="898">
        <v>0</v>
      </c>
      <c r="D19" s="914">
        <v>0</v>
      </c>
      <c r="E19" s="914">
        <v>0</v>
      </c>
      <c r="F19" s="634">
        <v>0</v>
      </c>
      <c r="G19" s="385">
        <f t="shared" si="0"/>
        <v>0</v>
      </c>
      <c r="H19" s="189"/>
    </row>
    <row r="20" spans="1:9" x14ac:dyDescent="0.2">
      <c r="A20" s="402">
        <v>54109</v>
      </c>
      <c r="B20" s="394" t="s">
        <v>36</v>
      </c>
      <c r="C20" s="898">
        <f>548+548</f>
        <v>1096</v>
      </c>
      <c r="D20" s="914">
        <v>0</v>
      </c>
      <c r="E20" s="914">
        <v>0</v>
      </c>
      <c r="F20" s="634">
        <v>1000</v>
      </c>
      <c r="G20" s="385">
        <f t="shared" si="0"/>
        <v>2096</v>
      </c>
      <c r="H20" s="189"/>
    </row>
    <row r="21" spans="1:9" x14ac:dyDescent="0.2">
      <c r="A21" s="402">
        <v>54110</v>
      </c>
      <c r="B21" s="394" t="s">
        <v>37</v>
      </c>
      <c r="C21" s="898">
        <v>2300</v>
      </c>
      <c r="D21" s="914">
        <v>0</v>
      </c>
      <c r="E21" s="914">
        <v>0</v>
      </c>
      <c r="F21" s="634">
        <v>2000</v>
      </c>
      <c r="G21" s="385">
        <f t="shared" si="0"/>
        <v>4300</v>
      </c>
      <c r="H21" s="189"/>
    </row>
    <row r="22" spans="1:9" x14ac:dyDescent="0.2">
      <c r="A22" s="402">
        <v>54111</v>
      </c>
      <c r="B22" s="394" t="s">
        <v>38</v>
      </c>
      <c r="C22" s="898">
        <v>0</v>
      </c>
      <c r="D22" s="914">
        <v>0</v>
      </c>
      <c r="E22" s="914">
        <v>0</v>
      </c>
      <c r="F22" s="634">
        <v>0</v>
      </c>
      <c r="G22" s="385">
        <f t="shared" si="0"/>
        <v>0</v>
      </c>
      <c r="H22" s="189"/>
    </row>
    <row r="23" spans="1:9" s="1" customFormat="1" x14ac:dyDescent="0.2">
      <c r="A23" s="402">
        <v>54112</v>
      </c>
      <c r="B23" s="394" t="s">
        <v>39</v>
      </c>
      <c r="C23" s="898">
        <v>0</v>
      </c>
      <c r="D23" s="914">
        <v>0</v>
      </c>
      <c r="E23" s="914">
        <v>0</v>
      </c>
      <c r="F23" s="634">
        <v>0</v>
      </c>
      <c r="G23" s="385">
        <f t="shared" si="0"/>
        <v>0</v>
      </c>
      <c r="H23" s="189"/>
      <c r="I23" s="319"/>
    </row>
    <row r="24" spans="1:9" x14ac:dyDescent="0.2">
      <c r="A24" s="402">
        <v>54114</v>
      </c>
      <c r="B24" s="394" t="s">
        <v>40</v>
      </c>
      <c r="C24" s="898">
        <v>200</v>
      </c>
      <c r="D24" s="914">
        <v>500</v>
      </c>
      <c r="E24" s="914">
        <v>200</v>
      </c>
      <c r="F24" s="634">
        <v>200</v>
      </c>
      <c r="G24" s="385">
        <f t="shared" si="0"/>
        <v>1100</v>
      </c>
      <c r="H24" s="189"/>
      <c r="I24" s="322"/>
    </row>
    <row r="25" spans="1:9" x14ac:dyDescent="0.2">
      <c r="A25" s="402">
        <v>54115</v>
      </c>
      <c r="B25" s="394" t="s">
        <v>41</v>
      </c>
      <c r="C25" s="898">
        <v>500</v>
      </c>
      <c r="D25" s="914">
        <v>1200</v>
      </c>
      <c r="E25" s="914">
        <v>300</v>
      </c>
      <c r="F25" s="634">
        <v>100</v>
      </c>
      <c r="G25" s="385">
        <f t="shared" si="0"/>
        <v>2100</v>
      </c>
      <c r="H25" s="189"/>
    </row>
    <row r="26" spans="1:9" x14ac:dyDescent="0.2">
      <c r="A26" s="402">
        <v>54116</v>
      </c>
      <c r="B26" s="394" t="s">
        <v>42</v>
      </c>
      <c r="C26" s="898">
        <v>100</v>
      </c>
      <c r="D26" s="914">
        <v>0</v>
      </c>
      <c r="E26" s="914">
        <v>0</v>
      </c>
      <c r="F26" s="634">
        <v>0</v>
      </c>
      <c r="G26" s="385">
        <f t="shared" si="0"/>
        <v>100</v>
      </c>
      <c r="H26" s="189"/>
    </row>
    <row r="27" spans="1:9" hidden="1" x14ac:dyDescent="0.2">
      <c r="A27" s="402">
        <v>54117</v>
      </c>
      <c r="B27" s="394" t="s">
        <v>43</v>
      </c>
      <c r="C27" s="898"/>
      <c r="D27" s="914"/>
      <c r="E27" s="914"/>
      <c r="F27" s="634"/>
      <c r="G27" s="385">
        <f t="shared" si="0"/>
        <v>0</v>
      </c>
      <c r="H27" s="189"/>
    </row>
    <row r="28" spans="1:9" x14ac:dyDescent="0.2">
      <c r="A28" s="402">
        <v>54118</v>
      </c>
      <c r="B28" s="394" t="s">
        <v>44</v>
      </c>
      <c r="C28" s="898">
        <v>100</v>
      </c>
      <c r="D28" s="914">
        <v>0</v>
      </c>
      <c r="E28" s="914">
        <v>0</v>
      </c>
      <c r="F28" s="634">
        <v>1000</v>
      </c>
      <c r="G28" s="385">
        <f t="shared" si="0"/>
        <v>1100</v>
      </c>
      <c r="H28" s="189"/>
    </row>
    <row r="29" spans="1:9" x14ac:dyDescent="0.2">
      <c r="A29" s="402">
        <v>54119</v>
      </c>
      <c r="B29" s="394" t="s">
        <v>45</v>
      </c>
      <c r="C29" s="898">
        <v>100</v>
      </c>
      <c r="D29" s="914">
        <v>0</v>
      </c>
      <c r="E29" s="914">
        <v>0</v>
      </c>
      <c r="F29" s="634">
        <v>300</v>
      </c>
      <c r="G29" s="385">
        <f t="shared" si="0"/>
        <v>400</v>
      </c>
      <c r="H29" s="189"/>
    </row>
    <row r="30" spans="1:9" x14ac:dyDescent="0.2">
      <c r="A30" s="402">
        <v>54121</v>
      </c>
      <c r="B30" s="394" t="s">
        <v>46</v>
      </c>
      <c r="C30" s="898">
        <v>0</v>
      </c>
      <c r="D30" s="914">
        <v>4000</v>
      </c>
      <c r="E30" s="914">
        <v>0</v>
      </c>
      <c r="F30" s="634">
        <v>0</v>
      </c>
      <c r="G30" s="385">
        <f t="shared" si="0"/>
        <v>4000</v>
      </c>
      <c r="H30" s="189"/>
    </row>
    <row r="31" spans="1:9" x14ac:dyDescent="0.2">
      <c r="A31" s="402">
        <v>54199</v>
      </c>
      <c r="B31" s="394" t="s">
        <v>47</v>
      </c>
      <c r="C31" s="898">
        <v>1500</v>
      </c>
      <c r="D31" s="914">
        <v>100</v>
      </c>
      <c r="E31" s="914">
        <v>100</v>
      </c>
      <c r="F31" s="634">
        <v>100</v>
      </c>
      <c r="G31" s="385">
        <f t="shared" si="0"/>
        <v>1800</v>
      </c>
      <c r="H31" s="189"/>
    </row>
    <row r="32" spans="1:9" x14ac:dyDescent="0.2">
      <c r="A32" s="401">
        <v>542</v>
      </c>
      <c r="B32" s="393" t="s">
        <v>48</v>
      </c>
      <c r="C32" s="763">
        <f>SUM(C33:C37)</f>
        <v>10500</v>
      </c>
      <c r="D32" s="633">
        <f>SUM(D33:D37)</f>
        <v>0</v>
      </c>
      <c r="E32" s="633">
        <f>SUM(E33:E37)</f>
        <v>0</v>
      </c>
      <c r="F32" s="906">
        <f>SUM(F33:F37)</f>
        <v>130281.43</v>
      </c>
      <c r="G32" s="384">
        <f t="shared" ref="G32:G37" si="1">SUM(C32:F32)</f>
        <v>140781.43</v>
      </c>
      <c r="H32" s="189"/>
    </row>
    <row r="33" spans="1:10" x14ac:dyDescent="0.2">
      <c r="A33" s="402">
        <v>54201</v>
      </c>
      <c r="B33" s="394" t="s">
        <v>49</v>
      </c>
      <c r="C33" s="898">
        <v>2500</v>
      </c>
      <c r="D33" s="914">
        <v>0</v>
      </c>
      <c r="E33" s="914">
        <v>0</v>
      </c>
      <c r="F33" s="634">
        <v>114481.43</v>
      </c>
      <c r="G33" s="386">
        <f t="shared" si="1"/>
        <v>116981.43</v>
      </c>
      <c r="H33" s="189"/>
    </row>
    <row r="34" spans="1:10" x14ac:dyDescent="0.2">
      <c r="A34" s="402">
        <v>54202</v>
      </c>
      <c r="B34" s="394" t="s">
        <v>50</v>
      </c>
      <c r="C34" s="898">
        <v>1000</v>
      </c>
      <c r="D34" s="914">
        <v>0</v>
      </c>
      <c r="E34" s="914">
        <v>0</v>
      </c>
      <c r="F34" s="634">
        <v>500</v>
      </c>
      <c r="G34" s="386">
        <f t="shared" si="1"/>
        <v>1500</v>
      </c>
      <c r="H34" s="189"/>
    </row>
    <row r="35" spans="1:10" x14ac:dyDescent="0.2">
      <c r="A35" s="402">
        <v>54203</v>
      </c>
      <c r="B35" s="394" t="s">
        <v>51</v>
      </c>
      <c r="C35" s="898">
        <v>7000</v>
      </c>
      <c r="D35" s="914">
        <v>0</v>
      </c>
      <c r="E35" s="914">
        <v>0</v>
      </c>
      <c r="F35" s="634">
        <v>300</v>
      </c>
      <c r="G35" s="386">
        <f t="shared" si="1"/>
        <v>7300</v>
      </c>
      <c r="H35" s="189"/>
    </row>
    <row r="36" spans="1:10" ht="12.75" hidden="1" customHeight="1" x14ac:dyDescent="0.2">
      <c r="A36" s="402">
        <v>54204</v>
      </c>
      <c r="B36" s="394" t="s">
        <v>52</v>
      </c>
      <c r="C36" s="898"/>
      <c r="D36" s="914"/>
      <c r="E36" s="914"/>
      <c r="F36" s="634"/>
      <c r="G36" s="386">
        <f t="shared" si="1"/>
        <v>0</v>
      </c>
    </row>
    <row r="37" spans="1:10" x14ac:dyDescent="0.2">
      <c r="A37" s="402">
        <v>54205</v>
      </c>
      <c r="B37" s="394" t="s">
        <v>53</v>
      </c>
      <c r="C37" s="898">
        <v>0</v>
      </c>
      <c r="D37" s="914">
        <v>0</v>
      </c>
      <c r="E37" s="914">
        <v>0</v>
      </c>
      <c r="F37" s="634">
        <v>15000</v>
      </c>
      <c r="G37" s="386">
        <f t="shared" si="1"/>
        <v>15000</v>
      </c>
      <c r="H37" s="189"/>
      <c r="J37" s="4"/>
    </row>
    <row r="38" spans="1:10" x14ac:dyDescent="0.2">
      <c r="A38" s="401">
        <v>543</v>
      </c>
      <c r="B38" s="393" t="s">
        <v>54</v>
      </c>
      <c r="C38" s="763">
        <f>SUM(C39:C53)</f>
        <v>5080</v>
      </c>
      <c r="D38" s="633">
        <f>SUM(D39:D53)</f>
        <v>300</v>
      </c>
      <c r="E38" s="633">
        <f>SUM(E39:E53)</f>
        <v>100</v>
      </c>
      <c r="F38" s="906">
        <f>SUM(F39:F53)</f>
        <v>2100</v>
      </c>
      <c r="G38" s="384">
        <f>SUM(G39:G53)</f>
        <v>7580</v>
      </c>
      <c r="H38" s="189"/>
    </row>
    <row r="39" spans="1:10" x14ac:dyDescent="0.2">
      <c r="A39" s="402">
        <v>54301</v>
      </c>
      <c r="B39" s="394" t="s">
        <v>55</v>
      </c>
      <c r="C39" s="898">
        <v>700</v>
      </c>
      <c r="D39" s="914">
        <v>200</v>
      </c>
      <c r="E39" s="914">
        <v>100</v>
      </c>
      <c r="F39" s="634">
        <v>100</v>
      </c>
      <c r="G39" s="386">
        <f>SUM(C39:F39)</f>
        <v>1100</v>
      </c>
      <c r="H39" s="189"/>
    </row>
    <row r="40" spans="1:10" x14ac:dyDescent="0.2">
      <c r="A40" s="402">
        <v>54302</v>
      </c>
      <c r="B40" s="394" t="s">
        <v>56</v>
      </c>
      <c r="C40" s="898">
        <v>3000</v>
      </c>
      <c r="D40" s="914">
        <v>0</v>
      </c>
      <c r="E40" s="914">
        <v>0</v>
      </c>
      <c r="F40" s="634">
        <v>2000</v>
      </c>
      <c r="G40" s="386">
        <f t="shared" ref="G40:G53" si="2">SUM(C40:F40)</f>
        <v>5000</v>
      </c>
      <c r="H40" s="189"/>
    </row>
    <row r="41" spans="1:10" hidden="1" x14ac:dyDescent="0.2">
      <c r="A41" s="402">
        <v>54303</v>
      </c>
      <c r="B41" s="394" t="s">
        <v>57</v>
      </c>
      <c r="C41" s="898">
        <v>0</v>
      </c>
      <c r="D41" s="914">
        <v>0</v>
      </c>
      <c r="E41" s="914">
        <v>0</v>
      </c>
      <c r="F41" s="634">
        <v>0</v>
      </c>
      <c r="G41" s="386">
        <f t="shared" si="2"/>
        <v>0</v>
      </c>
      <c r="H41" s="189"/>
    </row>
    <row r="42" spans="1:10" x14ac:dyDescent="0.2">
      <c r="A42" s="402">
        <v>54304</v>
      </c>
      <c r="B42" s="394" t="s">
        <v>58</v>
      </c>
      <c r="C42" s="898">
        <v>0</v>
      </c>
      <c r="D42" s="914">
        <v>0</v>
      </c>
      <c r="E42" s="914">
        <v>0</v>
      </c>
      <c r="F42" s="634">
        <v>0</v>
      </c>
      <c r="G42" s="386">
        <f>SUM(C42:F42)</f>
        <v>0</v>
      </c>
      <c r="H42" s="189"/>
    </row>
    <row r="43" spans="1:10" hidden="1" x14ac:dyDescent="0.2">
      <c r="A43" s="402">
        <v>54305</v>
      </c>
      <c r="B43" s="394" t="s">
        <v>59</v>
      </c>
      <c r="C43" s="898">
        <v>0</v>
      </c>
      <c r="D43" s="914">
        <v>0</v>
      </c>
      <c r="E43" s="914">
        <v>0</v>
      </c>
      <c r="F43" s="634">
        <v>0</v>
      </c>
      <c r="G43" s="386">
        <f t="shared" si="2"/>
        <v>0</v>
      </c>
      <c r="H43" s="189"/>
    </row>
    <row r="44" spans="1:10" hidden="1" x14ac:dyDescent="0.2">
      <c r="A44" s="402">
        <v>54306</v>
      </c>
      <c r="B44" s="394" t="s">
        <v>60</v>
      </c>
      <c r="C44" s="898">
        <v>0</v>
      </c>
      <c r="D44" s="914">
        <v>0</v>
      </c>
      <c r="E44" s="914">
        <v>0</v>
      </c>
      <c r="F44" s="634">
        <v>0</v>
      </c>
      <c r="G44" s="386">
        <f t="shared" si="2"/>
        <v>0</v>
      </c>
      <c r="H44" s="189"/>
    </row>
    <row r="45" spans="1:10" x14ac:dyDescent="0.2">
      <c r="A45" s="402">
        <v>54307</v>
      </c>
      <c r="B45" s="394" t="s">
        <v>61</v>
      </c>
      <c r="C45" s="898">
        <f>640+640</f>
        <v>1280</v>
      </c>
      <c r="D45" s="914">
        <v>0</v>
      </c>
      <c r="E45" s="914">
        <v>0</v>
      </c>
      <c r="F45" s="634">
        <v>0</v>
      </c>
      <c r="G45" s="386">
        <f t="shared" si="2"/>
        <v>1280</v>
      </c>
      <c r="H45" s="189"/>
    </row>
    <row r="46" spans="1:10" hidden="1" x14ac:dyDescent="0.2">
      <c r="A46" s="402">
        <v>54309</v>
      </c>
      <c r="B46" s="394" t="s">
        <v>62</v>
      </c>
      <c r="C46" s="898"/>
      <c r="D46" s="914">
        <v>0</v>
      </c>
      <c r="E46" s="914">
        <v>0</v>
      </c>
      <c r="F46" s="634">
        <v>0</v>
      </c>
      <c r="G46" s="386">
        <f t="shared" si="2"/>
        <v>0</v>
      </c>
      <c r="H46" s="189"/>
    </row>
    <row r="47" spans="1:10" hidden="1" x14ac:dyDescent="0.2">
      <c r="A47" s="402">
        <v>54310</v>
      </c>
      <c r="B47" s="394" t="s">
        <v>63</v>
      </c>
      <c r="C47" s="898"/>
      <c r="D47" s="914">
        <v>0</v>
      </c>
      <c r="E47" s="914">
        <v>0</v>
      </c>
      <c r="F47" s="634">
        <v>0</v>
      </c>
      <c r="G47" s="386">
        <f t="shared" si="2"/>
        <v>0</v>
      </c>
      <c r="H47" s="189"/>
    </row>
    <row r="48" spans="1:10" hidden="1" x14ac:dyDescent="0.2">
      <c r="A48" s="402">
        <v>54311</v>
      </c>
      <c r="B48" s="394" t="s">
        <v>64</v>
      </c>
      <c r="C48" s="898"/>
      <c r="D48" s="914">
        <v>0</v>
      </c>
      <c r="E48" s="914">
        <v>0</v>
      </c>
      <c r="F48" s="634">
        <v>0</v>
      </c>
      <c r="G48" s="386">
        <f t="shared" si="2"/>
        <v>0</v>
      </c>
      <c r="H48" s="189"/>
    </row>
    <row r="49" spans="1:8" hidden="1" x14ac:dyDescent="0.2">
      <c r="A49" s="402">
        <v>54313</v>
      </c>
      <c r="B49" s="394" t="s">
        <v>65</v>
      </c>
      <c r="C49" s="898"/>
      <c r="D49" s="914">
        <v>0</v>
      </c>
      <c r="E49" s="914">
        <v>0</v>
      </c>
      <c r="F49" s="634">
        <v>0</v>
      </c>
      <c r="G49" s="386">
        <f t="shared" si="2"/>
        <v>0</v>
      </c>
      <c r="H49" s="189"/>
    </row>
    <row r="50" spans="1:8" x14ac:dyDescent="0.2">
      <c r="A50" s="402">
        <v>54314</v>
      </c>
      <c r="B50" s="394" t="s">
        <v>66</v>
      </c>
      <c r="C50" s="898">
        <v>0</v>
      </c>
      <c r="D50" s="914">
        <v>0</v>
      </c>
      <c r="E50" s="914">
        <v>0</v>
      </c>
      <c r="F50" s="634">
        <v>0</v>
      </c>
      <c r="G50" s="386">
        <f t="shared" si="2"/>
        <v>0</v>
      </c>
      <c r="H50" s="189"/>
    </row>
    <row r="51" spans="1:8" hidden="1" x14ac:dyDescent="0.2">
      <c r="A51" s="402">
        <v>54316</v>
      </c>
      <c r="B51" s="394" t="s">
        <v>67</v>
      </c>
      <c r="C51" s="898">
        <v>0</v>
      </c>
      <c r="D51" s="914">
        <v>0</v>
      </c>
      <c r="E51" s="914">
        <v>0</v>
      </c>
      <c r="F51" s="634">
        <v>0</v>
      </c>
      <c r="G51" s="386">
        <f t="shared" si="2"/>
        <v>0</v>
      </c>
      <c r="H51" s="189"/>
    </row>
    <row r="52" spans="1:8" x14ac:dyDescent="0.2">
      <c r="A52" s="402">
        <v>54317</v>
      </c>
      <c r="B52" s="394" t="s">
        <v>68</v>
      </c>
      <c r="C52" s="898">
        <v>0</v>
      </c>
      <c r="D52" s="914">
        <v>0</v>
      </c>
      <c r="E52" s="914">
        <v>0</v>
      </c>
      <c r="F52" s="634">
        <v>0</v>
      </c>
      <c r="G52" s="386">
        <f t="shared" si="2"/>
        <v>0</v>
      </c>
      <c r="H52" s="189"/>
    </row>
    <row r="53" spans="1:8" x14ac:dyDescent="0.2">
      <c r="A53" s="402">
        <v>54399</v>
      </c>
      <c r="B53" s="394" t="s">
        <v>69</v>
      </c>
      <c r="C53" s="898">
        <v>100</v>
      </c>
      <c r="D53" s="914">
        <v>100</v>
      </c>
      <c r="E53" s="914">
        <v>0</v>
      </c>
      <c r="F53" s="634">
        <v>0</v>
      </c>
      <c r="G53" s="386">
        <f t="shared" si="2"/>
        <v>200</v>
      </c>
      <c r="H53" s="189"/>
    </row>
    <row r="54" spans="1:8" x14ac:dyDescent="0.2">
      <c r="A54" s="401">
        <v>544</v>
      </c>
      <c r="B54" s="393" t="s">
        <v>70</v>
      </c>
      <c r="C54" s="763">
        <f>SUM(C55:C58)</f>
        <v>0</v>
      </c>
      <c r="D54" s="633">
        <f>SUM(D55:D58)</f>
        <v>0</v>
      </c>
      <c r="E54" s="633">
        <f>SUM(E55:E58)</f>
        <v>0</v>
      </c>
      <c r="F54" s="906">
        <f>SUM(F55:F58)</f>
        <v>0</v>
      </c>
      <c r="G54" s="384">
        <f>SUM(G55:G58)</f>
        <v>0</v>
      </c>
      <c r="H54" s="189"/>
    </row>
    <row r="55" spans="1:8" x14ac:dyDescent="0.2">
      <c r="A55" s="402">
        <v>54401</v>
      </c>
      <c r="B55" s="394" t="s">
        <v>71</v>
      </c>
      <c r="C55" s="898">
        <v>0</v>
      </c>
      <c r="D55" s="914">
        <v>0</v>
      </c>
      <c r="E55" s="914">
        <v>0</v>
      </c>
      <c r="F55" s="634">
        <v>0</v>
      </c>
      <c r="G55" s="386">
        <f>SUM(C55:F55)</f>
        <v>0</v>
      </c>
      <c r="H55" s="189"/>
    </row>
    <row r="56" spans="1:8" x14ac:dyDescent="0.2">
      <c r="A56" s="402">
        <v>54402</v>
      </c>
      <c r="B56" s="394" t="s">
        <v>72</v>
      </c>
      <c r="C56" s="898">
        <v>0</v>
      </c>
      <c r="D56" s="914">
        <v>0</v>
      </c>
      <c r="E56" s="914">
        <v>0</v>
      </c>
      <c r="F56" s="634">
        <v>0</v>
      </c>
      <c r="G56" s="386">
        <f t="shared" ref="G56:G66" si="3">+C56+F56</f>
        <v>0</v>
      </c>
      <c r="H56" s="189"/>
    </row>
    <row r="57" spans="1:8" x14ac:dyDescent="0.2">
      <c r="A57" s="402">
        <v>54403</v>
      </c>
      <c r="B57" s="394" t="s">
        <v>73</v>
      </c>
      <c r="C57" s="898">
        <v>0</v>
      </c>
      <c r="D57" s="914">
        <v>0</v>
      </c>
      <c r="E57" s="914">
        <v>0</v>
      </c>
      <c r="F57" s="634">
        <v>0</v>
      </c>
      <c r="G57" s="386">
        <f>SUM(C57:F57)</f>
        <v>0</v>
      </c>
      <c r="H57" s="189"/>
    </row>
    <row r="58" spans="1:8" x14ac:dyDescent="0.2">
      <c r="A58" s="402">
        <v>54404</v>
      </c>
      <c r="B58" s="394" t="s">
        <v>74</v>
      </c>
      <c r="C58" s="898">
        <v>0</v>
      </c>
      <c r="D58" s="914">
        <v>0</v>
      </c>
      <c r="E58" s="914">
        <v>0</v>
      </c>
      <c r="F58" s="634">
        <v>0</v>
      </c>
      <c r="G58" s="386">
        <f t="shared" si="3"/>
        <v>0</v>
      </c>
      <c r="H58" s="189"/>
    </row>
    <row r="59" spans="1:8" x14ac:dyDescent="0.2">
      <c r="A59" s="401">
        <v>545</v>
      </c>
      <c r="B59" s="393" t="s">
        <v>75</v>
      </c>
      <c r="C59" s="763">
        <f>+C61</f>
        <v>100</v>
      </c>
      <c r="D59" s="633">
        <v>0</v>
      </c>
      <c r="E59" s="633">
        <v>0</v>
      </c>
      <c r="F59" s="906">
        <v>0</v>
      </c>
      <c r="G59" s="384">
        <f>+G61</f>
        <v>100</v>
      </c>
      <c r="H59" s="189"/>
    </row>
    <row r="60" spans="1:8" hidden="1" x14ac:dyDescent="0.2">
      <c r="A60" s="402">
        <v>54501</v>
      </c>
      <c r="B60" s="394" t="s">
        <v>76</v>
      </c>
      <c r="C60" s="898"/>
      <c r="D60" s="914">
        <v>0</v>
      </c>
      <c r="E60" s="914">
        <v>0</v>
      </c>
      <c r="F60" s="634">
        <v>0</v>
      </c>
      <c r="G60" s="386">
        <f t="shared" si="3"/>
        <v>0</v>
      </c>
      <c r="H60" s="189"/>
    </row>
    <row r="61" spans="1:8" x14ac:dyDescent="0.2">
      <c r="A61" s="402">
        <v>54503</v>
      </c>
      <c r="B61" s="394" t="s">
        <v>77</v>
      </c>
      <c r="C61" s="898">
        <v>100</v>
      </c>
      <c r="D61" s="914">
        <v>0</v>
      </c>
      <c r="E61" s="914">
        <v>0</v>
      </c>
      <c r="F61" s="634">
        <v>0</v>
      </c>
      <c r="G61" s="386">
        <f t="shared" si="3"/>
        <v>100</v>
      </c>
      <c r="H61" s="189"/>
    </row>
    <row r="62" spans="1:8" hidden="1" x14ac:dyDescent="0.2">
      <c r="A62" s="402">
        <v>54504</v>
      </c>
      <c r="B62" s="394" t="s">
        <v>78</v>
      </c>
      <c r="C62" s="898"/>
      <c r="D62" s="914"/>
      <c r="E62" s="914"/>
      <c r="F62" s="634"/>
      <c r="G62" s="386">
        <f t="shared" si="3"/>
        <v>0</v>
      </c>
      <c r="H62" s="189"/>
    </row>
    <row r="63" spans="1:8" hidden="1" x14ac:dyDescent="0.2">
      <c r="A63" s="402">
        <v>54505</v>
      </c>
      <c r="B63" s="394" t="s">
        <v>79</v>
      </c>
      <c r="C63" s="898"/>
      <c r="D63" s="914"/>
      <c r="E63" s="914"/>
      <c r="F63" s="634"/>
      <c r="G63" s="386">
        <f t="shared" si="3"/>
        <v>0</v>
      </c>
      <c r="H63" s="189"/>
    </row>
    <row r="64" spans="1:8" hidden="1" x14ac:dyDescent="0.2">
      <c r="A64" s="402">
        <v>54507</v>
      </c>
      <c r="B64" s="394" t="s">
        <v>80</v>
      </c>
      <c r="C64" s="898"/>
      <c r="D64" s="914"/>
      <c r="E64" s="914"/>
      <c r="F64" s="634"/>
      <c r="G64" s="386">
        <f t="shared" si="3"/>
        <v>0</v>
      </c>
      <c r="H64" s="189"/>
    </row>
    <row r="65" spans="1:9" hidden="1" x14ac:dyDescent="0.2">
      <c r="A65" s="402">
        <v>54508</v>
      </c>
      <c r="B65" s="394" t="s">
        <v>81</v>
      </c>
      <c r="C65" s="898"/>
      <c r="D65" s="914"/>
      <c r="E65" s="914"/>
      <c r="F65" s="634"/>
      <c r="G65" s="386">
        <f t="shared" si="3"/>
        <v>0</v>
      </c>
      <c r="H65" s="189"/>
    </row>
    <row r="66" spans="1:9" hidden="1" x14ac:dyDescent="0.2">
      <c r="A66" s="402">
        <v>54599</v>
      </c>
      <c r="B66" s="394" t="s">
        <v>82</v>
      </c>
      <c r="C66" s="898"/>
      <c r="D66" s="914"/>
      <c r="E66" s="914"/>
      <c r="F66" s="634"/>
      <c r="G66" s="386">
        <f t="shared" si="3"/>
        <v>0</v>
      </c>
      <c r="H66" s="189"/>
    </row>
    <row r="67" spans="1:9" x14ac:dyDescent="0.2">
      <c r="A67" s="402"/>
      <c r="B67" s="394"/>
      <c r="C67" s="898"/>
      <c r="D67" s="914"/>
      <c r="E67" s="914"/>
      <c r="F67" s="634"/>
      <c r="G67" s="386"/>
      <c r="H67" s="189"/>
    </row>
    <row r="68" spans="1:9" x14ac:dyDescent="0.2">
      <c r="A68" s="401">
        <v>55</v>
      </c>
      <c r="B68" s="393" t="s">
        <v>83</v>
      </c>
      <c r="C68" s="763">
        <f>C73+C75</f>
        <v>3407.33</v>
      </c>
      <c r="D68" s="633">
        <f t="shared" ref="D68:F68" si="4">D73+D75</f>
        <v>134.75</v>
      </c>
      <c r="E68" s="633">
        <f t="shared" si="4"/>
        <v>0</v>
      </c>
      <c r="F68" s="906">
        <f t="shared" si="4"/>
        <v>120.01</v>
      </c>
      <c r="G68" s="384">
        <f>F68+D68+C68</f>
        <v>3662.09</v>
      </c>
      <c r="H68" s="300"/>
    </row>
    <row r="69" spans="1:9" hidden="1" x14ac:dyDescent="0.2">
      <c r="A69" s="401">
        <v>553</v>
      </c>
      <c r="B69" s="393" t="s">
        <v>84</v>
      </c>
      <c r="C69" s="898"/>
      <c r="D69" s="914"/>
      <c r="E69" s="914"/>
      <c r="F69" s="634"/>
      <c r="G69" s="384">
        <f>+C69+F69</f>
        <v>0</v>
      </c>
      <c r="H69" s="300"/>
    </row>
    <row r="70" spans="1:9" hidden="1" x14ac:dyDescent="0.2">
      <c r="A70" s="402">
        <v>55303</v>
      </c>
      <c r="B70" s="394" t="s">
        <v>85</v>
      </c>
      <c r="C70" s="898"/>
      <c r="D70" s="914"/>
      <c r="E70" s="914"/>
      <c r="F70" s="634"/>
      <c r="G70" s="386">
        <f>+C70+F70</f>
        <v>0</v>
      </c>
      <c r="H70" s="300"/>
    </row>
    <row r="71" spans="1:9" hidden="1" x14ac:dyDescent="0.2">
      <c r="A71" s="402">
        <v>55304</v>
      </c>
      <c r="B71" s="394" t="s">
        <v>86</v>
      </c>
      <c r="C71" s="898"/>
      <c r="D71" s="914"/>
      <c r="E71" s="914"/>
      <c r="F71" s="634"/>
      <c r="G71" s="386">
        <f>+C71+F71</f>
        <v>0</v>
      </c>
      <c r="H71" s="300"/>
    </row>
    <row r="72" spans="1:9" hidden="1" x14ac:dyDescent="0.2">
      <c r="A72" s="402">
        <v>55308</v>
      </c>
      <c r="B72" s="394" t="s">
        <v>87</v>
      </c>
      <c r="C72" s="898"/>
      <c r="D72" s="914"/>
      <c r="E72" s="914"/>
      <c r="F72" s="634"/>
      <c r="G72" s="386">
        <f>+C72+F72</f>
        <v>0</v>
      </c>
      <c r="H72" s="300"/>
    </row>
    <row r="73" spans="1:9" s="298" customFormat="1" x14ac:dyDescent="0.2">
      <c r="A73" s="401">
        <v>555</v>
      </c>
      <c r="B73" s="393" t="s">
        <v>494</v>
      </c>
      <c r="C73" s="763">
        <f>C74</f>
        <v>28.86</v>
      </c>
      <c r="D73" s="633">
        <f t="shared" ref="D73:F73" si="5">D74</f>
        <v>0</v>
      </c>
      <c r="E73" s="633">
        <f t="shared" si="5"/>
        <v>0</v>
      </c>
      <c r="F73" s="906">
        <f t="shared" si="5"/>
        <v>120.01</v>
      </c>
      <c r="G73" s="384">
        <f>G74</f>
        <v>148.87</v>
      </c>
      <c r="H73" s="350"/>
      <c r="I73" s="323"/>
    </row>
    <row r="74" spans="1:9" x14ac:dyDescent="0.2">
      <c r="A74" s="402">
        <v>55508</v>
      </c>
      <c r="B74" s="395" t="s">
        <v>340</v>
      </c>
      <c r="C74" s="898">
        <v>28.86</v>
      </c>
      <c r="D74" s="914">
        <v>0</v>
      </c>
      <c r="E74" s="914">
        <v>0</v>
      </c>
      <c r="F74" s="634">
        <v>120.01</v>
      </c>
      <c r="G74" s="386">
        <f t="shared" ref="G74" si="6">+C74+F74</f>
        <v>148.87</v>
      </c>
      <c r="H74" s="300"/>
    </row>
    <row r="75" spans="1:9" x14ac:dyDescent="0.2">
      <c r="A75" s="401">
        <v>556</v>
      </c>
      <c r="B75" s="393" t="s">
        <v>88</v>
      </c>
      <c r="C75" s="763">
        <f>SUM(C76:C78)</f>
        <v>3378.47</v>
      </c>
      <c r="D75" s="633">
        <f>SUM(D76:D78)</f>
        <v>134.75</v>
      </c>
      <c r="E75" s="633">
        <f t="shared" ref="E75:F75" si="7">SUM(E76:E78)</f>
        <v>0</v>
      </c>
      <c r="F75" s="764">
        <f t="shared" si="7"/>
        <v>0</v>
      </c>
      <c r="G75" s="384">
        <f>C75+D75+F75</f>
        <v>3513.22</v>
      </c>
      <c r="H75" s="300"/>
    </row>
    <row r="76" spans="1:9" x14ac:dyDescent="0.2">
      <c r="A76" s="402">
        <v>55601</v>
      </c>
      <c r="B76" s="394" t="s">
        <v>89</v>
      </c>
      <c r="C76" s="898">
        <v>0</v>
      </c>
      <c r="D76" s="915">
        <v>84.75</v>
      </c>
      <c r="E76" s="914">
        <v>0</v>
      </c>
      <c r="F76" s="634">
        <v>0</v>
      </c>
      <c r="G76" s="386">
        <f t="shared" ref="G76:G77" si="8">SUM(C76:F76)</f>
        <v>84.75</v>
      </c>
      <c r="H76" s="300"/>
    </row>
    <row r="77" spans="1:9" x14ac:dyDescent="0.2">
      <c r="A77" s="402">
        <v>55602</v>
      </c>
      <c r="B77" s="394" t="s">
        <v>90</v>
      </c>
      <c r="C77" s="899">
        <v>3378.47</v>
      </c>
      <c r="D77" s="914">
        <v>0</v>
      </c>
      <c r="E77" s="914">
        <v>0</v>
      </c>
      <c r="F77" s="634">
        <v>0</v>
      </c>
      <c r="G77" s="386">
        <f t="shared" si="8"/>
        <v>3378.47</v>
      </c>
      <c r="H77" s="300"/>
    </row>
    <row r="78" spans="1:9" x14ac:dyDescent="0.2">
      <c r="A78" s="402">
        <v>55603</v>
      </c>
      <c r="B78" s="394" t="s">
        <v>91</v>
      </c>
      <c r="C78" s="898">
        <v>0</v>
      </c>
      <c r="D78" s="914">
        <v>50</v>
      </c>
      <c r="E78" s="914">
        <v>0</v>
      </c>
      <c r="F78" s="634">
        <v>0</v>
      </c>
      <c r="G78" s="386">
        <f>SUM(C78:F78)</f>
        <v>50</v>
      </c>
      <c r="H78" s="300"/>
    </row>
    <row r="79" spans="1:9" hidden="1" x14ac:dyDescent="0.2">
      <c r="A79" s="401">
        <v>557</v>
      </c>
      <c r="B79" s="393" t="s">
        <v>92</v>
      </c>
      <c r="C79" s="763"/>
      <c r="D79" s="633">
        <f>SUM(D80:D82)</f>
        <v>0</v>
      </c>
      <c r="E79" s="633"/>
      <c r="F79" s="906"/>
      <c r="G79" s="384">
        <f>+C79+D79+F79</f>
        <v>0</v>
      </c>
      <c r="H79" s="300"/>
    </row>
    <row r="80" spans="1:9" ht="13.5" hidden="1" thickBot="1" x14ac:dyDescent="0.25">
      <c r="A80" s="403">
        <v>55701</v>
      </c>
      <c r="B80" s="396" t="s">
        <v>93</v>
      </c>
      <c r="C80" s="900"/>
      <c r="D80" s="916"/>
      <c r="E80" s="916"/>
      <c r="F80" s="907"/>
      <c r="G80" s="387"/>
      <c r="H80" s="300"/>
    </row>
    <row r="81" spans="1:10" ht="12.75" hidden="1" customHeight="1" x14ac:dyDescent="0.2">
      <c r="A81" s="404">
        <v>55702</v>
      </c>
      <c r="B81" s="397" t="s">
        <v>94</v>
      </c>
      <c r="C81" s="901"/>
      <c r="D81" s="917"/>
      <c r="E81" s="917"/>
      <c r="F81" s="908"/>
      <c r="G81" s="388"/>
      <c r="H81" s="300"/>
    </row>
    <row r="82" spans="1:10" ht="12.75" hidden="1" customHeight="1" x14ac:dyDescent="0.2">
      <c r="A82" s="404">
        <v>55799</v>
      </c>
      <c r="B82" s="397" t="s">
        <v>95</v>
      </c>
      <c r="C82" s="901"/>
      <c r="D82" s="917"/>
      <c r="E82" s="917"/>
      <c r="F82" s="908"/>
      <c r="G82" s="389"/>
      <c r="H82" s="300"/>
    </row>
    <row r="83" spans="1:10" ht="12.75" hidden="1" customHeight="1" x14ac:dyDescent="0.2">
      <c r="A83" s="405"/>
      <c r="B83" s="398"/>
      <c r="C83" s="902"/>
      <c r="D83" s="918"/>
      <c r="E83" s="918"/>
      <c r="F83" s="909"/>
      <c r="G83" s="390"/>
      <c r="H83" s="300"/>
    </row>
    <row r="84" spans="1:10" ht="12.75" customHeight="1" x14ac:dyDescent="0.2">
      <c r="A84" s="402"/>
      <c r="B84" s="394"/>
      <c r="C84" s="898"/>
      <c r="D84" s="914"/>
      <c r="E84" s="914"/>
      <c r="F84" s="634"/>
      <c r="G84" s="386"/>
      <c r="H84" s="300"/>
    </row>
    <row r="85" spans="1:10" x14ac:dyDescent="0.2">
      <c r="A85" s="406">
        <v>56</v>
      </c>
      <c r="B85" s="399" t="s">
        <v>96</v>
      </c>
      <c r="C85" s="903">
        <f>C86+C89</f>
        <v>15125.16</v>
      </c>
      <c r="D85" s="919">
        <f>D86+D89</f>
        <v>0</v>
      </c>
      <c r="E85" s="919"/>
      <c r="F85" s="910">
        <f>F86+F89</f>
        <v>0</v>
      </c>
      <c r="G85" s="391">
        <f>+C85+F85</f>
        <v>15125.16</v>
      </c>
      <c r="H85" s="300"/>
    </row>
    <row r="86" spans="1:10" x14ac:dyDescent="0.2">
      <c r="A86" s="401">
        <v>562</v>
      </c>
      <c r="B86" s="393" t="s">
        <v>97</v>
      </c>
      <c r="C86" s="763">
        <f>C88</f>
        <v>15125.16</v>
      </c>
      <c r="D86" s="633">
        <f>SUM(D87:D88)</f>
        <v>0</v>
      </c>
      <c r="E86" s="633"/>
      <c r="F86" s="906"/>
      <c r="G86" s="384">
        <f t="shared" ref="G86:G91" si="9">+C86+F86</f>
        <v>15125.16</v>
      </c>
      <c r="H86" s="300"/>
    </row>
    <row r="87" spans="1:10" hidden="1" x14ac:dyDescent="0.2">
      <c r="A87" s="402">
        <v>56201</v>
      </c>
      <c r="B87" s="395" t="s">
        <v>496</v>
      </c>
      <c r="C87" s="898"/>
      <c r="D87" s="914"/>
      <c r="E87" s="914"/>
      <c r="F87" s="634"/>
      <c r="G87" s="386">
        <f t="shared" si="9"/>
        <v>0</v>
      </c>
      <c r="H87" s="300"/>
    </row>
    <row r="88" spans="1:10" x14ac:dyDescent="0.2">
      <c r="A88" s="402">
        <v>56201</v>
      </c>
      <c r="B88" s="395" t="s">
        <v>603</v>
      </c>
      <c r="C88" s="898">
        <f>(1095.43*12)+(65*12)+(100*12)</f>
        <v>15125.16</v>
      </c>
      <c r="D88" s="914">
        <v>0</v>
      </c>
      <c r="E88" s="914">
        <v>0</v>
      </c>
      <c r="F88" s="634">
        <v>0</v>
      </c>
      <c r="G88" s="386">
        <f t="shared" si="9"/>
        <v>15125.16</v>
      </c>
      <c r="H88" s="300"/>
    </row>
    <row r="89" spans="1:10" hidden="1" x14ac:dyDescent="0.2">
      <c r="A89" s="401">
        <v>563</v>
      </c>
      <c r="B89" s="393" t="s">
        <v>99</v>
      </c>
      <c r="C89" s="763">
        <f>SUM(C90:C91)</f>
        <v>0</v>
      </c>
      <c r="D89" s="633">
        <f>SUM(D90:D91)</f>
        <v>0</v>
      </c>
      <c r="E89" s="633">
        <f t="shared" ref="E89:F89" si="10">SUM(E90:E91)</f>
        <v>0</v>
      </c>
      <c r="F89" s="764">
        <f t="shared" si="10"/>
        <v>0</v>
      </c>
      <c r="G89" s="384">
        <f t="shared" si="9"/>
        <v>0</v>
      </c>
      <c r="H89" s="300"/>
    </row>
    <row r="90" spans="1:10" hidden="1" x14ac:dyDescent="0.2">
      <c r="A90" s="402">
        <v>56303</v>
      </c>
      <c r="B90" s="394" t="s">
        <v>98</v>
      </c>
      <c r="C90" s="898"/>
      <c r="D90" s="914"/>
      <c r="E90" s="914"/>
      <c r="F90" s="634"/>
      <c r="G90" s="386">
        <f t="shared" si="9"/>
        <v>0</v>
      </c>
      <c r="H90" s="300"/>
    </row>
    <row r="91" spans="1:10" hidden="1" x14ac:dyDescent="0.2">
      <c r="A91" s="402">
        <v>56304</v>
      </c>
      <c r="B91" s="394" t="s">
        <v>100</v>
      </c>
      <c r="C91" s="898">
        <v>0</v>
      </c>
      <c r="D91" s="914">
        <v>0</v>
      </c>
      <c r="E91" s="914">
        <v>0</v>
      </c>
      <c r="F91" s="634">
        <v>0</v>
      </c>
      <c r="G91" s="386">
        <f t="shared" si="9"/>
        <v>0</v>
      </c>
      <c r="H91" s="300"/>
      <c r="J91" s="4"/>
    </row>
    <row r="92" spans="1:10" x14ac:dyDescent="0.2">
      <c r="A92" s="402"/>
      <c r="B92" s="394"/>
      <c r="C92" s="898"/>
      <c r="D92" s="914"/>
      <c r="E92" s="914"/>
      <c r="F92" s="634"/>
      <c r="G92" s="386"/>
      <c r="H92" s="300"/>
      <c r="J92" s="4"/>
    </row>
    <row r="93" spans="1:10" s="131" customFormat="1" x14ac:dyDescent="0.2">
      <c r="A93" s="463">
        <v>72</v>
      </c>
      <c r="B93" s="455" t="s">
        <v>13</v>
      </c>
      <c r="C93" s="763">
        <f>C94</f>
        <v>7392.73</v>
      </c>
      <c r="D93" s="633">
        <f t="shared" ref="D93:D94" si="11">D94</f>
        <v>0</v>
      </c>
      <c r="E93" s="633">
        <f t="shared" ref="E93:E94" si="12">E94</f>
        <v>0</v>
      </c>
      <c r="F93" s="911">
        <f t="shared" ref="F93:F94" si="13">F94</f>
        <v>0</v>
      </c>
      <c r="G93" s="633">
        <f t="shared" ref="G93:G94" si="14">G94</f>
        <v>7392.73</v>
      </c>
      <c r="H93" s="301"/>
      <c r="I93" s="631"/>
    </row>
    <row r="94" spans="1:10" s="131" customFormat="1" x14ac:dyDescent="0.2">
      <c r="A94" s="463">
        <v>721</v>
      </c>
      <c r="B94" s="455" t="s">
        <v>182</v>
      </c>
      <c r="C94" s="763">
        <f>C95</f>
        <v>7392.73</v>
      </c>
      <c r="D94" s="633">
        <f t="shared" si="11"/>
        <v>0</v>
      </c>
      <c r="E94" s="633">
        <f t="shared" si="12"/>
        <v>0</v>
      </c>
      <c r="F94" s="911">
        <f t="shared" si="13"/>
        <v>0</v>
      </c>
      <c r="G94" s="633">
        <f t="shared" si="14"/>
        <v>7392.73</v>
      </c>
      <c r="H94" s="301"/>
      <c r="I94" s="631"/>
    </row>
    <row r="95" spans="1:10" s="2" customFormat="1" ht="13.5" thickBot="1" x14ac:dyDescent="0.25">
      <c r="A95" s="423">
        <v>72101</v>
      </c>
      <c r="B95" s="418" t="s">
        <v>182</v>
      </c>
      <c r="C95" s="904">
        <v>7392.73</v>
      </c>
      <c r="D95" s="914"/>
      <c r="E95" s="914"/>
      <c r="F95" s="912"/>
      <c r="G95" s="410">
        <f>C95+D95+E95+F95</f>
        <v>7392.73</v>
      </c>
      <c r="H95" s="189"/>
      <c r="I95" s="320"/>
    </row>
    <row r="96" spans="1:10" hidden="1" x14ac:dyDescent="0.2">
      <c r="A96" s="8" t="s">
        <v>162</v>
      </c>
      <c r="B96" s="378" t="s">
        <v>163</v>
      </c>
      <c r="C96" s="381">
        <f t="shared" ref="C96:G97" si="15">C97</f>
        <v>0</v>
      </c>
      <c r="D96" s="351">
        <f t="shared" si="15"/>
        <v>0</v>
      </c>
      <c r="E96" s="351">
        <f t="shared" si="15"/>
        <v>0</v>
      </c>
      <c r="F96" s="351">
        <f t="shared" si="15"/>
        <v>0</v>
      </c>
      <c r="G96" s="332">
        <f t="shared" si="15"/>
        <v>0</v>
      </c>
      <c r="H96" s="189"/>
    </row>
    <row r="97" spans="1:9" hidden="1" x14ac:dyDescent="0.2">
      <c r="A97" s="8" t="s">
        <v>256</v>
      </c>
      <c r="B97" s="379" t="s">
        <v>200</v>
      </c>
      <c r="C97" s="381">
        <f t="shared" si="15"/>
        <v>0</v>
      </c>
      <c r="D97" s="351">
        <f t="shared" si="15"/>
        <v>0</v>
      </c>
      <c r="E97" s="351">
        <f t="shared" si="15"/>
        <v>0</v>
      </c>
      <c r="F97" s="351">
        <f t="shared" si="15"/>
        <v>0</v>
      </c>
      <c r="G97" s="332">
        <f t="shared" si="15"/>
        <v>0</v>
      </c>
      <c r="H97" s="189"/>
    </row>
    <row r="98" spans="1:9" s="2" customFormat="1" ht="13.5" hidden="1" thickBot="1" x14ac:dyDescent="0.25">
      <c r="A98" s="324" t="s">
        <v>257</v>
      </c>
      <c r="B98" s="380" t="s">
        <v>258</v>
      </c>
      <c r="C98" s="382"/>
      <c r="D98" s="352"/>
      <c r="E98" s="352"/>
      <c r="F98" s="352"/>
      <c r="G98" s="333">
        <f>+C98+F98</f>
        <v>0</v>
      </c>
      <c r="H98" s="189"/>
      <c r="I98" s="320"/>
    </row>
    <row r="99" spans="1:9" ht="13.5" thickBot="1" x14ac:dyDescent="0.25">
      <c r="A99" s="361"/>
      <c r="B99" s="362" t="s">
        <v>25</v>
      </c>
      <c r="C99" s="353">
        <f>C11+C68+C85+C93</f>
        <v>50801.22</v>
      </c>
      <c r="D99" s="353">
        <f>D11+D68+D85</f>
        <v>8734.75</v>
      </c>
      <c r="E99" s="353">
        <f>E11+E68+E85</f>
        <v>1200</v>
      </c>
      <c r="F99" s="353">
        <f>F11+F68+F85</f>
        <v>137901.44</v>
      </c>
      <c r="G99" s="334">
        <f>+G85+G68+G11+G96+G93</f>
        <v>198637.41</v>
      </c>
      <c r="H99" s="200"/>
    </row>
    <row r="100" spans="1:9" x14ac:dyDescent="0.2">
      <c r="A100" s="1"/>
      <c r="B100" s="1"/>
      <c r="G100" s="793">
        <f>'ING. REALES'!C73-'AG1'!C12</f>
        <v>198637.41</v>
      </c>
    </row>
    <row r="101" spans="1:9" x14ac:dyDescent="0.2">
      <c r="A101" s="1"/>
      <c r="B101" s="1"/>
      <c r="G101" s="793">
        <f>G99-G100</f>
        <v>0</v>
      </c>
    </row>
    <row r="102" spans="1:9" x14ac:dyDescent="0.2">
      <c r="A102" s="1"/>
      <c r="B102" s="1"/>
    </row>
    <row r="103" spans="1:9" x14ac:dyDescent="0.2">
      <c r="A103" s="1"/>
      <c r="B103" s="1"/>
    </row>
    <row r="104" spans="1:9" x14ac:dyDescent="0.2">
      <c r="A104" s="1"/>
      <c r="B104" s="1"/>
    </row>
    <row r="105" spans="1:9" x14ac:dyDescent="0.2">
      <c r="A105" s="1"/>
      <c r="B105" s="1"/>
    </row>
    <row r="106" spans="1:9" x14ac:dyDescent="0.2">
      <c r="A106" s="1"/>
      <c r="B106" s="1"/>
    </row>
    <row r="107" spans="1:9" x14ac:dyDescent="0.2">
      <c r="A107" s="1"/>
      <c r="B107" s="1"/>
    </row>
    <row r="108" spans="1:9" x14ac:dyDescent="0.2">
      <c r="A108" s="1"/>
      <c r="B108" s="1"/>
    </row>
    <row r="109" spans="1:9" x14ac:dyDescent="0.2">
      <c r="A109" s="1"/>
      <c r="B109" s="1"/>
    </row>
    <row r="110" spans="1:9" x14ac:dyDescent="0.2">
      <c r="A110" s="1"/>
      <c r="B110" s="1"/>
    </row>
    <row r="111" spans="1:9" x14ac:dyDescent="0.2">
      <c r="A111" s="1096" t="s">
        <v>584</v>
      </c>
      <c r="B111" s="1096"/>
      <c r="C111" s="1096"/>
      <c r="D111" s="1096"/>
      <c r="E111" s="1096"/>
      <c r="F111" s="1096"/>
      <c r="G111" s="1096"/>
    </row>
    <row r="112" spans="1:9" x14ac:dyDescent="0.2">
      <c r="A112" s="1140" t="s">
        <v>101</v>
      </c>
      <c r="B112" s="1140"/>
      <c r="C112" s="1140"/>
      <c r="D112" s="1140"/>
      <c r="E112" s="1140"/>
      <c r="F112" s="1140"/>
      <c r="G112" s="1140"/>
    </row>
    <row r="113" spans="1:9" x14ac:dyDescent="0.2">
      <c r="A113" s="1140" t="s">
        <v>102</v>
      </c>
      <c r="B113" s="1140"/>
      <c r="C113" s="1140"/>
      <c r="D113" s="1140"/>
      <c r="E113" s="1140"/>
      <c r="F113" s="1140"/>
      <c r="G113" s="1140"/>
    </row>
    <row r="114" spans="1:9" x14ac:dyDescent="0.2">
      <c r="A114" s="1140" t="s">
        <v>461</v>
      </c>
      <c r="B114" s="1140"/>
      <c r="C114" s="1140"/>
      <c r="D114" s="1140"/>
      <c r="E114" s="1140"/>
      <c r="F114" s="1140"/>
      <c r="G114" s="1140"/>
    </row>
    <row r="115" spans="1:9" x14ac:dyDescent="0.2">
      <c r="A115" s="1140" t="s">
        <v>682</v>
      </c>
      <c r="B115" s="1140"/>
      <c r="C115" s="1140"/>
      <c r="D115" s="1140"/>
      <c r="E115" s="1140"/>
      <c r="F115" s="1140"/>
      <c r="G115" s="1140"/>
    </row>
    <row r="116" spans="1:9" ht="13.5" thickBot="1" x14ac:dyDescent="0.25">
      <c r="A116" s="1"/>
      <c r="B116" s="1"/>
    </row>
    <row r="117" spans="1:9" s="2" customFormat="1" ht="13.5" thickBot="1" x14ac:dyDescent="0.25">
      <c r="A117" s="1143" t="s">
        <v>585</v>
      </c>
      <c r="B117" s="1143" t="s">
        <v>14</v>
      </c>
      <c r="C117" s="1146" t="s">
        <v>586</v>
      </c>
      <c r="D117" s="1147"/>
      <c r="E117" s="1147"/>
      <c r="F117" s="1147"/>
      <c r="G117" s="1148"/>
      <c r="H117" s="191"/>
      <c r="I117" s="320"/>
    </row>
    <row r="118" spans="1:9" s="2" customFormat="1" x14ac:dyDescent="0.2">
      <c r="A118" s="1144"/>
      <c r="B118" s="1144"/>
      <c r="C118" s="1141" t="s">
        <v>105</v>
      </c>
      <c r="D118" s="1141" t="s">
        <v>106</v>
      </c>
      <c r="E118" s="1141" t="s">
        <v>107</v>
      </c>
      <c r="F118" s="1141" t="s">
        <v>186</v>
      </c>
      <c r="G118" s="1141" t="s">
        <v>4</v>
      </c>
      <c r="H118" s="191"/>
      <c r="I118" s="320"/>
    </row>
    <row r="119" spans="1:9" s="2" customFormat="1" ht="38.25" customHeight="1" thickBot="1" x14ac:dyDescent="0.25">
      <c r="A119" s="1145"/>
      <c r="B119" s="1145"/>
      <c r="C119" s="1142"/>
      <c r="D119" s="1142"/>
      <c r="E119" s="1142"/>
      <c r="F119" s="1142"/>
      <c r="G119" s="1142"/>
      <c r="H119" s="191"/>
      <c r="I119" s="320"/>
    </row>
    <row r="120" spans="1:9" x14ac:dyDescent="0.2">
      <c r="A120" s="400">
        <v>54</v>
      </c>
      <c r="B120" s="392" t="s">
        <v>27</v>
      </c>
      <c r="C120" s="913">
        <f>C121+C141+C147+C164+C169</f>
        <v>18800</v>
      </c>
      <c r="D120" s="913">
        <f>D121+D141+D147+D164</f>
        <v>1500</v>
      </c>
      <c r="E120" s="913">
        <f>E121+E141+E147+E164</f>
        <v>550</v>
      </c>
      <c r="F120" s="913">
        <f>F121+F141+F147+F164</f>
        <v>69363.839999999997</v>
      </c>
      <c r="G120" s="407">
        <f>G121+G141+G147+G164+G169</f>
        <v>90213.84</v>
      </c>
      <c r="H120" s="189"/>
    </row>
    <row r="121" spans="1:9" x14ac:dyDescent="0.2">
      <c r="A121" s="401">
        <v>541</v>
      </c>
      <c r="B121" s="393" t="s">
        <v>28</v>
      </c>
      <c r="C121" s="633">
        <f>SUM(C122:C140)</f>
        <v>7300</v>
      </c>
      <c r="D121" s="633">
        <f>SUM(D122:D140)</f>
        <v>750</v>
      </c>
      <c r="E121" s="633">
        <f>SUM(E122:E140)</f>
        <v>300</v>
      </c>
      <c r="F121" s="633">
        <f>SUM(F122:F140)</f>
        <v>5200</v>
      </c>
      <c r="G121" s="408">
        <f>SUM(G122:G140)</f>
        <v>13550</v>
      </c>
      <c r="H121" s="189"/>
    </row>
    <row r="122" spans="1:9" x14ac:dyDescent="0.2">
      <c r="A122" s="402">
        <v>54101</v>
      </c>
      <c r="B122" s="394" t="s">
        <v>29</v>
      </c>
      <c r="C122" s="914">
        <v>1500</v>
      </c>
      <c r="D122" s="914">
        <v>0</v>
      </c>
      <c r="E122" s="914">
        <v>0</v>
      </c>
      <c r="F122" s="914">
        <v>0</v>
      </c>
      <c r="G122" s="409">
        <f>SUM(C122:F122)</f>
        <v>1500</v>
      </c>
      <c r="H122" s="189"/>
    </row>
    <row r="123" spans="1:9" hidden="1" x14ac:dyDescent="0.2">
      <c r="A123" s="402">
        <v>54103</v>
      </c>
      <c r="B123" s="394" t="s">
        <v>30</v>
      </c>
      <c r="C123" s="914"/>
      <c r="D123" s="914">
        <v>0</v>
      </c>
      <c r="E123" s="914">
        <v>0</v>
      </c>
      <c r="F123" s="914">
        <v>0</v>
      </c>
      <c r="G123" s="409">
        <f t="shared" ref="G123:G140" si="16">SUM(C123:F123)</f>
        <v>0</v>
      </c>
      <c r="H123" s="189"/>
    </row>
    <row r="124" spans="1:9" x14ac:dyDescent="0.2">
      <c r="A124" s="402">
        <v>54104</v>
      </c>
      <c r="B124" s="394" t="s">
        <v>31</v>
      </c>
      <c r="C124" s="914">
        <v>50</v>
      </c>
      <c r="D124" s="914">
        <v>0</v>
      </c>
      <c r="E124" s="914">
        <v>0</v>
      </c>
      <c r="F124" s="914">
        <v>0</v>
      </c>
      <c r="G124" s="409">
        <f t="shared" si="16"/>
        <v>50</v>
      </c>
      <c r="H124" s="189"/>
    </row>
    <row r="125" spans="1:9" x14ac:dyDescent="0.2">
      <c r="A125" s="402">
        <v>54105</v>
      </c>
      <c r="B125" s="394" t="s">
        <v>32</v>
      </c>
      <c r="C125" s="914">
        <v>200</v>
      </c>
      <c r="D125" s="914">
        <v>100</v>
      </c>
      <c r="E125" s="914">
        <v>100</v>
      </c>
      <c r="F125" s="914">
        <v>50</v>
      </c>
      <c r="G125" s="409">
        <f t="shared" si="16"/>
        <v>450</v>
      </c>
      <c r="H125" s="189"/>
    </row>
    <row r="126" spans="1:9" x14ac:dyDescent="0.2">
      <c r="A126" s="402">
        <v>54106</v>
      </c>
      <c r="B126" s="394" t="s">
        <v>33</v>
      </c>
      <c r="C126" s="914">
        <v>0</v>
      </c>
      <c r="D126" s="914">
        <v>0</v>
      </c>
      <c r="E126" s="914">
        <v>0</v>
      </c>
      <c r="F126" s="914">
        <v>0</v>
      </c>
      <c r="G126" s="409">
        <f t="shared" si="16"/>
        <v>0</v>
      </c>
      <c r="H126" s="189"/>
    </row>
    <row r="127" spans="1:9" x14ac:dyDescent="0.2">
      <c r="A127" s="402">
        <v>54107</v>
      </c>
      <c r="B127" s="394" t="s">
        <v>34</v>
      </c>
      <c r="C127" s="914">
        <v>0</v>
      </c>
      <c r="D127" s="914">
        <v>0</v>
      </c>
      <c r="E127" s="914">
        <v>0</v>
      </c>
      <c r="F127" s="914">
        <v>1200</v>
      </c>
      <c r="G127" s="409">
        <f t="shared" si="16"/>
        <v>1200</v>
      </c>
      <c r="H127" s="189"/>
    </row>
    <row r="128" spans="1:9" x14ac:dyDescent="0.2">
      <c r="A128" s="402">
        <v>54108</v>
      </c>
      <c r="B128" s="394" t="s">
        <v>35</v>
      </c>
      <c r="C128" s="914">
        <v>0</v>
      </c>
      <c r="D128" s="914">
        <v>0</v>
      </c>
      <c r="E128" s="914">
        <v>0</v>
      </c>
      <c r="F128" s="914">
        <v>0</v>
      </c>
      <c r="G128" s="409">
        <f t="shared" si="16"/>
        <v>0</v>
      </c>
      <c r="H128" s="189"/>
    </row>
    <row r="129" spans="1:9" x14ac:dyDescent="0.2">
      <c r="A129" s="402">
        <v>54109</v>
      </c>
      <c r="B129" s="394" t="s">
        <v>36</v>
      </c>
      <c r="C129" s="914">
        <v>500</v>
      </c>
      <c r="D129" s="914">
        <v>0</v>
      </c>
      <c r="E129" s="914">
        <v>0</v>
      </c>
      <c r="F129" s="914">
        <v>500</v>
      </c>
      <c r="G129" s="409">
        <f t="shared" si="16"/>
        <v>1000</v>
      </c>
      <c r="H129" s="189"/>
      <c r="I129"/>
    </row>
    <row r="130" spans="1:9" x14ac:dyDescent="0.2">
      <c r="A130" s="402">
        <v>54110</v>
      </c>
      <c r="B130" s="394" t="s">
        <v>37</v>
      </c>
      <c r="C130" s="914">
        <v>3000</v>
      </c>
      <c r="D130" s="914">
        <v>0</v>
      </c>
      <c r="E130" s="914">
        <v>0</v>
      </c>
      <c r="F130" s="914">
        <v>1200</v>
      </c>
      <c r="G130" s="409">
        <f t="shared" si="16"/>
        <v>4200</v>
      </c>
      <c r="H130" s="189"/>
      <c r="I130"/>
    </row>
    <row r="131" spans="1:9" x14ac:dyDescent="0.2">
      <c r="A131" s="402">
        <v>54111</v>
      </c>
      <c r="B131" s="394" t="s">
        <v>38</v>
      </c>
      <c r="C131" s="914">
        <v>0</v>
      </c>
      <c r="D131" s="914">
        <v>0</v>
      </c>
      <c r="E131" s="914">
        <v>0</v>
      </c>
      <c r="F131" s="914">
        <v>50</v>
      </c>
      <c r="G131" s="409">
        <f t="shared" si="16"/>
        <v>50</v>
      </c>
      <c r="H131" s="189"/>
      <c r="I131"/>
    </row>
    <row r="132" spans="1:9" x14ac:dyDescent="0.2">
      <c r="A132" s="402">
        <v>54112</v>
      </c>
      <c r="B132" s="394" t="s">
        <v>39</v>
      </c>
      <c r="C132" s="914">
        <v>0</v>
      </c>
      <c r="D132" s="914">
        <v>0</v>
      </c>
      <c r="E132" s="914">
        <v>0</v>
      </c>
      <c r="F132" s="914">
        <v>50</v>
      </c>
      <c r="G132" s="409">
        <f t="shared" si="16"/>
        <v>50</v>
      </c>
      <c r="H132" s="189"/>
      <c r="I132"/>
    </row>
    <row r="133" spans="1:9" x14ac:dyDescent="0.2">
      <c r="A133" s="402">
        <v>54114</v>
      </c>
      <c r="B133" s="394" t="s">
        <v>40</v>
      </c>
      <c r="C133" s="914">
        <v>100</v>
      </c>
      <c r="D133" s="914">
        <v>500</v>
      </c>
      <c r="E133" s="914">
        <v>50</v>
      </c>
      <c r="F133" s="914">
        <v>100</v>
      </c>
      <c r="G133" s="409">
        <f t="shared" si="16"/>
        <v>750</v>
      </c>
      <c r="H133" s="189"/>
      <c r="I133"/>
    </row>
    <row r="134" spans="1:9" x14ac:dyDescent="0.2">
      <c r="A134" s="402">
        <v>54115</v>
      </c>
      <c r="B134" s="394" t="s">
        <v>41</v>
      </c>
      <c r="C134" s="914">
        <v>100</v>
      </c>
      <c r="D134" s="914">
        <v>100</v>
      </c>
      <c r="E134" s="914">
        <v>100</v>
      </c>
      <c r="F134" s="914">
        <v>50</v>
      </c>
      <c r="G134" s="409">
        <f t="shared" si="16"/>
        <v>350</v>
      </c>
      <c r="H134" s="189"/>
      <c r="I134"/>
    </row>
    <row r="135" spans="1:9" x14ac:dyDescent="0.2">
      <c r="A135" s="402">
        <v>54116</v>
      </c>
      <c r="B135" s="394" t="s">
        <v>42</v>
      </c>
      <c r="C135" s="914">
        <v>250</v>
      </c>
      <c r="D135" s="914">
        <v>0</v>
      </c>
      <c r="E135" s="914">
        <v>0</v>
      </c>
      <c r="F135" s="914">
        <v>0</v>
      </c>
      <c r="G135" s="409">
        <f t="shared" si="16"/>
        <v>250</v>
      </c>
      <c r="H135" s="189"/>
      <c r="I135"/>
    </row>
    <row r="136" spans="1:9" hidden="1" x14ac:dyDescent="0.2">
      <c r="A136" s="402">
        <v>54117</v>
      </c>
      <c r="B136" s="394" t="s">
        <v>43</v>
      </c>
      <c r="C136" s="914">
        <v>0</v>
      </c>
      <c r="D136" s="914">
        <v>0</v>
      </c>
      <c r="E136" s="914">
        <v>0</v>
      </c>
      <c r="F136" s="914">
        <v>0</v>
      </c>
      <c r="G136" s="409">
        <f t="shared" si="16"/>
        <v>0</v>
      </c>
      <c r="H136" s="189"/>
      <c r="I136"/>
    </row>
    <row r="137" spans="1:9" x14ac:dyDescent="0.2">
      <c r="A137" s="402">
        <v>54118</v>
      </c>
      <c r="B137" s="394" t="s">
        <v>44</v>
      </c>
      <c r="C137" s="914">
        <v>50</v>
      </c>
      <c r="D137" s="914">
        <v>0</v>
      </c>
      <c r="E137" s="914">
        <v>0</v>
      </c>
      <c r="F137" s="914">
        <v>1500</v>
      </c>
      <c r="G137" s="409">
        <f t="shared" si="16"/>
        <v>1550</v>
      </c>
      <c r="H137" s="189"/>
      <c r="I137"/>
    </row>
    <row r="138" spans="1:9" x14ac:dyDescent="0.2">
      <c r="A138" s="402">
        <v>54119</v>
      </c>
      <c r="B138" s="394" t="s">
        <v>45</v>
      </c>
      <c r="C138" s="914">
        <v>50</v>
      </c>
      <c r="D138" s="914">
        <v>0</v>
      </c>
      <c r="E138" s="914">
        <v>0</v>
      </c>
      <c r="F138" s="914">
        <v>0</v>
      </c>
      <c r="G138" s="409">
        <f t="shared" si="16"/>
        <v>50</v>
      </c>
      <c r="H138" s="189"/>
      <c r="I138"/>
    </row>
    <row r="139" spans="1:9" x14ac:dyDescent="0.2">
      <c r="A139" s="402">
        <v>54121</v>
      </c>
      <c r="B139" s="394" t="s">
        <v>46</v>
      </c>
      <c r="C139" s="914">
        <v>0</v>
      </c>
      <c r="D139" s="914">
        <v>0</v>
      </c>
      <c r="E139" s="914">
        <v>0</v>
      </c>
      <c r="F139" s="914">
        <v>0</v>
      </c>
      <c r="G139" s="409">
        <f t="shared" si="16"/>
        <v>0</v>
      </c>
      <c r="H139" s="189"/>
      <c r="I139"/>
    </row>
    <row r="140" spans="1:9" x14ac:dyDescent="0.2">
      <c r="A140" s="402">
        <v>54199</v>
      </c>
      <c r="B140" s="394" t="s">
        <v>47</v>
      </c>
      <c r="C140" s="914">
        <v>1500</v>
      </c>
      <c r="D140" s="914">
        <v>50</v>
      </c>
      <c r="E140" s="914">
        <v>50</v>
      </c>
      <c r="F140" s="914">
        <v>500</v>
      </c>
      <c r="G140" s="409">
        <f t="shared" si="16"/>
        <v>2100</v>
      </c>
      <c r="H140" s="189"/>
      <c r="I140"/>
    </row>
    <row r="141" spans="1:9" x14ac:dyDescent="0.2">
      <c r="A141" s="401">
        <v>542</v>
      </c>
      <c r="B141" s="393" t="s">
        <v>48</v>
      </c>
      <c r="C141" s="633">
        <f>SUM(C142:C146)</f>
        <v>4200</v>
      </c>
      <c r="D141" s="633">
        <f>SUM(D142:D146)</f>
        <v>0</v>
      </c>
      <c r="E141" s="633">
        <f>SUM(E142:E146)</f>
        <v>0</v>
      </c>
      <c r="F141" s="633">
        <f>SUM(F142:F146)</f>
        <v>58363.840000000004</v>
      </c>
      <c r="G141" s="408">
        <f>SUM(G142:G146)</f>
        <v>62563.840000000004</v>
      </c>
      <c r="H141" s="189"/>
      <c r="I141"/>
    </row>
    <row r="142" spans="1:9" x14ac:dyDescent="0.2">
      <c r="A142" s="402">
        <v>54201</v>
      </c>
      <c r="B142" s="394" t="s">
        <v>49</v>
      </c>
      <c r="C142" s="914">
        <v>500</v>
      </c>
      <c r="D142" s="914">
        <v>0</v>
      </c>
      <c r="E142" s="914">
        <v>0</v>
      </c>
      <c r="F142" s="915">
        <f>53188.98-1.7+1276.56</f>
        <v>54463.840000000004</v>
      </c>
      <c r="G142" s="409">
        <f>SUM(C142:F142)</f>
        <v>54963.840000000004</v>
      </c>
      <c r="H142" s="189"/>
      <c r="I142"/>
    </row>
    <row r="143" spans="1:9" x14ac:dyDescent="0.2">
      <c r="A143" s="402">
        <v>54202</v>
      </c>
      <c r="B143" s="394" t="s">
        <v>50</v>
      </c>
      <c r="C143" s="914">
        <v>200</v>
      </c>
      <c r="D143" s="914">
        <v>0</v>
      </c>
      <c r="E143" s="914">
        <v>0</v>
      </c>
      <c r="F143" s="914">
        <v>200</v>
      </c>
      <c r="G143" s="409">
        <f>SUM(C143:F143)</f>
        <v>400</v>
      </c>
      <c r="H143" s="189"/>
      <c r="I143"/>
    </row>
    <row r="144" spans="1:9" x14ac:dyDescent="0.2">
      <c r="A144" s="402">
        <v>54203</v>
      </c>
      <c r="B144" s="394" t="s">
        <v>51</v>
      </c>
      <c r="C144" s="914">
        <v>3500</v>
      </c>
      <c r="D144" s="914">
        <v>0</v>
      </c>
      <c r="E144" s="914">
        <v>0</v>
      </c>
      <c r="F144" s="914">
        <v>200</v>
      </c>
      <c r="G144" s="386">
        <f>SUM(C144:F144)</f>
        <v>3700</v>
      </c>
      <c r="H144" s="189"/>
      <c r="I144"/>
    </row>
    <row r="145" spans="1:9" hidden="1" x14ac:dyDescent="0.2">
      <c r="A145" s="402">
        <v>54204</v>
      </c>
      <c r="B145" s="394" t="s">
        <v>52</v>
      </c>
      <c r="C145" s="914">
        <v>0</v>
      </c>
      <c r="D145" s="914">
        <v>0</v>
      </c>
      <c r="E145" s="914">
        <v>0</v>
      </c>
      <c r="F145" s="914">
        <v>0</v>
      </c>
      <c r="G145" s="409">
        <f>SUM(C145:F145)</f>
        <v>0</v>
      </c>
      <c r="H145" s="189"/>
    </row>
    <row r="146" spans="1:9" x14ac:dyDescent="0.2">
      <c r="A146" s="402">
        <v>54205</v>
      </c>
      <c r="B146" s="394" t="s">
        <v>53</v>
      </c>
      <c r="C146" s="914">
        <v>0</v>
      </c>
      <c r="D146" s="914">
        <v>0</v>
      </c>
      <c r="E146" s="914">
        <v>0</v>
      </c>
      <c r="F146" s="914">
        <v>3500</v>
      </c>
      <c r="G146" s="409">
        <f>SUM(C146:F146)</f>
        <v>3500</v>
      </c>
      <c r="H146" s="189"/>
    </row>
    <row r="147" spans="1:9" x14ac:dyDescent="0.2">
      <c r="A147" s="401">
        <v>543</v>
      </c>
      <c r="B147" s="393" t="s">
        <v>54</v>
      </c>
      <c r="C147" s="633">
        <f>SUM(C148:C163)</f>
        <v>6900</v>
      </c>
      <c r="D147" s="633">
        <f>SUM(D148:D163)</f>
        <v>550</v>
      </c>
      <c r="E147" s="633">
        <f>SUM(E148:E163)</f>
        <v>50</v>
      </c>
      <c r="F147" s="633">
        <f>SUM(F148:F163)</f>
        <v>5650</v>
      </c>
      <c r="G147" s="408">
        <f>SUM(G148:G163)</f>
        <v>13150</v>
      </c>
      <c r="H147" s="189"/>
    </row>
    <row r="148" spans="1:9" s="2" customFormat="1" x14ac:dyDescent="0.2">
      <c r="A148" s="423">
        <v>54301</v>
      </c>
      <c r="B148" s="418" t="s">
        <v>55</v>
      </c>
      <c r="C148" s="914">
        <v>300</v>
      </c>
      <c r="D148" s="914">
        <v>500</v>
      </c>
      <c r="E148" s="914">
        <v>50</v>
      </c>
      <c r="F148" s="915">
        <v>150</v>
      </c>
      <c r="G148" s="410">
        <f>SUM(C148:F148)</f>
        <v>1000</v>
      </c>
      <c r="H148" s="189"/>
      <c r="I148" s="320"/>
    </row>
    <row r="149" spans="1:9" s="2" customFormat="1" x14ac:dyDescent="0.2">
      <c r="A149" s="423">
        <v>54302</v>
      </c>
      <c r="B149" s="418" t="s">
        <v>56</v>
      </c>
      <c r="C149" s="914">
        <v>500</v>
      </c>
      <c r="D149" s="914">
        <v>0</v>
      </c>
      <c r="E149" s="914">
        <v>0</v>
      </c>
      <c r="F149" s="914">
        <v>500</v>
      </c>
      <c r="G149" s="410">
        <f t="shared" ref="G149:G163" si="17">SUM(C149:F149)</f>
        <v>1000</v>
      </c>
      <c r="H149" s="189"/>
      <c r="I149" s="320"/>
    </row>
    <row r="150" spans="1:9" s="2" customFormat="1" x14ac:dyDescent="0.2">
      <c r="A150" s="423">
        <v>54303</v>
      </c>
      <c r="B150" s="418" t="s">
        <v>57</v>
      </c>
      <c r="C150" s="914">
        <v>0</v>
      </c>
      <c r="D150" s="914">
        <v>0</v>
      </c>
      <c r="E150" s="914">
        <v>0</v>
      </c>
      <c r="F150" s="914">
        <v>0</v>
      </c>
      <c r="G150" s="410">
        <f t="shared" si="17"/>
        <v>0</v>
      </c>
      <c r="H150" s="189"/>
      <c r="I150" s="320"/>
    </row>
    <row r="151" spans="1:9" s="2" customFormat="1" x14ac:dyDescent="0.2">
      <c r="A151" s="423">
        <v>54304</v>
      </c>
      <c r="B151" s="418" t="s">
        <v>58</v>
      </c>
      <c r="C151" s="914">
        <v>2000</v>
      </c>
      <c r="D151" s="914">
        <v>0</v>
      </c>
      <c r="E151" s="914">
        <v>0</v>
      </c>
      <c r="F151" s="914">
        <v>0</v>
      </c>
      <c r="G151" s="410">
        <f t="shared" si="17"/>
        <v>2000</v>
      </c>
      <c r="H151" s="189"/>
      <c r="I151" s="320"/>
    </row>
    <row r="152" spans="1:9" s="2" customFormat="1" x14ac:dyDescent="0.2">
      <c r="A152" s="423">
        <v>54305</v>
      </c>
      <c r="B152" s="418" t="s">
        <v>59</v>
      </c>
      <c r="C152" s="914">
        <v>100</v>
      </c>
      <c r="D152" s="914">
        <v>0</v>
      </c>
      <c r="E152" s="914">
        <v>0</v>
      </c>
      <c r="F152" s="914">
        <v>0</v>
      </c>
      <c r="G152" s="410">
        <f t="shared" si="17"/>
        <v>100</v>
      </c>
      <c r="H152" s="189"/>
      <c r="I152" s="320"/>
    </row>
    <row r="153" spans="1:9" s="2" customFormat="1" hidden="1" x14ac:dyDescent="0.2">
      <c r="A153" s="423">
        <v>54306</v>
      </c>
      <c r="B153" s="418" t="s">
        <v>60</v>
      </c>
      <c r="C153" s="914">
        <v>0</v>
      </c>
      <c r="D153" s="914">
        <v>0</v>
      </c>
      <c r="E153" s="914">
        <v>0</v>
      </c>
      <c r="F153" s="914">
        <v>0</v>
      </c>
      <c r="G153" s="410">
        <f t="shared" si="17"/>
        <v>0</v>
      </c>
      <c r="H153" s="189"/>
      <c r="I153" s="320"/>
    </row>
    <row r="154" spans="1:9" s="2" customFormat="1" hidden="1" x14ac:dyDescent="0.2">
      <c r="A154" s="423">
        <v>54307</v>
      </c>
      <c r="B154" s="418" t="s">
        <v>61</v>
      </c>
      <c r="C154" s="914">
        <v>0</v>
      </c>
      <c r="D154" s="914">
        <v>0</v>
      </c>
      <c r="E154" s="914">
        <v>0</v>
      </c>
      <c r="F154" s="914">
        <v>0</v>
      </c>
      <c r="G154" s="410">
        <f t="shared" si="17"/>
        <v>0</v>
      </c>
      <c r="H154" s="189"/>
      <c r="I154" s="320"/>
    </row>
    <row r="155" spans="1:9" s="2" customFormat="1" hidden="1" x14ac:dyDescent="0.2">
      <c r="A155" s="423">
        <v>54309</v>
      </c>
      <c r="B155" s="418" t="s">
        <v>62</v>
      </c>
      <c r="C155" s="914">
        <v>0</v>
      </c>
      <c r="D155" s="914">
        <v>0</v>
      </c>
      <c r="E155" s="914">
        <v>0</v>
      </c>
      <c r="F155" s="914">
        <v>0</v>
      </c>
      <c r="G155" s="410">
        <f t="shared" si="17"/>
        <v>0</v>
      </c>
      <c r="H155" s="189"/>
      <c r="I155" s="320"/>
    </row>
    <row r="156" spans="1:9" s="2" customFormat="1" hidden="1" x14ac:dyDescent="0.2">
      <c r="A156" s="423">
        <v>54310</v>
      </c>
      <c r="B156" s="418" t="s">
        <v>63</v>
      </c>
      <c r="C156" s="914">
        <v>0</v>
      </c>
      <c r="D156" s="914">
        <v>0</v>
      </c>
      <c r="E156" s="914">
        <v>0</v>
      </c>
      <c r="F156" s="914">
        <v>0</v>
      </c>
      <c r="G156" s="410">
        <f t="shared" si="17"/>
        <v>0</v>
      </c>
      <c r="H156" s="189"/>
      <c r="I156" s="320"/>
    </row>
    <row r="157" spans="1:9" s="2" customFormat="1" hidden="1" x14ac:dyDescent="0.2">
      <c r="A157" s="423">
        <v>54311</v>
      </c>
      <c r="B157" s="418" t="s">
        <v>64</v>
      </c>
      <c r="C157" s="914">
        <v>0</v>
      </c>
      <c r="D157" s="914">
        <v>0</v>
      </c>
      <c r="E157" s="914">
        <v>0</v>
      </c>
      <c r="F157" s="914">
        <v>0</v>
      </c>
      <c r="G157" s="410">
        <f t="shared" si="17"/>
        <v>0</v>
      </c>
      <c r="H157" s="189"/>
      <c r="I157" s="320"/>
    </row>
    <row r="158" spans="1:9" s="2" customFormat="1" x14ac:dyDescent="0.2">
      <c r="A158" s="423">
        <v>54313</v>
      </c>
      <c r="B158" s="418" t="s">
        <v>65</v>
      </c>
      <c r="C158" s="914">
        <v>0</v>
      </c>
      <c r="D158" s="914">
        <v>50</v>
      </c>
      <c r="E158" s="914">
        <v>0</v>
      </c>
      <c r="F158" s="914">
        <v>0</v>
      </c>
      <c r="G158" s="410">
        <f t="shared" si="17"/>
        <v>50</v>
      </c>
      <c r="H158" s="189"/>
      <c r="I158" s="320"/>
    </row>
    <row r="159" spans="1:9" s="2" customFormat="1" x14ac:dyDescent="0.2">
      <c r="A159" s="423">
        <v>54307</v>
      </c>
      <c r="B159" s="418" t="s">
        <v>61</v>
      </c>
      <c r="C159" s="914">
        <v>0</v>
      </c>
      <c r="D159" s="914">
        <v>0</v>
      </c>
      <c r="E159" s="914">
        <v>0</v>
      </c>
      <c r="F159" s="914">
        <v>0</v>
      </c>
      <c r="G159" s="410">
        <f t="shared" si="17"/>
        <v>0</v>
      </c>
      <c r="H159" s="189"/>
      <c r="I159" s="320"/>
    </row>
    <row r="160" spans="1:9" s="2" customFormat="1" x14ac:dyDescent="0.2">
      <c r="A160" s="423">
        <v>54314</v>
      </c>
      <c r="B160" s="418" t="s">
        <v>66</v>
      </c>
      <c r="C160" s="914">
        <v>3500</v>
      </c>
      <c r="D160" s="914">
        <v>0</v>
      </c>
      <c r="E160" s="914">
        <v>0</v>
      </c>
      <c r="F160" s="914">
        <v>0</v>
      </c>
      <c r="G160" s="410">
        <f t="shared" si="17"/>
        <v>3500</v>
      </c>
      <c r="H160" s="189"/>
      <c r="I160" s="320"/>
    </row>
    <row r="161" spans="1:9" s="2" customFormat="1" x14ac:dyDescent="0.2">
      <c r="A161" s="423">
        <v>54316</v>
      </c>
      <c r="B161" s="418" t="s">
        <v>67</v>
      </c>
      <c r="C161" s="914">
        <v>0</v>
      </c>
      <c r="D161" s="914">
        <v>0</v>
      </c>
      <c r="E161" s="914">
        <v>0</v>
      </c>
      <c r="F161" s="914">
        <v>0</v>
      </c>
      <c r="G161" s="410">
        <f t="shared" si="17"/>
        <v>0</v>
      </c>
      <c r="H161" s="189"/>
      <c r="I161" s="320"/>
    </row>
    <row r="162" spans="1:9" s="2" customFormat="1" x14ac:dyDescent="0.2">
      <c r="A162" s="423">
        <v>54317</v>
      </c>
      <c r="B162" s="418" t="s">
        <v>68</v>
      </c>
      <c r="C162" s="914">
        <v>0</v>
      </c>
      <c r="D162" s="914">
        <v>0</v>
      </c>
      <c r="E162" s="914">
        <v>0</v>
      </c>
      <c r="F162" s="914">
        <f>100*12+125*12+150*12</f>
        <v>4500</v>
      </c>
      <c r="G162" s="410">
        <f t="shared" si="17"/>
        <v>4500</v>
      </c>
      <c r="H162" s="189"/>
      <c r="I162" s="320"/>
    </row>
    <row r="163" spans="1:9" s="2" customFormat="1" x14ac:dyDescent="0.2">
      <c r="A163" s="423">
        <v>54399</v>
      </c>
      <c r="B163" s="418" t="s">
        <v>69</v>
      </c>
      <c r="C163" s="914">
        <v>500</v>
      </c>
      <c r="D163" s="914">
        <v>0</v>
      </c>
      <c r="E163" s="914">
        <v>0</v>
      </c>
      <c r="F163" s="914">
        <v>500</v>
      </c>
      <c r="G163" s="410">
        <f t="shared" si="17"/>
        <v>1000</v>
      </c>
      <c r="H163" s="189"/>
      <c r="I163" s="320"/>
    </row>
    <row r="164" spans="1:9" x14ac:dyDescent="0.2">
      <c r="A164" s="401">
        <v>544</v>
      </c>
      <c r="B164" s="393" t="s">
        <v>70</v>
      </c>
      <c r="C164" s="633">
        <f>SUM(C165:C167)</f>
        <v>250</v>
      </c>
      <c r="D164" s="633">
        <f>SUM(D165:D167)</f>
        <v>200</v>
      </c>
      <c r="E164" s="633">
        <f>SUM(E165:E167)</f>
        <v>200</v>
      </c>
      <c r="F164" s="633">
        <f>SUM(F165:F167)</f>
        <v>150</v>
      </c>
      <c r="G164" s="408">
        <f>SUM(C164:F164)</f>
        <v>800</v>
      </c>
      <c r="H164" s="189"/>
    </row>
    <row r="165" spans="1:9" x14ac:dyDescent="0.2">
      <c r="A165" s="402">
        <v>54401</v>
      </c>
      <c r="B165" s="394" t="s">
        <v>71</v>
      </c>
      <c r="C165" s="914">
        <v>50</v>
      </c>
      <c r="D165" s="914">
        <v>50</v>
      </c>
      <c r="E165" s="914">
        <v>50</v>
      </c>
      <c r="F165" s="914">
        <v>50</v>
      </c>
      <c r="G165" s="409">
        <f>SUM(C165:F165)</f>
        <v>200</v>
      </c>
      <c r="H165" s="189"/>
    </row>
    <row r="166" spans="1:9" hidden="1" x14ac:dyDescent="0.2">
      <c r="A166" s="402">
        <v>54402</v>
      </c>
      <c r="B166" s="394" t="s">
        <v>72</v>
      </c>
      <c r="C166" s="914">
        <v>0</v>
      </c>
      <c r="D166" s="914">
        <v>0</v>
      </c>
      <c r="E166" s="914">
        <v>0</v>
      </c>
      <c r="F166" s="914">
        <v>0</v>
      </c>
      <c r="G166" s="409">
        <f t="shared" ref="G166:G187" si="18">+C166+F166</f>
        <v>0</v>
      </c>
      <c r="H166" s="189"/>
    </row>
    <row r="167" spans="1:9" x14ac:dyDescent="0.2">
      <c r="A167" s="402">
        <v>54403</v>
      </c>
      <c r="B167" s="394" t="s">
        <v>73</v>
      </c>
      <c r="C167" s="914">
        <v>200</v>
      </c>
      <c r="D167" s="914">
        <v>150</v>
      </c>
      <c r="E167" s="914">
        <v>150</v>
      </c>
      <c r="F167" s="914">
        <v>100</v>
      </c>
      <c r="G167" s="409">
        <f>SUM(C167:F167)</f>
        <v>600</v>
      </c>
      <c r="H167" s="189"/>
    </row>
    <row r="168" spans="1:9" hidden="1" x14ac:dyDescent="0.2">
      <c r="A168" s="402">
        <v>54404</v>
      </c>
      <c r="B168" s="394" t="s">
        <v>74</v>
      </c>
      <c r="C168" s="914">
        <v>0</v>
      </c>
      <c r="D168" s="914">
        <v>0</v>
      </c>
      <c r="E168" s="914">
        <v>0</v>
      </c>
      <c r="F168" s="914">
        <v>0</v>
      </c>
      <c r="G168" s="409">
        <f t="shared" si="18"/>
        <v>0</v>
      </c>
      <c r="H168" s="189"/>
    </row>
    <row r="169" spans="1:9" x14ac:dyDescent="0.2">
      <c r="A169" s="401">
        <v>545</v>
      </c>
      <c r="B169" s="393" t="s">
        <v>75</v>
      </c>
      <c r="C169" s="633">
        <f>SUM(C170:C176)</f>
        <v>150</v>
      </c>
      <c r="D169" s="633">
        <f>SUM(D170:D176)</f>
        <v>0</v>
      </c>
      <c r="E169" s="633"/>
      <c r="F169" s="633">
        <f>SUM(F170:F176)</f>
        <v>0</v>
      </c>
      <c r="G169" s="408">
        <f t="shared" si="18"/>
        <v>150</v>
      </c>
      <c r="H169" s="189"/>
    </row>
    <row r="170" spans="1:9" hidden="1" x14ac:dyDescent="0.2">
      <c r="A170" s="402">
        <v>54501</v>
      </c>
      <c r="B170" s="394" t="s">
        <v>76</v>
      </c>
      <c r="C170" s="914">
        <v>0</v>
      </c>
      <c r="D170" s="914"/>
      <c r="E170" s="914"/>
      <c r="F170" s="914"/>
      <c r="G170" s="409">
        <f t="shared" si="18"/>
        <v>0</v>
      </c>
      <c r="H170" s="189"/>
    </row>
    <row r="171" spans="1:9" x14ac:dyDescent="0.2">
      <c r="A171" s="402">
        <v>54503</v>
      </c>
      <c r="B171" s="394" t="s">
        <v>77</v>
      </c>
      <c r="C171" s="914">
        <v>150</v>
      </c>
      <c r="D171" s="914">
        <v>0</v>
      </c>
      <c r="E171" s="914">
        <v>0</v>
      </c>
      <c r="F171" s="914">
        <v>0</v>
      </c>
      <c r="G171" s="409">
        <f t="shared" si="18"/>
        <v>150</v>
      </c>
      <c r="H171" s="189"/>
    </row>
    <row r="172" spans="1:9" hidden="1" x14ac:dyDescent="0.2">
      <c r="A172" s="402">
        <v>54504</v>
      </c>
      <c r="B172" s="394" t="s">
        <v>78</v>
      </c>
      <c r="C172" s="914">
        <v>0</v>
      </c>
      <c r="D172" s="914">
        <v>0</v>
      </c>
      <c r="E172" s="914">
        <v>0</v>
      </c>
      <c r="F172" s="914">
        <v>0</v>
      </c>
      <c r="G172" s="409">
        <f t="shared" si="18"/>
        <v>0</v>
      </c>
      <c r="H172" s="189"/>
    </row>
    <row r="173" spans="1:9" hidden="1" x14ac:dyDescent="0.2">
      <c r="A173" s="402">
        <v>54505</v>
      </c>
      <c r="B173" s="394" t="s">
        <v>79</v>
      </c>
      <c r="C173" s="914">
        <v>0</v>
      </c>
      <c r="D173" s="914">
        <v>0</v>
      </c>
      <c r="E173" s="914">
        <v>0</v>
      </c>
      <c r="F173" s="914">
        <v>0</v>
      </c>
      <c r="G173" s="409">
        <f t="shared" si="18"/>
        <v>0</v>
      </c>
      <c r="H173" s="189"/>
    </row>
    <row r="174" spans="1:9" hidden="1" x14ac:dyDescent="0.2">
      <c r="A174" s="402">
        <v>54507</v>
      </c>
      <c r="B174" s="394" t="s">
        <v>80</v>
      </c>
      <c r="C174" s="914">
        <v>0</v>
      </c>
      <c r="D174" s="914">
        <v>0</v>
      </c>
      <c r="E174" s="914">
        <v>0</v>
      </c>
      <c r="F174" s="914">
        <v>0</v>
      </c>
      <c r="G174" s="409">
        <f t="shared" si="18"/>
        <v>0</v>
      </c>
      <c r="H174" s="189"/>
    </row>
    <row r="175" spans="1:9" hidden="1" x14ac:dyDescent="0.2">
      <c r="A175" s="402">
        <v>54508</v>
      </c>
      <c r="B175" s="394" t="s">
        <v>81</v>
      </c>
      <c r="C175" s="914">
        <v>0</v>
      </c>
      <c r="D175" s="914">
        <v>0</v>
      </c>
      <c r="E175" s="914">
        <v>0</v>
      </c>
      <c r="F175" s="914">
        <v>0</v>
      </c>
      <c r="G175" s="409">
        <f t="shared" si="18"/>
        <v>0</v>
      </c>
      <c r="H175" s="189"/>
    </row>
    <row r="176" spans="1:9" hidden="1" x14ac:dyDescent="0.2">
      <c r="A176" s="402">
        <v>54599</v>
      </c>
      <c r="B176" s="394" t="s">
        <v>82</v>
      </c>
      <c r="C176" s="914">
        <v>0</v>
      </c>
      <c r="D176" s="914">
        <v>0</v>
      </c>
      <c r="E176" s="914">
        <v>0</v>
      </c>
      <c r="F176" s="914">
        <v>0</v>
      </c>
      <c r="G176" s="409">
        <f t="shared" si="18"/>
        <v>0</v>
      </c>
      <c r="H176" s="189"/>
    </row>
    <row r="177" spans="1:9" x14ac:dyDescent="0.2">
      <c r="A177" s="424" t="s">
        <v>471</v>
      </c>
      <c r="B177" s="394"/>
      <c r="C177" s="914"/>
      <c r="D177" s="914"/>
      <c r="E177" s="914"/>
      <c r="F177" s="914"/>
      <c r="G177" s="409"/>
      <c r="H177" s="189"/>
    </row>
    <row r="178" spans="1:9" x14ac:dyDescent="0.2">
      <c r="A178" s="401">
        <v>55</v>
      </c>
      <c r="B178" s="393" t="s">
        <v>83</v>
      </c>
      <c r="C178" s="633">
        <f>C179+C183+C185</f>
        <v>3378.47</v>
      </c>
      <c r="D178" s="633">
        <f>D179+D183+D185</f>
        <v>184.75</v>
      </c>
      <c r="E178" s="633">
        <f>E179+E183+E185</f>
        <v>0</v>
      </c>
      <c r="F178" s="633">
        <f>F179+F183+F185</f>
        <v>0</v>
      </c>
      <c r="G178" s="411">
        <f>G179+G183+G185</f>
        <v>3563.22</v>
      </c>
      <c r="H178" s="189"/>
    </row>
    <row r="179" spans="1:9" hidden="1" x14ac:dyDescent="0.2">
      <c r="A179" s="401">
        <v>553</v>
      </c>
      <c r="B179" s="393" t="s">
        <v>84</v>
      </c>
      <c r="C179" s="914">
        <v>0</v>
      </c>
      <c r="D179" s="914">
        <v>0</v>
      </c>
      <c r="E179" s="914">
        <v>0</v>
      </c>
      <c r="F179" s="914">
        <v>0</v>
      </c>
      <c r="G179" s="408">
        <f t="shared" si="18"/>
        <v>0</v>
      </c>
      <c r="H179" s="189"/>
    </row>
    <row r="180" spans="1:9" hidden="1" x14ac:dyDescent="0.2">
      <c r="A180" s="402">
        <v>55303</v>
      </c>
      <c r="B180" s="394" t="s">
        <v>85</v>
      </c>
      <c r="C180" s="914">
        <v>0</v>
      </c>
      <c r="D180" s="914">
        <v>0</v>
      </c>
      <c r="E180" s="914">
        <v>0</v>
      </c>
      <c r="F180" s="914">
        <v>0</v>
      </c>
      <c r="G180" s="409">
        <f t="shared" si="18"/>
        <v>0</v>
      </c>
      <c r="H180" s="189"/>
    </row>
    <row r="181" spans="1:9" hidden="1" x14ac:dyDescent="0.2">
      <c r="A181" s="402">
        <v>55304</v>
      </c>
      <c r="B181" s="394" t="s">
        <v>86</v>
      </c>
      <c r="C181" s="914">
        <v>0</v>
      </c>
      <c r="D181" s="914">
        <v>0</v>
      </c>
      <c r="E181" s="914">
        <v>0</v>
      </c>
      <c r="F181" s="914">
        <v>0</v>
      </c>
      <c r="G181" s="409">
        <f t="shared" si="18"/>
        <v>0</v>
      </c>
      <c r="H181" s="189"/>
    </row>
    <row r="182" spans="1:9" hidden="1" x14ac:dyDescent="0.2">
      <c r="A182" s="402">
        <v>55308</v>
      </c>
      <c r="B182" s="394" t="s">
        <v>87</v>
      </c>
      <c r="C182" s="914">
        <v>0</v>
      </c>
      <c r="D182" s="914">
        <v>0</v>
      </c>
      <c r="E182" s="914">
        <v>0</v>
      </c>
      <c r="F182" s="914">
        <v>0</v>
      </c>
      <c r="G182" s="409">
        <f t="shared" si="18"/>
        <v>0</v>
      </c>
      <c r="H182" s="189"/>
    </row>
    <row r="183" spans="1:9" s="298" customFormat="1" x14ac:dyDescent="0.2">
      <c r="A183" s="401">
        <v>555</v>
      </c>
      <c r="B183" s="393" t="s">
        <v>494</v>
      </c>
      <c r="C183" s="633">
        <f>C184</f>
        <v>0</v>
      </c>
      <c r="D183" s="633">
        <f>D184</f>
        <v>0</v>
      </c>
      <c r="E183" s="633">
        <f>E184</f>
        <v>0</v>
      </c>
      <c r="F183" s="633">
        <f>F184</f>
        <v>0</v>
      </c>
      <c r="G183" s="408">
        <f>+C183+D183+E183+F183</f>
        <v>0</v>
      </c>
      <c r="H183" s="301"/>
      <c r="I183" s="323"/>
    </row>
    <row r="184" spans="1:9" x14ac:dyDescent="0.2">
      <c r="A184" s="402">
        <v>55508</v>
      </c>
      <c r="B184" s="395" t="s">
        <v>340</v>
      </c>
      <c r="C184" s="914">
        <v>0</v>
      </c>
      <c r="D184" s="914">
        <v>0</v>
      </c>
      <c r="E184" s="914">
        <v>0</v>
      </c>
      <c r="F184" s="914">
        <v>0</v>
      </c>
      <c r="G184" s="412">
        <f>+C184+D184+E184+F184</f>
        <v>0</v>
      </c>
      <c r="H184" s="189"/>
    </row>
    <row r="185" spans="1:9" x14ac:dyDescent="0.2">
      <c r="A185" s="401">
        <v>556</v>
      </c>
      <c r="B185" s="393" t="s">
        <v>88</v>
      </c>
      <c r="C185" s="633">
        <f>SUM(C186:C188)</f>
        <v>3378.47</v>
      </c>
      <c r="D185" s="633">
        <f>SUM(D186:D188)</f>
        <v>184.75</v>
      </c>
      <c r="E185" s="633">
        <v>0</v>
      </c>
      <c r="F185" s="633">
        <v>0</v>
      </c>
      <c r="G185" s="408">
        <f>+C185+D185+F185</f>
        <v>3563.22</v>
      </c>
      <c r="H185" s="189"/>
    </row>
    <row r="186" spans="1:9" x14ac:dyDescent="0.2">
      <c r="A186" s="402">
        <v>55601</v>
      </c>
      <c r="B186" s="394" t="s">
        <v>89</v>
      </c>
      <c r="C186" s="915">
        <v>0</v>
      </c>
      <c r="D186" s="915">
        <v>84.75</v>
      </c>
      <c r="E186" s="915">
        <v>0</v>
      </c>
      <c r="F186" s="915">
        <v>0</v>
      </c>
      <c r="G186" s="409">
        <f t="shared" si="18"/>
        <v>0</v>
      </c>
      <c r="H186" s="189"/>
    </row>
    <row r="187" spans="1:9" x14ac:dyDescent="0.2">
      <c r="A187" s="402">
        <v>55602</v>
      </c>
      <c r="B187" s="394" t="s">
        <v>90</v>
      </c>
      <c r="C187" s="915">
        <v>3378.47</v>
      </c>
      <c r="D187" s="915">
        <v>0</v>
      </c>
      <c r="E187" s="915">
        <v>0</v>
      </c>
      <c r="F187" s="915">
        <v>0</v>
      </c>
      <c r="G187" s="409">
        <f t="shared" si="18"/>
        <v>3378.47</v>
      </c>
      <c r="H187" s="189"/>
    </row>
    <row r="188" spans="1:9" x14ac:dyDescent="0.2">
      <c r="A188" s="402">
        <v>55603</v>
      </c>
      <c r="B188" s="394" t="s">
        <v>91</v>
      </c>
      <c r="C188" s="914">
        <v>0</v>
      </c>
      <c r="D188" s="914">
        <v>100</v>
      </c>
      <c r="E188" s="914">
        <v>0</v>
      </c>
      <c r="F188" s="914">
        <v>0</v>
      </c>
      <c r="G188" s="409">
        <f>+C188+D188+F188</f>
        <v>100</v>
      </c>
      <c r="H188" s="189"/>
    </row>
    <row r="189" spans="1:9" hidden="1" x14ac:dyDescent="0.2">
      <c r="A189" s="401">
        <v>557</v>
      </c>
      <c r="B189" s="393" t="s">
        <v>92</v>
      </c>
      <c r="C189" s="633">
        <f>SUM(C190:C192)</f>
        <v>0</v>
      </c>
      <c r="D189" s="633">
        <f>SUM(D190:D192)</f>
        <v>0</v>
      </c>
      <c r="E189" s="633">
        <f>SUM(E190:E192)</f>
        <v>0</v>
      </c>
      <c r="F189" s="633">
        <f>SUM(F190:F192)</f>
        <v>0</v>
      </c>
      <c r="G189" s="408">
        <f t="shared" ref="G189:G200" si="19">+C189+F189</f>
        <v>0</v>
      </c>
      <c r="H189" s="189"/>
    </row>
    <row r="190" spans="1:9" hidden="1" x14ac:dyDescent="0.2">
      <c r="A190" s="402">
        <v>55701</v>
      </c>
      <c r="B190" s="394" t="s">
        <v>93</v>
      </c>
      <c r="C190" s="914">
        <v>0</v>
      </c>
      <c r="D190" s="914">
        <v>0</v>
      </c>
      <c r="E190" s="914">
        <v>0</v>
      </c>
      <c r="F190" s="914">
        <v>0</v>
      </c>
      <c r="G190" s="409">
        <f t="shared" si="19"/>
        <v>0</v>
      </c>
      <c r="H190" s="189"/>
    </row>
    <row r="191" spans="1:9" hidden="1" x14ac:dyDescent="0.2">
      <c r="A191" s="402">
        <v>55702</v>
      </c>
      <c r="B191" s="394" t="s">
        <v>94</v>
      </c>
      <c r="C191" s="914">
        <v>0</v>
      </c>
      <c r="D191" s="914">
        <v>0</v>
      </c>
      <c r="E191" s="914">
        <v>0</v>
      </c>
      <c r="F191" s="914">
        <v>0</v>
      </c>
      <c r="G191" s="409">
        <f t="shared" si="19"/>
        <v>0</v>
      </c>
      <c r="H191" s="189"/>
    </row>
    <row r="192" spans="1:9" hidden="1" x14ac:dyDescent="0.2">
      <c r="A192" s="402">
        <v>55799</v>
      </c>
      <c r="B192" s="394" t="s">
        <v>95</v>
      </c>
      <c r="C192" s="914">
        <v>0</v>
      </c>
      <c r="D192" s="914">
        <v>0</v>
      </c>
      <c r="E192" s="914">
        <v>0</v>
      </c>
      <c r="F192" s="914">
        <v>0</v>
      </c>
      <c r="G192" s="409">
        <f t="shared" si="19"/>
        <v>0</v>
      </c>
      <c r="H192" s="189"/>
    </row>
    <row r="193" spans="1:9" x14ac:dyDescent="0.2">
      <c r="A193" s="424" t="s">
        <v>471</v>
      </c>
      <c r="B193" s="394"/>
      <c r="C193" s="914"/>
      <c r="D193" s="914"/>
      <c r="E193" s="914"/>
      <c r="F193" s="914"/>
      <c r="G193" s="409"/>
      <c r="H193" s="189"/>
    </row>
    <row r="194" spans="1:9" x14ac:dyDescent="0.2">
      <c r="A194" s="401">
        <v>56</v>
      </c>
      <c r="B194" s="393" t="s">
        <v>96</v>
      </c>
      <c r="C194" s="633">
        <f>C195+C198</f>
        <v>5000</v>
      </c>
      <c r="D194" s="633">
        <f>D195+D198</f>
        <v>0</v>
      </c>
      <c r="E194" s="633">
        <v>0</v>
      </c>
      <c r="F194" s="633">
        <v>0</v>
      </c>
      <c r="G194" s="408">
        <f>+C194+F194</f>
        <v>5000</v>
      </c>
      <c r="H194" s="189"/>
    </row>
    <row r="195" spans="1:9" x14ac:dyDescent="0.2">
      <c r="A195" s="401">
        <v>562</v>
      </c>
      <c r="B195" s="393" t="s">
        <v>97</v>
      </c>
      <c r="C195" s="633">
        <f>C197</f>
        <v>0</v>
      </c>
      <c r="D195" s="633">
        <f>SUM(D196:D197)</f>
        <v>0</v>
      </c>
      <c r="E195" s="633">
        <v>0</v>
      </c>
      <c r="F195" s="633">
        <v>0</v>
      </c>
      <c r="G195" s="408">
        <f t="shared" si="19"/>
        <v>0</v>
      </c>
      <c r="H195" s="189"/>
    </row>
    <row r="196" spans="1:9" hidden="1" x14ac:dyDescent="0.2">
      <c r="A196" s="402">
        <v>56201</v>
      </c>
      <c r="B196" s="395" t="s">
        <v>503</v>
      </c>
      <c r="C196" s="914">
        <v>0</v>
      </c>
      <c r="D196" s="914">
        <v>0</v>
      </c>
      <c r="E196" s="914">
        <v>0</v>
      </c>
      <c r="F196" s="914">
        <v>0</v>
      </c>
      <c r="G196" s="409">
        <f t="shared" si="19"/>
        <v>0</v>
      </c>
      <c r="H196" s="189"/>
    </row>
    <row r="197" spans="1:9" x14ac:dyDescent="0.2">
      <c r="A197" s="402">
        <v>56201</v>
      </c>
      <c r="B197" s="395" t="s">
        <v>497</v>
      </c>
      <c r="C197" s="914">
        <v>0</v>
      </c>
      <c r="D197" s="914">
        <v>0</v>
      </c>
      <c r="E197" s="914">
        <v>0</v>
      </c>
      <c r="F197" s="914">
        <v>0</v>
      </c>
      <c r="G197" s="409">
        <f>+C197+F197</f>
        <v>0</v>
      </c>
      <c r="H197" s="189"/>
    </row>
    <row r="198" spans="1:9" x14ac:dyDescent="0.2">
      <c r="A198" s="401">
        <v>563</v>
      </c>
      <c r="B198" s="393" t="s">
        <v>99</v>
      </c>
      <c r="C198" s="633">
        <f>SUM(C199:C200)</f>
        <v>5000</v>
      </c>
      <c r="D198" s="633">
        <f>SUM(D199:D200)</f>
        <v>0</v>
      </c>
      <c r="E198" s="633">
        <v>0</v>
      </c>
      <c r="F198" s="633">
        <v>0</v>
      </c>
      <c r="G198" s="408">
        <f t="shared" si="19"/>
        <v>5000</v>
      </c>
      <c r="H198" s="189"/>
    </row>
    <row r="199" spans="1:9" x14ac:dyDescent="0.2">
      <c r="A199" s="402">
        <v>56303</v>
      </c>
      <c r="B199" s="394" t="s">
        <v>98</v>
      </c>
      <c r="C199" s="914">
        <v>0</v>
      </c>
      <c r="D199" s="914">
        <v>0</v>
      </c>
      <c r="E199" s="914">
        <v>0</v>
      </c>
      <c r="F199" s="914">
        <v>0</v>
      </c>
      <c r="G199" s="409">
        <f t="shared" si="19"/>
        <v>0</v>
      </c>
      <c r="H199" s="189"/>
    </row>
    <row r="200" spans="1:9" s="2" customFormat="1" x14ac:dyDescent="0.2">
      <c r="A200" s="423">
        <v>56304</v>
      </c>
      <c r="B200" s="418" t="s">
        <v>109</v>
      </c>
      <c r="C200" s="914">
        <v>5000</v>
      </c>
      <c r="D200" s="914">
        <v>0</v>
      </c>
      <c r="E200" s="914">
        <v>0</v>
      </c>
      <c r="F200" s="914">
        <v>0</v>
      </c>
      <c r="G200" s="410">
        <f t="shared" si="19"/>
        <v>5000</v>
      </c>
      <c r="H200" s="189"/>
      <c r="I200" s="320"/>
    </row>
    <row r="201" spans="1:9" s="2" customFormat="1" x14ac:dyDescent="0.2">
      <c r="A201" s="423"/>
      <c r="B201" s="418"/>
      <c r="C201" s="914"/>
      <c r="D201" s="914"/>
      <c r="E201" s="914"/>
      <c r="F201" s="914"/>
      <c r="G201" s="385"/>
      <c r="H201" s="189"/>
      <c r="I201" s="320"/>
    </row>
    <row r="202" spans="1:9" s="131" customFormat="1" x14ac:dyDescent="0.2">
      <c r="A202" s="463">
        <v>72</v>
      </c>
      <c r="B202" s="455" t="s">
        <v>13</v>
      </c>
      <c r="C202" s="633">
        <f>C203</f>
        <v>2239.0299999999997</v>
      </c>
      <c r="D202" s="633">
        <f t="shared" ref="D202:G203" si="20">D203</f>
        <v>0</v>
      </c>
      <c r="E202" s="633">
        <f t="shared" si="20"/>
        <v>0</v>
      </c>
      <c r="F202" s="633">
        <f t="shared" si="20"/>
        <v>0</v>
      </c>
      <c r="G202" s="633">
        <f t="shared" si="20"/>
        <v>2239.0299999999997</v>
      </c>
      <c r="H202" s="301"/>
      <c r="I202" s="631"/>
    </row>
    <row r="203" spans="1:9" s="131" customFormat="1" x14ac:dyDescent="0.2">
      <c r="A203" s="463">
        <v>721</v>
      </c>
      <c r="B203" s="455" t="s">
        <v>182</v>
      </c>
      <c r="C203" s="633">
        <f>C204</f>
        <v>2239.0299999999997</v>
      </c>
      <c r="D203" s="633">
        <f t="shared" si="20"/>
        <v>0</v>
      </c>
      <c r="E203" s="633">
        <f t="shared" si="20"/>
        <v>0</v>
      </c>
      <c r="F203" s="633">
        <f t="shared" si="20"/>
        <v>0</v>
      </c>
      <c r="G203" s="633">
        <f t="shared" si="20"/>
        <v>2239.0299999999997</v>
      </c>
      <c r="H203" s="301"/>
      <c r="I203" s="631"/>
    </row>
    <row r="204" spans="1:9" s="2" customFormat="1" ht="13.5" thickBot="1" x14ac:dyDescent="0.25">
      <c r="A204" s="423">
        <v>72101</v>
      </c>
      <c r="B204" s="418" t="s">
        <v>182</v>
      </c>
      <c r="C204" s="920">
        <f>696.4+1475.01+67.62</f>
        <v>2239.0299999999997</v>
      </c>
      <c r="D204" s="914">
        <v>0</v>
      </c>
      <c r="E204" s="914">
        <v>0</v>
      </c>
      <c r="F204" s="914">
        <v>0</v>
      </c>
      <c r="G204" s="410">
        <f>C204+D204+E204+F204</f>
        <v>2239.0299999999997</v>
      </c>
      <c r="H204" s="189"/>
      <c r="I204" s="320"/>
    </row>
    <row r="205" spans="1:9" hidden="1" x14ac:dyDescent="0.2">
      <c r="A205" s="425" t="s">
        <v>162</v>
      </c>
      <c r="B205" s="419" t="s">
        <v>163</v>
      </c>
      <c r="C205" s="381">
        <f>C206</f>
        <v>0</v>
      </c>
      <c r="D205" s="351">
        <f t="shared" ref="D205:F206" si="21">D206</f>
        <v>0</v>
      </c>
      <c r="E205" s="351">
        <f t="shared" si="21"/>
        <v>0</v>
      </c>
      <c r="F205" s="415">
        <f t="shared" si="21"/>
        <v>0</v>
      </c>
      <c r="G205" s="408">
        <f>G206</f>
        <v>0</v>
      </c>
      <c r="H205" s="189"/>
    </row>
    <row r="206" spans="1:9" hidden="1" x14ac:dyDescent="0.2">
      <c r="A206" s="425" t="s">
        <v>256</v>
      </c>
      <c r="B206" s="420" t="s">
        <v>200</v>
      </c>
      <c r="C206" s="381">
        <f>C207</f>
        <v>0</v>
      </c>
      <c r="D206" s="351">
        <f t="shared" si="21"/>
        <v>0</v>
      </c>
      <c r="E206" s="351">
        <f t="shared" si="21"/>
        <v>0</v>
      </c>
      <c r="F206" s="415">
        <f t="shared" si="21"/>
        <v>0</v>
      </c>
      <c r="G206" s="408">
        <f>G207</f>
        <v>0</v>
      </c>
      <c r="H206" s="189"/>
    </row>
    <row r="207" spans="1:9" s="2" customFormat="1" ht="13.5" hidden="1" thickBot="1" x14ac:dyDescent="0.25">
      <c r="A207" s="426" t="s">
        <v>257</v>
      </c>
      <c r="B207" s="421" t="s">
        <v>258</v>
      </c>
      <c r="C207" s="382">
        <v>0</v>
      </c>
      <c r="D207" s="352">
        <v>0</v>
      </c>
      <c r="E207" s="352">
        <v>0</v>
      </c>
      <c r="F207" s="416">
        <v>0</v>
      </c>
      <c r="G207" s="413">
        <f>+C207+F207</f>
        <v>0</v>
      </c>
      <c r="H207" s="189"/>
      <c r="I207" s="320"/>
    </row>
    <row r="208" spans="1:9" ht="13.5" thickBot="1" x14ac:dyDescent="0.25">
      <c r="A208" s="427"/>
      <c r="B208" s="422" t="s">
        <v>25</v>
      </c>
      <c r="C208" s="353">
        <f>+C194+C178+C120+C202</f>
        <v>29417.5</v>
      </c>
      <c r="D208" s="353">
        <f>+D194+D178+D120</f>
        <v>1684.75</v>
      </c>
      <c r="E208" s="353">
        <f>+E194+E178+E120</f>
        <v>550</v>
      </c>
      <c r="F208" s="417">
        <f>+F194+F178+F120</f>
        <v>69363.839999999997</v>
      </c>
      <c r="G208" s="414">
        <f>+G194+G178+G120+G205+G202</f>
        <v>101016.09</v>
      </c>
      <c r="H208" s="200"/>
    </row>
    <row r="209" spans="1:9" x14ac:dyDescent="0.2">
      <c r="A209" s="1"/>
      <c r="B209" s="1"/>
      <c r="G209" s="793">
        <f>'ING. REALES'!G73-'AG1'!D12</f>
        <v>97502.870000000024</v>
      </c>
    </row>
    <row r="210" spans="1:9" x14ac:dyDescent="0.2">
      <c r="A210" s="1"/>
      <c r="B210" s="1"/>
      <c r="G210" s="793">
        <f>G208-G209</f>
        <v>3513.2199999999721</v>
      </c>
    </row>
    <row r="211" spans="1:9" x14ac:dyDescent="0.2">
      <c r="A211" s="1"/>
      <c r="B211" s="1"/>
      <c r="G211" s="793"/>
    </row>
    <row r="212" spans="1:9" x14ac:dyDescent="0.2">
      <c r="A212" s="1"/>
      <c r="B212" s="1"/>
    </row>
    <row r="219" spans="1:9" x14ac:dyDescent="0.2">
      <c r="A219" s="1"/>
      <c r="B219" s="1"/>
    </row>
    <row r="220" spans="1:9" x14ac:dyDescent="0.2">
      <c r="A220" s="1"/>
      <c r="B220" s="1"/>
      <c r="H220" s="517"/>
      <c r="I220" s="518"/>
    </row>
    <row r="221" spans="1:9" x14ac:dyDescent="0.2">
      <c r="A221" s="1"/>
      <c r="B221" s="1"/>
    </row>
    <row r="222" spans="1:9" x14ac:dyDescent="0.2">
      <c r="A222" s="1"/>
      <c r="B222" s="1"/>
    </row>
    <row r="223" spans="1:9" x14ac:dyDescent="0.2">
      <c r="A223" s="1"/>
      <c r="B223" s="1"/>
    </row>
    <row r="224" spans="1:9" x14ac:dyDescent="0.2">
      <c r="A224" s="1"/>
      <c r="B224" s="1"/>
    </row>
    <row r="225" spans="1:9" x14ac:dyDescent="0.2">
      <c r="A225" s="1"/>
      <c r="B225" s="1"/>
    </row>
    <row r="226" spans="1:9" x14ac:dyDescent="0.2">
      <c r="A226" s="1"/>
      <c r="B226" s="1"/>
      <c r="C226" s="2"/>
      <c r="D226" s="2"/>
      <c r="E226" s="2"/>
      <c r="F226" s="2"/>
      <c r="G226"/>
      <c r="H226"/>
      <c r="I226"/>
    </row>
    <row r="227" spans="1:9" x14ac:dyDescent="0.2">
      <c r="A227" s="1"/>
      <c r="B227" s="1"/>
      <c r="C227" s="2"/>
      <c r="D227" s="2"/>
      <c r="E227" s="2"/>
      <c r="F227" s="2"/>
      <c r="G227"/>
      <c r="H227"/>
      <c r="I227"/>
    </row>
    <row r="228" spans="1:9" x14ac:dyDescent="0.2">
      <c r="A228" s="1"/>
      <c r="B228" s="1"/>
      <c r="C228" s="2"/>
      <c r="D228" s="2"/>
      <c r="E228" s="2"/>
      <c r="F228" s="2"/>
      <c r="G228"/>
      <c r="H228"/>
      <c r="I228"/>
    </row>
  </sheetData>
  <autoFilter ref="A117:G208">
    <filterColumn colId="2" showButton="0"/>
    <filterColumn colId="3" showButton="0"/>
    <filterColumn colId="4" showButton="0"/>
    <filterColumn colId="5" showButton="0"/>
  </autoFilter>
  <mergeCells count="26">
    <mergeCell ref="G118:G119"/>
    <mergeCell ref="E118:E119"/>
    <mergeCell ref="A115:G115"/>
    <mergeCell ref="A111:G111"/>
    <mergeCell ref="A112:G112"/>
    <mergeCell ref="A113:G113"/>
    <mergeCell ref="A114:G114"/>
    <mergeCell ref="A117:A119"/>
    <mergeCell ref="B117:B119"/>
    <mergeCell ref="C117:G117"/>
    <mergeCell ref="C118:C119"/>
    <mergeCell ref="D118:D119"/>
    <mergeCell ref="F118:F119"/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</mergeCells>
  <phoneticPr fontId="6" type="noConversion"/>
  <printOptions horizontalCentered="1"/>
  <pageMargins left="0.31496062992125984" right="0.31496062992125984" top="0.43307086614173229" bottom="0.51181102362204722" header="0" footer="0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L151"/>
  <sheetViews>
    <sheetView showGridLines="0" topLeftCell="A38" workbookViewId="0">
      <selection activeCell="S72" sqref="S72"/>
    </sheetView>
  </sheetViews>
  <sheetFormatPr baseColWidth="10" defaultRowHeight="12.75" x14ac:dyDescent="0.2"/>
  <cols>
    <col min="1" max="1" width="9.5703125" style="2" customWidth="1"/>
    <col min="2" max="2" width="35.5703125" style="2" customWidth="1"/>
    <col min="3" max="3" width="14.140625" style="335" customWidth="1"/>
    <col min="4" max="4" width="13.28515625" style="7" customWidth="1"/>
    <col min="5" max="5" width="12.28515625" style="2" hidden="1" customWidth="1"/>
    <col min="6" max="7" width="11.42578125" style="2" hidden="1" customWidth="1"/>
    <col min="8" max="8" width="13.28515625" style="2" customWidth="1"/>
    <col min="9" max="9" width="13.5703125" style="52" customWidth="1"/>
    <col min="10" max="10" width="12.28515625" style="52" bestFit="1" customWidth="1"/>
    <col min="11" max="11" width="3.85546875" style="52" customWidth="1"/>
    <col min="12" max="12" width="11.42578125" style="2"/>
    <col min="13" max="13" width="3.7109375" style="2" customWidth="1"/>
    <col min="14" max="16384" width="11.42578125" style="2"/>
  </cols>
  <sheetData>
    <row r="1" spans="1:8" x14ac:dyDescent="0.2">
      <c r="A1" s="1153" t="s">
        <v>110</v>
      </c>
      <c r="B1" s="1153"/>
      <c r="C1" s="1153"/>
      <c r="D1" s="1153"/>
      <c r="E1" s="1153"/>
      <c r="F1" s="1153"/>
      <c r="G1" s="1153"/>
      <c r="H1" s="1153"/>
    </row>
    <row r="2" spans="1:8" x14ac:dyDescent="0.2">
      <c r="A2" s="1153" t="s">
        <v>111</v>
      </c>
      <c r="B2" s="1153"/>
      <c r="C2" s="1153"/>
      <c r="D2" s="1153"/>
      <c r="E2" s="1153"/>
      <c r="F2" s="1153"/>
      <c r="G2" s="1153"/>
      <c r="H2" s="1153"/>
    </row>
    <row r="3" spans="1:8" x14ac:dyDescent="0.2">
      <c r="A3" s="1153" t="s">
        <v>600</v>
      </c>
      <c r="B3" s="1153"/>
      <c r="C3" s="1153"/>
      <c r="D3" s="1153"/>
      <c r="E3" s="1153"/>
      <c r="F3" s="1153"/>
      <c r="G3" s="1153"/>
      <c r="H3" s="1153"/>
    </row>
    <row r="4" spans="1:8" x14ac:dyDescent="0.2">
      <c r="A4" s="356"/>
      <c r="B4" s="357"/>
      <c r="C4" s="555"/>
      <c r="D4" s="357"/>
      <c r="E4" s="357"/>
      <c r="F4" s="357"/>
      <c r="G4" s="357"/>
      <c r="H4" s="357"/>
    </row>
    <row r="5" spans="1:8" x14ac:dyDescent="0.2">
      <c r="A5" s="608" t="s">
        <v>450</v>
      </c>
      <c r="B5" s="608"/>
      <c r="C5" s="608"/>
      <c r="D5" s="608"/>
      <c r="E5" s="608"/>
      <c r="F5" s="608"/>
      <c r="G5" s="608"/>
      <c r="H5" s="608"/>
    </row>
    <row r="6" spans="1:8" x14ac:dyDescent="0.2">
      <c r="A6" s="608" t="s">
        <v>681</v>
      </c>
      <c r="B6" s="608"/>
      <c r="C6" s="608"/>
      <c r="D6" s="608"/>
      <c r="E6" s="608"/>
      <c r="F6" s="608"/>
      <c r="G6" s="608"/>
      <c r="H6" s="608"/>
    </row>
    <row r="7" spans="1:8" x14ac:dyDescent="0.2">
      <c r="A7" s="608" t="s">
        <v>112</v>
      </c>
      <c r="B7" s="608"/>
      <c r="C7" s="608"/>
      <c r="D7" s="608"/>
      <c r="E7" s="608"/>
      <c r="F7" s="608"/>
      <c r="G7" s="608"/>
      <c r="H7" s="608"/>
    </row>
    <row r="8" spans="1:8" x14ac:dyDescent="0.2">
      <c r="A8" s="608" t="s">
        <v>113</v>
      </c>
      <c r="B8" s="608"/>
      <c r="C8" s="608"/>
      <c r="D8" s="608"/>
      <c r="E8" s="608"/>
      <c r="F8" s="608"/>
      <c r="G8" s="608"/>
      <c r="H8" s="608"/>
    </row>
    <row r="9" spans="1:8" ht="13.5" thickBot="1" x14ac:dyDescent="0.25">
      <c r="A9" s="609" t="s">
        <v>114</v>
      </c>
      <c r="B9" s="609"/>
      <c r="C9" s="609"/>
      <c r="D9" s="609"/>
      <c r="E9" s="609"/>
      <c r="F9" s="609"/>
      <c r="G9" s="609"/>
      <c r="H9" s="609"/>
    </row>
    <row r="10" spans="1:8" ht="13.5" thickBot="1" x14ac:dyDescent="0.25">
      <c r="A10" s="1149" t="s">
        <v>115</v>
      </c>
      <c r="B10" s="1149"/>
      <c r="C10" s="1033" t="s">
        <v>116</v>
      </c>
      <c r="D10" s="1152"/>
      <c r="E10" s="610"/>
      <c r="F10" s="610"/>
      <c r="G10" s="611"/>
      <c r="H10" s="1150" t="s">
        <v>25</v>
      </c>
    </row>
    <row r="11" spans="1:8" ht="23.25" thickBot="1" x14ac:dyDescent="0.25">
      <c r="A11" s="375" t="s">
        <v>117</v>
      </c>
      <c r="B11" s="600" t="s">
        <v>118</v>
      </c>
      <c r="C11" s="556" t="s">
        <v>119</v>
      </c>
      <c r="D11" s="446" t="s">
        <v>120</v>
      </c>
      <c r="E11" s="447" t="s">
        <v>2</v>
      </c>
      <c r="F11" s="447" t="s">
        <v>3</v>
      </c>
      <c r="G11" s="447" t="s">
        <v>121</v>
      </c>
      <c r="H11" s="1151"/>
    </row>
    <row r="12" spans="1:8" x14ac:dyDescent="0.2">
      <c r="A12" s="462">
        <v>51</v>
      </c>
      <c r="B12" s="448" t="s">
        <v>122</v>
      </c>
      <c r="C12" s="557">
        <f>C13+C25+C28+C31+C34+C42</f>
        <v>160249.23000000001</v>
      </c>
      <c r="D12" s="839">
        <f>D13+D25+D28+D31+D34+D37+D42</f>
        <v>251040.57000000004</v>
      </c>
      <c r="E12" s="12"/>
      <c r="F12" s="12"/>
      <c r="G12" s="428"/>
      <c r="H12" s="438">
        <f>SUM(C12:G12)</f>
        <v>411289.80000000005</v>
      </c>
    </row>
    <row r="13" spans="1:8" x14ac:dyDescent="0.2">
      <c r="A13" s="463">
        <v>511</v>
      </c>
      <c r="B13" s="449" t="s">
        <v>123</v>
      </c>
      <c r="C13" s="558">
        <f>C14+C16+C18+C19</f>
        <v>138421.43</v>
      </c>
      <c r="D13" s="840">
        <f>D14+D16+D18+D19</f>
        <v>215455.43000000002</v>
      </c>
      <c r="E13" s="13"/>
      <c r="F13" s="13"/>
      <c r="G13" s="429"/>
      <c r="H13" s="439">
        <f>SUM(C13:G13)</f>
        <v>353876.86</v>
      </c>
    </row>
    <row r="14" spans="1:8" x14ac:dyDescent="0.2">
      <c r="A14" s="464" t="s">
        <v>124</v>
      </c>
      <c r="B14" s="450" t="s">
        <v>125</v>
      </c>
      <c r="C14" s="748">
        <f>'PLLA MUNICIPAL LEY SAL'!W79</f>
        <v>79472.86</v>
      </c>
      <c r="D14" s="841">
        <f>'PLLA MUNICIPAL LEY SAL'!AH79</f>
        <v>166767.14000000001</v>
      </c>
      <c r="E14" s="749"/>
      <c r="F14" s="749"/>
      <c r="G14" s="750"/>
      <c r="H14" s="751">
        <f>SUM(C14:G14)</f>
        <v>246240</v>
      </c>
    </row>
    <row r="15" spans="1:8" hidden="1" x14ac:dyDescent="0.2">
      <c r="A15" s="423">
        <v>51102</v>
      </c>
      <c r="B15" s="451" t="s">
        <v>126</v>
      </c>
      <c r="C15" s="748">
        <v>0</v>
      </c>
      <c r="D15" s="841">
        <v>0</v>
      </c>
      <c r="E15" s="749"/>
      <c r="F15" s="749"/>
      <c r="G15" s="750"/>
      <c r="H15" s="751">
        <f t="shared" ref="H15:H43" si="0">SUM(C15:G15)</f>
        <v>0</v>
      </c>
    </row>
    <row r="16" spans="1:8" x14ac:dyDescent="0.2">
      <c r="A16" s="423">
        <v>51103</v>
      </c>
      <c r="B16" s="450" t="s">
        <v>127</v>
      </c>
      <c r="C16" s="748">
        <f>'PLLA MUNICIPAL LEY SAL'!L79</f>
        <v>20520</v>
      </c>
      <c r="D16" s="841">
        <v>0</v>
      </c>
      <c r="E16" s="752"/>
      <c r="F16" s="752"/>
      <c r="G16" s="753"/>
      <c r="H16" s="751">
        <f>SUM(C16:G16)</f>
        <v>20520</v>
      </c>
    </row>
    <row r="17" spans="1:12" hidden="1" x14ac:dyDescent="0.2">
      <c r="A17" s="423">
        <v>51104</v>
      </c>
      <c r="B17" s="450" t="s">
        <v>128</v>
      </c>
      <c r="C17" s="748"/>
      <c r="D17" s="841"/>
      <c r="E17" s="749"/>
      <c r="F17" s="749"/>
      <c r="G17" s="750"/>
      <c r="H17" s="751">
        <f t="shared" si="0"/>
        <v>0</v>
      </c>
    </row>
    <row r="18" spans="1:12" x14ac:dyDescent="0.2">
      <c r="A18" s="464" t="s">
        <v>129</v>
      </c>
      <c r="B18" s="450" t="s">
        <v>130</v>
      </c>
      <c r="C18" s="748">
        <f>+'PLLA DIETAS'!E20/2</f>
        <v>36000</v>
      </c>
      <c r="D18" s="841">
        <f>C18</f>
        <v>36000</v>
      </c>
      <c r="E18" s="749"/>
      <c r="F18" s="749"/>
      <c r="G18" s="750"/>
      <c r="H18" s="751">
        <f t="shared" si="0"/>
        <v>72000</v>
      </c>
    </row>
    <row r="19" spans="1:12" x14ac:dyDescent="0.2">
      <c r="A19" s="464" t="s">
        <v>131</v>
      </c>
      <c r="B19" s="450" t="s">
        <v>132</v>
      </c>
      <c r="C19" s="748">
        <f>'PLLA MUNICIPAL LEY SAL'!X79+'PLLA MUNICIPAL LEY SAL'!Y79</f>
        <v>2428.5699999999997</v>
      </c>
      <c r="D19" s="851">
        <f>'PLLA DIETAS'!F20+'PLLA MUNICIPAL LEY SAL'!AI79+'PLLA MUNICIPAL LEY SAL'!AJ79+68*3</f>
        <v>12688.29</v>
      </c>
      <c r="E19" s="752"/>
      <c r="F19" s="752"/>
      <c r="G19" s="753"/>
      <c r="H19" s="751">
        <f t="shared" si="0"/>
        <v>15116.86</v>
      </c>
    </row>
    <row r="20" spans="1:12" hidden="1" x14ac:dyDescent="0.2">
      <c r="A20" s="425" t="s">
        <v>133</v>
      </c>
      <c r="B20" s="452" t="s">
        <v>134</v>
      </c>
      <c r="C20" s="754">
        <v>0</v>
      </c>
      <c r="D20" s="842">
        <v>0</v>
      </c>
      <c r="E20" s="755"/>
      <c r="F20" s="755"/>
      <c r="G20" s="756"/>
      <c r="H20" s="757">
        <f t="shared" si="0"/>
        <v>0</v>
      </c>
    </row>
    <row r="21" spans="1:12" hidden="1" x14ac:dyDescent="0.2">
      <c r="A21" s="464" t="s">
        <v>135</v>
      </c>
      <c r="B21" s="450" t="s">
        <v>125</v>
      </c>
      <c r="C21" s="748">
        <v>0</v>
      </c>
      <c r="D21" s="841">
        <v>0</v>
      </c>
      <c r="E21" s="755"/>
      <c r="F21" s="755"/>
      <c r="G21" s="756"/>
      <c r="H21" s="751">
        <f t="shared" si="0"/>
        <v>0</v>
      </c>
    </row>
    <row r="22" spans="1:12" hidden="1" x14ac:dyDescent="0.2">
      <c r="A22" s="423">
        <v>51202</v>
      </c>
      <c r="B22" s="451" t="s">
        <v>136</v>
      </c>
      <c r="C22" s="748">
        <v>0</v>
      </c>
      <c r="D22" s="841">
        <v>0</v>
      </c>
      <c r="E22" s="758"/>
      <c r="F22" s="758"/>
      <c r="G22" s="759"/>
      <c r="H22" s="751">
        <f t="shared" si="0"/>
        <v>0</v>
      </c>
    </row>
    <row r="23" spans="1:12" hidden="1" x14ac:dyDescent="0.2">
      <c r="A23" s="464" t="s">
        <v>137</v>
      </c>
      <c r="B23" s="450" t="s">
        <v>127</v>
      </c>
      <c r="C23" s="748"/>
      <c r="D23" s="841"/>
      <c r="E23" s="749"/>
      <c r="F23" s="749"/>
      <c r="G23" s="750"/>
      <c r="H23" s="751">
        <f t="shared" si="0"/>
        <v>0</v>
      </c>
      <c r="L23" s="131"/>
    </row>
    <row r="24" spans="1:12" hidden="1" x14ac:dyDescent="0.2">
      <c r="A24" s="464" t="s">
        <v>138</v>
      </c>
      <c r="B24" s="450" t="s">
        <v>132</v>
      </c>
      <c r="C24" s="748"/>
      <c r="D24" s="841"/>
      <c r="E24" s="752"/>
      <c r="F24" s="752"/>
      <c r="G24" s="753"/>
      <c r="H24" s="751">
        <f t="shared" si="0"/>
        <v>0</v>
      </c>
    </row>
    <row r="25" spans="1:12" x14ac:dyDescent="0.2">
      <c r="A25" s="425" t="s">
        <v>139</v>
      </c>
      <c r="B25" s="453" t="s">
        <v>140</v>
      </c>
      <c r="C25" s="754">
        <f>SUM(C26:C27)</f>
        <v>200</v>
      </c>
      <c r="D25" s="842">
        <f>SUM(D26:D27)</f>
        <v>0</v>
      </c>
      <c r="E25" s="749"/>
      <c r="F25" s="749"/>
      <c r="G25" s="750"/>
      <c r="H25" s="757">
        <f>SUM(C25:G25)</f>
        <v>200</v>
      </c>
      <c r="I25" s="652"/>
    </row>
    <row r="26" spans="1:12" x14ac:dyDescent="0.2">
      <c r="A26" s="423">
        <v>51301</v>
      </c>
      <c r="B26" s="451" t="s">
        <v>141</v>
      </c>
      <c r="C26" s="748">
        <v>200</v>
      </c>
      <c r="D26" s="841">
        <v>0</v>
      </c>
      <c r="E26" s="752"/>
      <c r="F26" s="752"/>
      <c r="G26" s="753"/>
      <c r="H26" s="751">
        <f t="shared" si="0"/>
        <v>200</v>
      </c>
      <c r="I26" s="652"/>
    </row>
    <row r="27" spans="1:12" hidden="1" x14ac:dyDescent="0.2">
      <c r="A27" s="423">
        <v>51302</v>
      </c>
      <c r="B27" s="451" t="s">
        <v>142</v>
      </c>
      <c r="C27" s="748"/>
      <c r="D27" s="841"/>
      <c r="E27" s="755"/>
      <c r="F27" s="755"/>
      <c r="G27" s="756"/>
      <c r="H27" s="751">
        <f t="shared" si="0"/>
        <v>0</v>
      </c>
      <c r="I27" s="652"/>
    </row>
    <row r="28" spans="1:12" ht="22.5" x14ac:dyDescent="0.2">
      <c r="A28" s="463">
        <v>514</v>
      </c>
      <c r="B28" s="453" t="s">
        <v>143</v>
      </c>
      <c r="C28" s="754">
        <f>SUM(C29:C30)</f>
        <v>8433.6700000000019</v>
      </c>
      <c r="D28" s="842">
        <f>SUM(D29:D30)</f>
        <v>15462.1</v>
      </c>
      <c r="E28" s="755"/>
      <c r="F28" s="755"/>
      <c r="G28" s="756"/>
      <c r="H28" s="770">
        <f>SUM(C28:G28)</f>
        <v>23895.770000000004</v>
      </c>
      <c r="I28" s="652"/>
    </row>
    <row r="29" spans="1:12" x14ac:dyDescent="0.2">
      <c r="A29" s="464" t="s">
        <v>144</v>
      </c>
      <c r="B29" s="450" t="s">
        <v>145</v>
      </c>
      <c r="C29" s="852">
        <f>'PLLA MUNICIPAL LEY SAL'!Z79+'PLLA MUNICIPAL LEY SAL'!AA79+ROUND(('PLLA DIETAS'!H20/2),2)+ROUND(('PLLA DIETAS'!I20/2),2)+'PLLA MUNICIPAL LEY SAL'!AC79</f>
        <v>8433.6700000000019</v>
      </c>
      <c r="D29" s="853">
        <f>'PLLA MUNICIPAL LEY SAL'!AK79+'PLLA MUNICIPAL LEY SAL'!AL79+ROUND(('PLLA DIETAS'!H20/2),2)+ROUND(('PLLA DIETAS'!I20/2),2)+'PLLA MUNICIPAL LEY SAL'!AN79</f>
        <v>15462.1</v>
      </c>
      <c r="E29" s="758"/>
      <c r="F29" s="758"/>
      <c r="G29" s="759"/>
      <c r="H29" s="751">
        <f t="shared" si="0"/>
        <v>23895.770000000004</v>
      </c>
      <c r="I29" s="652"/>
      <c r="L29" s="14"/>
    </row>
    <row r="30" spans="1:12" hidden="1" x14ac:dyDescent="0.2">
      <c r="A30" s="464" t="s">
        <v>146</v>
      </c>
      <c r="B30" s="450" t="s">
        <v>147</v>
      </c>
      <c r="C30" s="748"/>
      <c r="D30" s="841"/>
      <c r="E30" s="755"/>
      <c r="F30" s="755"/>
      <c r="G30" s="756"/>
      <c r="H30" s="751">
        <f t="shared" si="0"/>
        <v>0</v>
      </c>
      <c r="I30" s="652"/>
    </row>
    <row r="31" spans="1:12" ht="22.5" x14ac:dyDescent="0.2">
      <c r="A31" s="463">
        <v>515</v>
      </c>
      <c r="B31" s="453" t="s">
        <v>148</v>
      </c>
      <c r="C31" s="754">
        <f>SUM(C32:C33)</f>
        <v>5994.1299999999992</v>
      </c>
      <c r="D31" s="842">
        <f>SUM(D32:D33)</f>
        <v>12594.47</v>
      </c>
      <c r="E31" s="755"/>
      <c r="F31" s="755"/>
      <c r="G31" s="756"/>
      <c r="H31" s="760">
        <f>SUM(C31:G31)</f>
        <v>18588.599999999999</v>
      </c>
      <c r="I31" s="652"/>
    </row>
    <row r="32" spans="1:12" x14ac:dyDescent="0.2">
      <c r="A32" s="464" t="s">
        <v>149</v>
      </c>
      <c r="B32" s="450" t="s">
        <v>145</v>
      </c>
      <c r="C32" s="852">
        <f>'PLLA MUNICIPAL LEY SAL'!AB79-0.02</f>
        <v>5994.1299999999992</v>
      </c>
      <c r="D32" s="853">
        <f>'PLLA MUNICIPAL LEY SAL'!AM79+0.01</f>
        <v>12594.47</v>
      </c>
      <c r="E32" s="752"/>
      <c r="F32" s="752"/>
      <c r="G32" s="753"/>
      <c r="H32" s="751">
        <f t="shared" si="0"/>
        <v>18588.599999999999</v>
      </c>
      <c r="I32" s="652"/>
      <c r="L32" s="14"/>
    </row>
    <row r="33" spans="1:12" hidden="1" x14ac:dyDescent="0.2">
      <c r="A33" s="464" t="s">
        <v>150</v>
      </c>
      <c r="B33" s="450" t="s">
        <v>147</v>
      </c>
      <c r="C33" s="748"/>
      <c r="D33" s="841"/>
      <c r="E33" s="758"/>
      <c r="F33" s="758"/>
      <c r="G33" s="759"/>
      <c r="H33" s="751">
        <f t="shared" si="0"/>
        <v>0</v>
      </c>
      <c r="I33" s="652"/>
    </row>
    <row r="34" spans="1:12" x14ac:dyDescent="0.2">
      <c r="A34" s="425" t="s">
        <v>151</v>
      </c>
      <c r="B34" s="452" t="s">
        <v>152</v>
      </c>
      <c r="C34" s="754">
        <f>SUM(C35:C36)</f>
        <v>3600</v>
      </c>
      <c r="D34" s="842">
        <f>SUM(D35:D36)</f>
        <v>3600</v>
      </c>
      <c r="E34" s="755"/>
      <c r="F34" s="755"/>
      <c r="G34" s="756"/>
      <c r="H34" s="757">
        <f>SUM(C34:G34)</f>
        <v>7200</v>
      </c>
      <c r="I34" s="652"/>
    </row>
    <row r="35" spans="1:12" x14ac:dyDescent="0.2">
      <c r="A35" s="423">
        <v>51601</v>
      </c>
      <c r="B35" s="451" t="s">
        <v>153</v>
      </c>
      <c r="C35" s="748">
        <f>600*6</f>
        <v>3600</v>
      </c>
      <c r="D35" s="841">
        <f>C35</f>
        <v>3600</v>
      </c>
      <c r="E35" s="755"/>
      <c r="F35" s="755"/>
      <c r="G35" s="756"/>
      <c r="H35" s="751">
        <f t="shared" si="0"/>
        <v>7200</v>
      </c>
      <c r="I35" s="652"/>
      <c r="L35" s="657"/>
    </row>
    <row r="36" spans="1:12" hidden="1" x14ac:dyDescent="0.2">
      <c r="A36" s="423">
        <v>51602</v>
      </c>
      <c r="B36" s="451" t="s">
        <v>154</v>
      </c>
      <c r="C36" s="748"/>
      <c r="D36" s="841"/>
      <c r="E36" s="755"/>
      <c r="F36" s="755"/>
      <c r="G36" s="756"/>
      <c r="H36" s="751">
        <f t="shared" si="0"/>
        <v>0</v>
      </c>
      <c r="I36" s="652"/>
    </row>
    <row r="37" spans="1:12" x14ac:dyDescent="0.2">
      <c r="A37" s="463">
        <v>517</v>
      </c>
      <c r="B37" s="454" t="s">
        <v>155</v>
      </c>
      <c r="C37" s="754">
        <f>SUM(C38:C39)</f>
        <v>0</v>
      </c>
      <c r="D37" s="842">
        <f>SUM(D38:D39)</f>
        <v>328.57</v>
      </c>
      <c r="E37" s="755"/>
      <c r="F37" s="755"/>
      <c r="G37" s="756"/>
      <c r="H37" s="757">
        <f>SUM(C37:G37)</f>
        <v>328.57</v>
      </c>
    </row>
    <row r="38" spans="1:12" x14ac:dyDescent="0.2">
      <c r="A38" s="423">
        <v>51701</v>
      </c>
      <c r="B38" s="451" t="s">
        <v>156</v>
      </c>
      <c r="C38" s="748">
        <v>0</v>
      </c>
      <c r="D38" s="843">
        <v>328.57</v>
      </c>
      <c r="E38" s="755"/>
      <c r="F38" s="755"/>
      <c r="G38" s="756"/>
      <c r="H38" s="751">
        <f t="shared" si="0"/>
        <v>328.57</v>
      </c>
    </row>
    <row r="39" spans="1:12" hidden="1" x14ac:dyDescent="0.2">
      <c r="A39" s="423">
        <v>51702</v>
      </c>
      <c r="B39" s="451" t="s">
        <v>157</v>
      </c>
      <c r="C39" s="748"/>
      <c r="D39" s="841"/>
      <c r="E39" s="755"/>
      <c r="F39" s="755"/>
      <c r="G39" s="756"/>
      <c r="H39" s="751">
        <f t="shared" si="0"/>
        <v>0</v>
      </c>
    </row>
    <row r="40" spans="1:12" hidden="1" x14ac:dyDescent="0.2">
      <c r="A40" s="463">
        <v>518</v>
      </c>
      <c r="B40" s="453" t="s">
        <v>158</v>
      </c>
      <c r="C40" s="754">
        <f>SUM(C41:C41)</f>
        <v>0</v>
      </c>
      <c r="D40" s="842">
        <f>SUM(D41:D41)</f>
        <v>0</v>
      </c>
      <c r="E40" s="755"/>
      <c r="F40" s="755"/>
      <c r="G40" s="756"/>
      <c r="H40" s="751">
        <f t="shared" si="0"/>
        <v>0</v>
      </c>
    </row>
    <row r="41" spans="1:12" hidden="1" x14ac:dyDescent="0.2">
      <c r="A41" s="423">
        <v>51803</v>
      </c>
      <c r="B41" s="451" t="s">
        <v>159</v>
      </c>
      <c r="C41" s="748"/>
      <c r="D41" s="841"/>
      <c r="E41" s="755"/>
      <c r="F41" s="755"/>
      <c r="G41" s="756"/>
      <c r="H41" s="751">
        <f t="shared" si="0"/>
        <v>0</v>
      </c>
    </row>
    <row r="42" spans="1:12" x14ac:dyDescent="0.2">
      <c r="A42" s="463">
        <v>519</v>
      </c>
      <c r="B42" s="454" t="s">
        <v>160</v>
      </c>
      <c r="C42" s="754">
        <f>SUM(C43:C44)</f>
        <v>3600</v>
      </c>
      <c r="D42" s="842">
        <f>SUM(D43:D44)</f>
        <v>3600</v>
      </c>
      <c r="E42" s="755"/>
      <c r="F42" s="755"/>
      <c r="G42" s="756"/>
      <c r="H42" s="757">
        <f>SUM(C42:G42)</f>
        <v>7200</v>
      </c>
    </row>
    <row r="43" spans="1:12" x14ac:dyDescent="0.2">
      <c r="A43" s="423">
        <v>51901</v>
      </c>
      <c r="B43" s="451" t="s">
        <v>161</v>
      </c>
      <c r="C43" s="748">
        <f>'PLLA MUNICIPAL HONORARIOS'!L7/2</f>
        <v>3600</v>
      </c>
      <c r="D43" s="843">
        <f>'PLLA MUNICIPAL HONORARIOS'!L7/2</f>
        <v>3600</v>
      </c>
      <c r="E43" s="755"/>
      <c r="F43" s="755"/>
      <c r="G43" s="756"/>
      <c r="H43" s="751">
        <f t="shared" si="0"/>
        <v>7200</v>
      </c>
    </row>
    <row r="44" spans="1:12" hidden="1" x14ac:dyDescent="0.2">
      <c r="A44" s="423">
        <v>51999</v>
      </c>
      <c r="B44" s="451" t="s">
        <v>160</v>
      </c>
      <c r="C44" s="748">
        <v>0</v>
      </c>
      <c r="D44" s="841">
        <v>0</v>
      </c>
      <c r="E44" s="755"/>
      <c r="F44" s="755"/>
      <c r="G44" s="756"/>
      <c r="H44" s="751">
        <f t="shared" ref="H44:H77" si="1">SUM(C44:G44)</f>
        <v>0</v>
      </c>
    </row>
    <row r="45" spans="1:12" x14ac:dyDescent="0.2">
      <c r="A45" s="423"/>
      <c r="B45" s="451"/>
      <c r="C45" s="748"/>
      <c r="D45" s="841"/>
      <c r="E45" s="755"/>
      <c r="F45" s="755"/>
      <c r="G45" s="756"/>
      <c r="H45" s="751"/>
    </row>
    <row r="46" spans="1:12" x14ac:dyDescent="0.2">
      <c r="A46" s="463">
        <v>54</v>
      </c>
      <c r="B46" s="455" t="s">
        <v>27</v>
      </c>
      <c r="C46" s="559">
        <f>C47+C66+C72+C88+C93</f>
        <v>172457.43</v>
      </c>
      <c r="D46" s="844">
        <f>D47+D66+D72+D88+D93</f>
        <v>90163.839999999997</v>
      </c>
      <c r="E46" s="9"/>
      <c r="F46" s="9"/>
      <c r="G46" s="430"/>
      <c r="H46" s="441">
        <f>SUM(C46:G46)</f>
        <v>262621.27</v>
      </c>
    </row>
    <row r="47" spans="1:12" x14ac:dyDescent="0.2">
      <c r="A47" s="463">
        <v>541</v>
      </c>
      <c r="B47" s="455" t="s">
        <v>28</v>
      </c>
      <c r="C47" s="559">
        <f>SUM(C48:C65)</f>
        <v>23996</v>
      </c>
      <c r="D47" s="844">
        <f>SUM(D48:D65)</f>
        <v>13550</v>
      </c>
      <c r="E47" s="9"/>
      <c r="F47" s="9"/>
      <c r="G47" s="430"/>
      <c r="H47" s="441">
        <f t="shared" si="1"/>
        <v>37546</v>
      </c>
      <c r="I47" s="6"/>
    </row>
    <row r="48" spans="1:12" x14ac:dyDescent="0.2">
      <c r="A48" s="423">
        <v>54101</v>
      </c>
      <c r="B48" s="418" t="s">
        <v>29</v>
      </c>
      <c r="C48" s="560">
        <f>'egresos 25% y F.P'!G13</f>
        <v>200</v>
      </c>
      <c r="D48" s="845">
        <f>'egresos 25% y F.P'!G122</f>
        <v>1500</v>
      </c>
      <c r="E48" s="9"/>
      <c r="F48" s="9"/>
      <c r="G48" s="430"/>
      <c r="H48" s="440">
        <f t="shared" si="1"/>
        <v>1700</v>
      </c>
    </row>
    <row r="49" spans="1:8" x14ac:dyDescent="0.2">
      <c r="A49" s="423">
        <v>54104</v>
      </c>
      <c r="B49" s="418" t="s">
        <v>31</v>
      </c>
      <c r="C49" s="560">
        <f>'egresos 25% y F.P'!G15</f>
        <v>2500</v>
      </c>
      <c r="D49" s="845">
        <f>'egresos 25% y F.P'!G124</f>
        <v>50</v>
      </c>
      <c r="E49" s="9"/>
      <c r="F49" s="9"/>
      <c r="G49" s="430"/>
      <c r="H49" s="440">
        <f t="shared" si="1"/>
        <v>2550</v>
      </c>
    </row>
    <row r="50" spans="1:8" x14ac:dyDescent="0.2">
      <c r="A50" s="423">
        <v>54105</v>
      </c>
      <c r="B50" s="418" t="s">
        <v>32</v>
      </c>
      <c r="C50" s="560">
        <f>'egresos 25% y F.P'!G16</f>
        <v>3800</v>
      </c>
      <c r="D50" s="845">
        <f>'egresos 25% y F.P'!G125</f>
        <v>450</v>
      </c>
      <c r="E50" s="9"/>
      <c r="F50" s="9"/>
      <c r="G50" s="430"/>
      <c r="H50" s="440">
        <f t="shared" si="1"/>
        <v>4250</v>
      </c>
    </row>
    <row r="51" spans="1:8" x14ac:dyDescent="0.2">
      <c r="A51" s="423">
        <v>54106</v>
      </c>
      <c r="B51" s="765" t="s">
        <v>655</v>
      </c>
      <c r="C51" s="560">
        <v>0</v>
      </c>
      <c r="D51" s="845">
        <f>'egresos 25% y F.P'!G126</f>
        <v>0</v>
      </c>
      <c r="E51" s="9"/>
      <c r="F51" s="9"/>
      <c r="G51" s="430"/>
      <c r="H51" s="440">
        <f t="shared" si="1"/>
        <v>0</v>
      </c>
    </row>
    <row r="52" spans="1:8" x14ac:dyDescent="0.2">
      <c r="A52" s="423">
        <v>54107</v>
      </c>
      <c r="B52" s="418" t="s">
        <v>34</v>
      </c>
      <c r="C52" s="560">
        <f>'egresos 25% y F.P'!G18</f>
        <v>500</v>
      </c>
      <c r="D52" s="845">
        <f>'egresos 25% y F.P'!G127</f>
        <v>1200</v>
      </c>
      <c r="E52" s="10"/>
      <c r="F52" s="10"/>
      <c r="G52" s="431"/>
      <c r="H52" s="440">
        <f t="shared" si="1"/>
        <v>1700</v>
      </c>
    </row>
    <row r="53" spans="1:8" hidden="1" x14ac:dyDescent="0.2">
      <c r="A53" s="423">
        <v>54108</v>
      </c>
      <c r="B53" s="418" t="s">
        <v>35</v>
      </c>
      <c r="C53" s="560">
        <v>0</v>
      </c>
      <c r="D53" s="845">
        <v>0</v>
      </c>
      <c r="E53" s="9"/>
      <c r="F53" s="9"/>
      <c r="G53" s="430"/>
      <c r="H53" s="440">
        <f t="shared" si="1"/>
        <v>0</v>
      </c>
    </row>
    <row r="54" spans="1:8" x14ac:dyDescent="0.2">
      <c r="A54" s="423">
        <v>54109</v>
      </c>
      <c r="B54" s="418" t="s">
        <v>36</v>
      </c>
      <c r="C54" s="560">
        <f>'egresos 25% y F.P'!G20</f>
        <v>2096</v>
      </c>
      <c r="D54" s="845">
        <f>'egresos 25% y F.P'!G129</f>
        <v>1000</v>
      </c>
      <c r="E54" s="9"/>
      <c r="F54" s="9"/>
      <c r="G54" s="430"/>
      <c r="H54" s="440">
        <f t="shared" si="1"/>
        <v>3096</v>
      </c>
    </row>
    <row r="55" spans="1:8" x14ac:dyDescent="0.2">
      <c r="A55" s="423">
        <v>54110</v>
      </c>
      <c r="B55" s="418" t="s">
        <v>37</v>
      </c>
      <c r="C55" s="560">
        <f>'egresos 25% y F.P'!G21</f>
        <v>4300</v>
      </c>
      <c r="D55" s="845">
        <f>'egresos 25% y F.P'!G130</f>
        <v>4200</v>
      </c>
      <c r="E55" s="9"/>
      <c r="F55" s="9"/>
      <c r="G55" s="430"/>
      <c r="H55" s="440">
        <f t="shared" si="1"/>
        <v>8500</v>
      </c>
    </row>
    <row r="56" spans="1:8" x14ac:dyDescent="0.2">
      <c r="A56" s="423">
        <v>54111</v>
      </c>
      <c r="B56" s="418" t="s">
        <v>38</v>
      </c>
      <c r="C56" s="560">
        <f>'egresos 25% y F.P'!G22</f>
        <v>0</v>
      </c>
      <c r="D56" s="845">
        <f>'egresos 25% y F.P'!G131</f>
        <v>50</v>
      </c>
      <c r="E56" s="9"/>
      <c r="F56" s="9"/>
      <c r="G56" s="430"/>
      <c r="H56" s="440">
        <f t="shared" si="1"/>
        <v>50</v>
      </c>
    </row>
    <row r="57" spans="1:8" x14ac:dyDescent="0.2">
      <c r="A57" s="423">
        <v>54112</v>
      </c>
      <c r="B57" s="418" t="s">
        <v>39</v>
      </c>
      <c r="C57" s="560">
        <f>'egresos 25% y F.P'!G23</f>
        <v>0</v>
      </c>
      <c r="D57" s="845">
        <f>'egresos 25% y F.P'!G132</f>
        <v>50</v>
      </c>
      <c r="E57" s="10"/>
      <c r="F57" s="10"/>
      <c r="G57" s="431"/>
      <c r="H57" s="440">
        <f t="shared" si="1"/>
        <v>50</v>
      </c>
    </row>
    <row r="58" spans="1:8" x14ac:dyDescent="0.2">
      <c r="A58" s="423">
        <v>54114</v>
      </c>
      <c r="B58" s="418" t="s">
        <v>40</v>
      </c>
      <c r="C58" s="560">
        <f>'egresos 25% y F.P'!G24</f>
        <v>1100</v>
      </c>
      <c r="D58" s="845">
        <f>'egresos 25% y F.P'!G133</f>
        <v>750</v>
      </c>
      <c r="E58" s="9"/>
      <c r="F58" s="9"/>
      <c r="G58" s="430"/>
      <c r="H58" s="440">
        <f t="shared" si="1"/>
        <v>1850</v>
      </c>
    </row>
    <row r="59" spans="1:8" x14ac:dyDescent="0.2">
      <c r="A59" s="423">
        <v>54115</v>
      </c>
      <c r="B59" s="418" t="s">
        <v>41</v>
      </c>
      <c r="C59" s="560">
        <f>'egresos 25% y F.P'!G25</f>
        <v>2100</v>
      </c>
      <c r="D59" s="845">
        <f>'egresos 25% y F.P'!G134</f>
        <v>350</v>
      </c>
      <c r="E59" s="9"/>
      <c r="F59" s="9"/>
      <c r="G59" s="430"/>
      <c r="H59" s="440">
        <f t="shared" si="1"/>
        <v>2450</v>
      </c>
    </row>
    <row r="60" spans="1:8" ht="22.5" hidden="1" x14ac:dyDescent="0.2">
      <c r="A60" s="423">
        <v>54116</v>
      </c>
      <c r="B60" s="456" t="s">
        <v>42</v>
      </c>
      <c r="C60" s="560">
        <f>'egresos 25% y F.P'!G26</f>
        <v>100</v>
      </c>
      <c r="D60" s="845">
        <f>'egresos 25% y F.P'!G135</f>
        <v>250</v>
      </c>
      <c r="E60" s="9"/>
      <c r="F60" s="9"/>
      <c r="G60" s="430"/>
      <c r="H60" s="440">
        <f t="shared" si="1"/>
        <v>350</v>
      </c>
    </row>
    <row r="61" spans="1:8" ht="22.5" hidden="1" x14ac:dyDescent="0.2">
      <c r="A61" s="423">
        <v>54117</v>
      </c>
      <c r="B61" s="456" t="s">
        <v>43</v>
      </c>
      <c r="C61" s="560"/>
      <c r="D61" s="845"/>
      <c r="E61" s="9"/>
      <c r="F61" s="9"/>
      <c r="G61" s="430"/>
      <c r="H61" s="440">
        <f t="shared" si="1"/>
        <v>0</v>
      </c>
    </row>
    <row r="62" spans="1:8" x14ac:dyDescent="0.2">
      <c r="A62" s="423">
        <v>54118</v>
      </c>
      <c r="B62" s="418" t="s">
        <v>44</v>
      </c>
      <c r="C62" s="560">
        <f>'egresos 25% y F.P'!G28</f>
        <v>1100</v>
      </c>
      <c r="D62" s="845">
        <f>'egresos 25% y F.P'!G137</f>
        <v>1550</v>
      </c>
      <c r="E62" s="9"/>
      <c r="F62" s="9"/>
      <c r="G62" s="430"/>
      <c r="H62" s="440">
        <f t="shared" si="1"/>
        <v>2650</v>
      </c>
    </row>
    <row r="63" spans="1:8" x14ac:dyDescent="0.2">
      <c r="A63" s="423">
        <v>54119</v>
      </c>
      <c r="B63" s="418" t="s">
        <v>45</v>
      </c>
      <c r="C63" s="560">
        <f>'egresos 25% y F.P'!G29</f>
        <v>400</v>
      </c>
      <c r="D63" s="845">
        <f>'egresos 25% y F.P'!G138</f>
        <v>50</v>
      </c>
      <c r="E63" s="9"/>
      <c r="F63" s="9"/>
      <c r="G63" s="430"/>
      <c r="H63" s="440">
        <f t="shared" si="1"/>
        <v>450</v>
      </c>
    </row>
    <row r="64" spans="1:8" x14ac:dyDescent="0.2">
      <c r="A64" s="423">
        <v>54121</v>
      </c>
      <c r="B64" s="418" t="s">
        <v>46</v>
      </c>
      <c r="C64" s="560">
        <f>'egresos 25% y F.P'!G30</f>
        <v>4000</v>
      </c>
      <c r="D64" s="845">
        <v>0</v>
      </c>
      <c r="E64" s="9"/>
      <c r="F64" s="9"/>
      <c r="G64" s="430"/>
      <c r="H64" s="440">
        <f t="shared" si="1"/>
        <v>4000</v>
      </c>
    </row>
    <row r="65" spans="1:8" x14ac:dyDescent="0.2">
      <c r="A65" s="423">
        <v>54199</v>
      </c>
      <c r="B65" s="418" t="s">
        <v>47</v>
      </c>
      <c r="C65" s="560">
        <f>'egresos 25% y F.P'!G31</f>
        <v>1800</v>
      </c>
      <c r="D65" s="845">
        <f>'egresos 25% y F.P'!G140</f>
        <v>2100</v>
      </c>
      <c r="E65" s="9"/>
      <c r="F65" s="9"/>
      <c r="G65" s="430"/>
      <c r="H65" s="440">
        <f t="shared" si="1"/>
        <v>3900</v>
      </c>
    </row>
    <row r="66" spans="1:8" x14ac:dyDescent="0.2">
      <c r="A66" s="463">
        <v>542</v>
      </c>
      <c r="B66" s="455" t="s">
        <v>48</v>
      </c>
      <c r="C66" s="559">
        <f>SUM(C67:C71)</f>
        <v>140781.43</v>
      </c>
      <c r="D66" s="844">
        <f>SUM(D67:D71)</f>
        <v>62563.840000000004</v>
      </c>
      <c r="E66" s="9"/>
      <c r="F66" s="9"/>
      <c r="G66" s="430"/>
      <c r="H66" s="441">
        <f t="shared" si="1"/>
        <v>203345.27</v>
      </c>
    </row>
    <row r="67" spans="1:8" x14ac:dyDescent="0.2">
      <c r="A67" s="423">
        <v>54201</v>
      </c>
      <c r="B67" s="418" t="s">
        <v>49</v>
      </c>
      <c r="C67" s="560">
        <f>'egresos 25% y F.P'!G33</f>
        <v>116981.43</v>
      </c>
      <c r="D67" s="845">
        <f>'egresos 25% y F.P'!G142</f>
        <v>54963.840000000004</v>
      </c>
      <c r="E67" s="9"/>
      <c r="F67" s="9"/>
      <c r="G67" s="430"/>
      <c r="H67" s="440">
        <f t="shared" si="1"/>
        <v>171945.27</v>
      </c>
    </row>
    <row r="68" spans="1:8" x14ac:dyDescent="0.2">
      <c r="A68" s="423">
        <v>54202</v>
      </c>
      <c r="B68" s="418" t="s">
        <v>50</v>
      </c>
      <c r="C68" s="560">
        <f>'egresos 25% y F.P'!G34</f>
        <v>1500</v>
      </c>
      <c r="D68" s="845">
        <f>'egresos 25% y F.P'!G143</f>
        <v>400</v>
      </c>
      <c r="E68" s="9"/>
      <c r="F68" s="9"/>
      <c r="G68" s="430"/>
      <c r="H68" s="440">
        <f t="shared" si="1"/>
        <v>1900</v>
      </c>
    </row>
    <row r="69" spans="1:8" x14ac:dyDescent="0.2">
      <c r="A69" s="423">
        <v>54203</v>
      </c>
      <c r="B69" s="418" t="s">
        <v>51</v>
      </c>
      <c r="C69" s="560">
        <f>'egresos 25% y F.P'!G35</f>
        <v>7300</v>
      </c>
      <c r="D69" s="845">
        <f>'egresos 25% y F.P'!G144</f>
        <v>3700</v>
      </c>
      <c r="E69" s="9"/>
      <c r="F69" s="9"/>
      <c r="G69" s="430"/>
      <c r="H69" s="440">
        <f t="shared" si="1"/>
        <v>11000</v>
      </c>
    </row>
    <row r="70" spans="1:8" hidden="1" x14ac:dyDescent="0.2">
      <c r="A70" s="423">
        <v>54204</v>
      </c>
      <c r="B70" s="418" t="s">
        <v>52</v>
      </c>
      <c r="C70" s="560"/>
      <c r="D70" s="845"/>
      <c r="E70" s="9"/>
      <c r="F70" s="9"/>
      <c r="G70" s="430"/>
      <c r="H70" s="440">
        <f t="shared" si="1"/>
        <v>0</v>
      </c>
    </row>
    <row r="71" spans="1:8" x14ac:dyDescent="0.2">
      <c r="A71" s="423">
        <v>54205</v>
      </c>
      <c r="B71" s="418" t="s">
        <v>53</v>
      </c>
      <c r="C71" s="560">
        <f>'egresos 25% y F.P'!G37</f>
        <v>15000</v>
      </c>
      <c r="D71" s="845">
        <f>'egresos 25% y F.P'!G146</f>
        <v>3500</v>
      </c>
      <c r="E71" s="10"/>
      <c r="F71" s="10"/>
      <c r="G71" s="431"/>
      <c r="H71" s="440">
        <f t="shared" si="1"/>
        <v>18500</v>
      </c>
    </row>
    <row r="72" spans="1:8" x14ac:dyDescent="0.2">
      <c r="A72" s="465">
        <v>543</v>
      </c>
      <c r="B72" s="457" t="s">
        <v>54</v>
      </c>
      <c r="C72" s="561">
        <f>SUM(C73:C87)</f>
        <v>7580</v>
      </c>
      <c r="D72" s="846">
        <f>D73+D74+D76+D77+D84+D86+D87</f>
        <v>13100</v>
      </c>
      <c r="E72" s="318"/>
      <c r="F72" s="318"/>
      <c r="G72" s="432"/>
      <c r="H72" s="442">
        <f t="shared" si="1"/>
        <v>20680</v>
      </c>
    </row>
    <row r="73" spans="1:8" ht="22.5" x14ac:dyDescent="0.2">
      <c r="A73" s="775">
        <v>54301</v>
      </c>
      <c r="B73" s="456" t="s">
        <v>55</v>
      </c>
      <c r="C73" s="771">
        <f>'egresos 25% y F.P'!G39</f>
        <v>1100</v>
      </c>
      <c r="D73" s="847">
        <f>'egresos 25% y F.P'!G148</f>
        <v>1000</v>
      </c>
      <c r="E73" s="772"/>
      <c r="F73" s="772"/>
      <c r="G73" s="773"/>
      <c r="H73" s="774">
        <f t="shared" si="1"/>
        <v>2100</v>
      </c>
    </row>
    <row r="74" spans="1:8" ht="22.5" x14ac:dyDescent="0.2">
      <c r="A74" s="775">
        <v>54302</v>
      </c>
      <c r="B74" s="456" t="s">
        <v>56</v>
      </c>
      <c r="C74" s="771">
        <f>'egresos 25% y F.P'!G40</f>
        <v>5000</v>
      </c>
      <c r="D74" s="847">
        <f>'egresos 25% y F.P'!G149</f>
        <v>1000</v>
      </c>
      <c r="E74" s="772"/>
      <c r="F74" s="772"/>
      <c r="G74" s="773"/>
      <c r="H74" s="774">
        <f t="shared" si="1"/>
        <v>6000</v>
      </c>
    </row>
    <row r="75" spans="1:8" ht="22.5" hidden="1" x14ac:dyDescent="0.2">
      <c r="A75" s="423">
        <v>54303</v>
      </c>
      <c r="B75" s="456" t="s">
        <v>57</v>
      </c>
      <c r="C75" s="560">
        <f>'egresos 25% y F.P'!G41</f>
        <v>0</v>
      </c>
      <c r="D75" s="845">
        <f>'egresos 25% y F.P'!G150</f>
        <v>0</v>
      </c>
      <c r="E75" s="9"/>
      <c r="F75" s="9"/>
      <c r="G75" s="430"/>
      <c r="H75" s="440">
        <f t="shared" si="1"/>
        <v>0</v>
      </c>
    </row>
    <row r="76" spans="1:8" x14ac:dyDescent="0.2">
      <c r="A76" s="423">
        <v>54304</v>
      </c>
      <c r="B76" s="418" t="s">
        <v>58</v>
      </c>
      <c r="C76" s="560">
        <f>'egresos 25% y F.P'!G42</f>
        <v>0</v>
      </c>
      <c r="D76" s="845">
        <f>'egresos 25% y F.P'!G151</f>
        <v>2000</v>
      </c>
      <c r="E76" s="9"/>
      <c r="F76" s="9"/>
      <c r="G76" s="430"/>
      <c r="H76" s="440">
        <f t="shared" si="1"/>
        <v>2000</v>
      </c>
    </row>
    <row r="77" spans="1:8" x14ac:dyDescent="0.2">
      <c r="A77" s="423">
        <v>54305</v>
      </c>
      <c r="B77" s="418" t="s">
        <v>59</v>
      </c>
      <c r="C77" s="560">
        <f>'egresos 25% y F.P'!G43</f>
        <v>0</v>
      </c>
      <c r="D77" s="845">
        <f>'egresos 25% y F.P'!G152</f>
        <v>100</v>
      </c>
      <c r="E77" s="9"/>
      <c r="F77" s="9"/>
      <c r="G77" s="430"/>
      <c r="H77" s="440">
        <f t="shared" si="1"/>
        <v>100</v>
      </c>
    </row>
    <row r="78" spans="1:8" hidden="1" x14ac:dyDescent="0.2">
      <c r="A78" s="423">
        <v>54306</v>
      </c>
      <c r="B78" s="418" t="s">
        <v>60</v>
      </c>
      <c r="C78" s="560"/>
      <c r="D78" s="845"/>
      <c r="E78" s="9"/>
      <c r="F78" s="9"/>
      <c r="G78" s="430"/>
      <c r="H78" s="440">
        <f t="shared" ref="H78:H83" si="2">SUM(C78:G78)</f>
        <v>0</v>
      </c>
    </row>
    <row r="79" spans="1:8" x14ac:dyDescent="0.2">
      <c r="A79" s="423">
        <v>54307</v>
      </c>
      <c r="B79" s="418" t="s">
        <v>61</v>
      </c>
      <c r="C79" s="560">
        <f>'egresos 25% y F.P'!G45</f>
        <v>1280</v>
      </c>
      <c r="D79" s="845">
        <f>'egresos 25% y F.P'!G159</f>
        <v>0</v>
      </c>
      <c r="E79" s="10"/>
      <c r="F79" s="10"/>
      <c r="G79" s="431"/>
      <c r="H79" s="440">
        <f t="shared" si="2"/>
        <v>1280</v>
      </c>
    </row>
    <row r="80" spans="1:8" hidden="1" x14ac:dyDescent="0.2">
      <c r="A80" s="423">
        <v>54309</v>
      </c>
      <c r="B80" s="418" t="s">
        <v>62</v>
      </c>
      <c r="C80" s="560"/>
      <c r="D80" s="845">
        <f>'egresos 25% y F.P'!G155</f>
        <v>0</v>
      </c>
      <c r="E80" s="10"/>
      <c r="F80" s="10"/>
      <c r="G80" s="431"/>
      <c r="H80" s="440">
        <f t="shared" si="2"/>
        <v>0</v>
      </c>
    </row>
    <row r="81" spans="1:8" hidden="1" x14ac:dyDescent="0.2">
      <c r="A81" s="423">
        <v>54310</v>
      </c>
      <c r="B81" s="418" t="s">
        <v>63</v>
      </c>
      <c r="C81" s="560"/>
      <c r="D81" s="845">
        <f>'egresos 25% y F.P'!G156</f>
        <v>0</v>
      </c>
      <c r="E81" s="9"/>
      <c r="F81" s="9"/>
      <c r="G81" s="430"/>
      <c r="H81" s="440">
        <f t="shared" si="2"/>
        <v>0</v>
      </c>
    </row>
    <row r="82" spans="1:8" hidden="1" x14ac:dyDescent="0.2">
      <c r="A82" s="423">
        <v>54311</v>
      </c>
      <c r="B82" s="418" t="s">
        <v>64</v>
      </c>
      <c r="C82" s="560"/>
      <c r="D82" s="845">
        <f>'egresos 25% y F.P'!G157</f>
        <v>0</v>
      </c>
      <c r="E82" s="9"/>
      <c r="F82" s="9"/>
      <c r="G82" s="430"/>
      <c r="H82" s="440">
        <f t="shared" si="2"/>
        <v>0</v>
      </c>
    </row>
    <row r="83" spans="1:8" ht="22.5" hidden="1" x14ac:dyDescent="0.2">
      <c r="A83" s="423">
        <v>54313</v>
      </c>
      <c r="B83" s="456" t="s">
        <v>65</v>
      </c>
      <c r="C83" s="560"/>
      <c r="D83" s="845">
        <f>'egresos 25% y F.P'!G158</f>
        <v>50</v>
      </c>
      <c r="E83" s="10"/>
      <c r="F83" s="10"/>
      <c r="G83" s="431"/>
      <c r="H83" s="440">
        <f t="shared" si="2"/>
        <v>50</v>
      </c>
    </row>
    <row r="84" spans="1:8" x14ac:dyDescent="0.2">
      <c r="A84" s="423">
        <v>54314</v>
      </c>
      <c r="B84" s="418" t="s">
        <v>66</v>
      </c>
      <c r="C84" s="560">
        <f>'egresos 25% y F.P'!G50</f>
        <v>0</v>
      </c>
      <c r="D84" s="845">
        <f>'egresos 25% y F.P'!G160</f>
        <v>3500</v>
      </c>
      <c r="E84" s="9"/>
      <c r="F84" s="9"/>
      <c r="G84" s="430"/>
      <c r="H84" s="440">
        <f>+C84+D84</f>
        <v>3500</v>
      </c>
    </row>
    <row r="85" spans="1:8" hidden="1" x14ac:dyDescent="0.2">
      <c r="A85" s="423">
        <v>54316</v>
      </c>
      <c r="B85" s="418" t="s">
        <v>67</v>
      </c>
      <c r="C85" s="560">
        <f>'egresos 25% y F.P'!G51</f>
        <v>0</v>
      </c>
      <c r="D85" s="845"/>
      <c r="E85" s="9"/>
      <c r="F85" s="9"/>
      <c r="G85" s="430"/>
      <c r="H85" s="440">
        <f t="shared" ref="H85:H106" si="3">SUM(C85:G85)</f>
        <v>0</v>
      </c>
    </row>
    <row r="86" spans="1:8" x14ac:dyDescent="0.2">
      <c r="A86" s="423">
        <v>54317</v>
      </c>
      <c r="B86" s="418" t="s">
        <v>68</v>
      </c>
      <c r="C86" s="560">
        <f>'egresos 25% y F.P'!G52</f>
        <v>0</v>
      </c>
      <c r="D86" s="845">
        <f>'egresos 25% y F.P'!F162</f>
        <v>4500</v>
      </c>
      <c r="E86" s="10"/>
      <c r="F86" s="10"/>
      <c r="G86" s="431"/>
      <c r="H86" s="440">
        <f t="shared" si="3"/>
        <v>4500</v>
      </c>
    </row>
    <row r="87" spans="1:8" ht="22.5" x14ac:dyDescent="0.2">
      <c r="A87" s="423">
        <v>54399</v>
      </c>
      <c r="B87" s="456" t="s">
        <v>69</v>
      </c>
      <c r="C87" s="560">
        <f>'egresos 25% y F.P'!G53</f>
        <v>200</v>
      </c>
      <c r="D87" s="845">
        <f>'egresos 25% y F.P'!G163</f>
        <v>1000</v>
      </c>
      <c r="E87" s="10"/>
      <c r="F87" s="10"/>
      <c r="G87" s="431"/>
      <c r="H87" s="440">
        <f t="shared" si="3"/>
        <v>1200</v>
      </c>
    </row>
    <row r="88" spans="1:8" x14ac:dyDescent="0.2">
      <c r="A88" s="463">
        <v>544</v>
      </c>
      <c r="B88" s="455" t="s">
        <v>70</v>
      </c>
      <c r="C88" s="559">
        <f>SUM(C89:C92)</f>
        <v>0</v>
      </c>
      <c r="D88" s="844">
        <f>SUM(D89:D92)</f>
        <v>800</v>
      </c>
      <c r="E88" s="9"/>
      <c r="F88" s="9"/>
      <c r="G88" s="430"/>
      <c r="H88" s="441">
        <f t="shared" si="3"/>
        <v>800</v>
      </c>
    </row>
    <row r="89" spans="1:8" x14ac:dyDescent="0.2">
      <c r="A89" s="423">
        <v>54401</v>
      </c>
      <c r="B89" s="418" t="s">
        <v>71</v>
      </c>
      <c r="C89" s="560">
        <f>'egresos 25% y F.P'!G55</f>
        <v>0</v>
      </c>
      <c r="D89" s="845">
        <f>'egresos 25% y F.P'!G165</f>
        <v>200</v>
      </c>
      <c r="E89" s="9"/>
      <c r="F89" s="9"/>
      <c r="G89" s="430"/>
      <c r="H89" s="440">
        <f t="shared" si="3"/>
        <v>200</v>
      </c>
    </row>
    <row r="90" spans="1:8" x14ac:dyDescent="0.2">
      <c r="A90" s="423">
        <v>54402</v>
      </c>
      <c r="B90" s="418" t="s">
        <v>72</v>
      </c>
      <c r="C90" s="560">
        <f>'egresos 25% y F.P'!G56</f>
        <v>0</v>
      </c>
      <c r="D90" s="845">
        <f>'egresos 25% y F.P'!G166</f>
        <v>0</v>
      </c>
      <c r="E90" s="9"/>
      <c r="F90" s="9"/>
      <c r="G90" s="430"/>
      <c r="H90" s="440">
        <f t="shared" si="3"/>
        <v>0</v>
      </c>
    </row>
    <row r="91" spans="1:8" x14ac:dyDescent="0.2">
      <c r="A91" s="423">
        <v>54403</v>
      </c>
      <c r="B91" s="418" t="s">
        <v>73</v>
      </c>
      <c r="C91" s="560">
        <f>'egresos 25% y F.P'!G57</f>
        <v>0</v>
      </c>
      <c r="D91" s="845">
        <f>'egresos 25% y F.P'!G167</f>
        <v>600</v>
      </c>
      <c r="E91" s="9"/>
      <c r="F91" s="9"/>
      <c r="G91" s="430"/>
      <c r="H91" s="440">
        <f t="shared" si="3"/>
        <v>600</v>
      </c>
    </row>
    <row r="92" spans="1:8" x14ac:dyDescent="0.2">
      <c r="A92" s="423">
        <v>54404</v>
      </c>
      <c r="B92" s="418" t="s">
        <v>74</v>
      </c>
      <c r="C92" s="560">
        <f>'egresos 25% y F.P'!G58</f>
        <v>0</v>
      </c>
      <c r="D92" s="845">
        <f>'egresos 25% y F.P'!G168</f>
        <v>0</v>
      </c>
      <c r="E92" s="9"/>
      <c r="F92" s="9"/>
      <c r="G92" s="430"/>
      <c r="H92" s="440">
        <f t="shared" si="3"/>
        <v>0</v>
      </c>
    </row>
    <row r="93" spans="1:8" ht="22.5" x14ac:dyDescent="0.2">
      <c r="A93" s="463">
        <v>545</v>
      </c>
      <c r="B93" s="453" t="s">
        <v>75</v>
      </c>
      <c r="C93" s="559">
        <f>SUM(C94:C100)</f>
        <v>100</v>
      </c>
      <c r="D93" s="844">
        <f>SUM(D94:D100)</f>
        <v>150</v>
      </c>
      <c r="E93" s="10"/>
      <c r="F93" s="10"/>
      <c r="G93" s="431"/>
      <c r="H93" s="441">
        <f t="shared" si="3"/>
        <v>250</v>
      </c>
    </row>
    <row r="94" spans="1:8" hidden="1" x14ac:dyDescent="0.2">
      <c r="A94" s="423">
        <v>54501</v>
      </c>
      <c r="B94" s="418" t="s">
        <v>76</v>
      </c>
      <c r="C94" s="560"/>
      <c r="D94" s="845"/>
      <c r="E94" s="10"/>
      <c r="F94" s="10"/>
      <c r="G94" s="431"/>
      <c r="H94" s="440">
        <f t="shared" si="3"/>
        <v>0</v>
      </c>
    </row>
    <row r="95" spans="1:8" x14ac:dyDescent="0.2">
      <c r="A95" s="423">
        <v>54503</v>
      </c>
      <c r="B95" s="418" t="s">
        <v>77</v>
      </c>
      <c r="C95" s="560">
        <f>+'egresos 25% y F.P'!C61</f>
        <v>100</v>
      </c>
      <c r="D95" s="845">
        <f>+'egresos 25% y F.P'!G171</f>
        <v>150</v>
      </c>
      <c r="E95" s="9"/>
      <c r="F95" s="9"/>
      <c r="G95" s="430"/>
      <c r="H95" s="440">
        <f t="shared" si="3"/>
        <v>250</v>
      </c>
    </row>
    <row r="96" spans="1:8" hidden="1" x14ac:dyDescent="0.2">
      <c r="A96" s="423">
        <v>54504</v>
      </c>
      <c r="B96" s="418" t="s">
        <v>78</v>
      </c>
      <c r="C96" s="560"/>
      <c r="D96" s="845"/>
      <c r="E96" s="9"/>
      <c r="F96" s="9"/>
      <c r="G96" s="430"/>
      <c r="H96" s="440">
        <f t="shared" si="3"/>
        <v>0</v>
      </c>
    </row>
    <row r="97" spans="1:11" hidden="1" x14ac:dyDescent="0.2">
      <c r="A97" s="423">
        <v>54505</v>
      </c>
      <c r="B97" s="418" t="s">
        <v>79</v>
      </c>
      <c r="C97" s="560"/>
      <c r="D97" s="845"/>
      <c r="E97" s="10"/>
      <c r="F97" s="10"/>
      <c r="G97" s="431"/>
      <c r="H97" s="440">
        <f t="shared" si="3"/>
        <v>0</v>
      </c>
    </row>
    <row r="98" spans="1:11" hidden="1" x14ac:dyDescent="0.2">
      <c r="A98" s="423">
        <v>54507</v>
      </c>
      <c r="B98" s="418" t="s">
        <v>80</v>
      </c>
      <c r="C98" s="560"/>
      <c r="D98" s="845"/>
      <c r="E98" s="10"/>
      <c r="F98" s="10"/>
      <c r="G98" s="431"/>
      <c r="H98" s="440">
        <f t="shared" si="3"/>
        <v>0</v>
      </c>
    </row>
    <row r="99" spans="1:11" hidden="1" x14ac:dyDescent="0.2">
      <c r="A99" s="423">
        <v>54508</v>
      </c>
      <c r="B99" s="418" t="s">
        <v>81</v>
      </c>
      <c r="C99" s="560"/>
      <c r="D99" s="845"/>
      <c r="E99" s="9"/>
      <c r="F99" s="9"/>
      <c r="G99" s="430"/>
      <c r="H99" s="440">
        <f t="shared" si="3"/>
        <v>0</v>
      </c>
    </row>
    <row r="100" spans="1:11" ht="22.5" hidden="1" x14ac:dyDescent="0.2">
      <c r="A100" s="423">
        <v>54599</v>
      </c>
      <c r="B100" s="456" t="s">
        <v>82</v>
      </c>
      <c r="C100" s="560"/>
      <c r="D100" s="845"/>
      <c r="E100" s="16"/>
      <c r="F100" s="16"/>
      <c r="G100" s="433"/>
      <c r="H100" s="440">
        <f t="shared" si="3"/>
        <v>0</v>
      </c>
    </row>
    <row r="101" spans="1:11" x14ac:dyDescent="0.2">
      <c r="A101" s="423"/>
      <c r="B101" s="456"/>
      <c r="C101" s="563"/>
      <c r="D101" s="845"/>
      <c r="E101" s="16"/>
      <c r="F101" s="16"/>
      <c r="G101" s="433"/>
      <c r="H101" s="440"/>
    </row>
    <row r="102" spans="1:11" x14ac:dyDescent="0.2">
      <c r="A102" s="463">
        <v>55</v>
      </c>
      <c r="B102" s="455" t="s">
        <v>83</v>
      </c>
      <c r="C102" s="562">
        <f>C109+C107</f>
        <v>3662.0899999999997</v>
      </c>
      <c r="D102" s="844">
        <f>D109+D107</f>
        <v>100</v>
      </c>
      <c r="E102" s="11"/>
      <c r="F102" s="11"/>
      <c r="G102" s="434"/>
      <c r="H102" s="441">
        <f t="shared" si="3"/>
        <v>3762.0899999999997</v>
      </c>
    </row>
    <row r="103" spans="1:11" ht="22.5" hidden="1" x14ac:dyDescent="0.2">
      <c r="A103" s="463">
        <v>553</v>
      </c>
      <c r="B103" s="453" t="s">
        <v>84</v>
      </c>
      <c r="C103" s="562">
        <f>SUM(C104:C106)</f>
        <v>0</v>
      </c>
      <c r="D103" s="844">
        <f>SUM(D104:D106)</f>
        <v>0</v>
      </c>
      <c r="E103" s="11"/>
      <c r="F103" s="11"/>
      <c r="G103" s="434"/>
      <c r="H103" s="441">
        <f t="shared" si="3"/>
        <v>0</v>
      </c>
    </row>
    <row r="104" spans="1:11" hidden="1" x14ac:dyDescent="0.2">
      <c r="A104" s="423">
        <v>55303</v>
      </c>
      <c r="B104" s="418" t="s">
        <v>85</v>
      </c>
      <c r="C104" s="563"/>
      <c r="D104" s="845"/>
      <c r="E104" s="11"/>
      <c r="F104" s="11"/>
      <c r="G104" s="434"/>
      <c r="H104" s="440">
        <f t="shared" si="3"/>
        <v>0</v>
      </c>
    </row>
    <row r="105" spans="1:11" hidden="1" x14ac:dyDescent="0.2">
      <c r="A105" s="423">
        <v>55304</v>
      </c>
      <c r="B105" s="418" t="s">
        <v>86</v>
      </c>
      <c r="C105" s="563"/>
      <c r="D105" s="845"/>
      <c r="E105" s="11"/>
      <c r="F105" s="11"/>
      <c r="G105" s="434"/>
      <c r="H105" s="440">
        <f t="shared" si="3"/>
        <v>0</v>
      </c>
    </row>
    <row r="106" spans="1:11" hidden="1" x14ac:dyDescent="0.2">
      <c r="A106" s="423">
        <v>55308</v>
      </c>
      <c r="B106" s="418" t="s">
        <v>87</v>
      </c>
      <c r="C106" s="563"/>
      <c r="D106" s="845"/>
      <c r="E106" s="11"/>
      <c r="F106" s="11"/>
      <c r="G106" s="434"/>
      <c r="H106" s="440">
        <f t="shared" si="3"/>
        <v>0</v>
      </c>
    </row>
    <row r="107" spans="1:11" s="298" customFormat="1" x14ac:dyDescent="0.2">
      <c r="A107" s="463">
        <v>555</v>
      </c>
      <c r="B107" s="455" t="s">
        <v>494</v>
      </c>
      <c r="C107" s="562">
        <f>C108</f>
        <v>148.87</v>
      </c>
      <c r="D107" s="844">
        <f>D108</f>
        <v>0</v>
      </c>
      <c r="E107" s="11">
        <f>E108</f>
        <v>0</v>
      </c>
      <c r="F107" s="11">
        <f>F108</f>
        <v>0</v>
      </c>
      <c r="G107" s="434">
        <f>+C107+D107+E107+F107</f>
        <v>148.87</v>
      </c>
      <c r="H107" s="441">
        <f>SUM(C107:C107)</f>
        <v>148.87</v>
      </c>
      <c r="I107" s="656"/>
      <c r="J107" s="656"/>
      <c r="K107" s="656"/>
    </row>
    <row r="108" spans="1:11" customFormat="1" x14ac:dyDescent="0.2">
      <c r="A108" s="423">
        <v>55508</v>
      </c>
      <c r="B108" s="418" t="s">
        <v>340</v>
      </c>
      <c r="C108" s="560">
        <f>+'egresos 25% y F.P'!G74</f>
        <v>148.87</v>
      </c>
      <c r="D108" s="848">
        <f>+'egresos 25% y F.P'!G184</f>
        <v>0</v>
      </c>
      <c r="E108" s="11"/>
      <c r="F108" s="11"/>
      <c r="G108" s="434">
        <f>+C108+D108+E108+F108</f>
        <v>148.87</v>
      </c>
      <c r="H108" s="440">
        <f>SUM(C108:C108)</f>
        <v>148.87</v>
      </c>
      <c r="I108" s="56"/>
      <c r="J108" s="56"/>
      <c r="K108" s="56"/>
    </row>
    <row r="109" spans="1:11" x14ac:dyDescent="0.2">
      <c r="A109" s="463">
        <v>556</v>
      </c>
      <c r="B109" s="455" t="s">
        <v>88</v>
      </c>
      <c r="C109" s="559">
        <f>SUM(C110:C112)</f>
        <v>3513.22</v>
      </c>
      <c r="D109" s="844">
        <f>SUM(D110:D112)</f>
        <v>100</v>
      </c>
      <c r="E109" s="11"/>
      <c r="F109" s="11"/>
      <c r="G109" s="434"/>
      <c r="H109" s="441">
        <f t="shared" ref="H109:H116" si="4">SUM(C109:G109)</f>
        <v>3613.22</v>
      </c>
    </row>
    <row r="110" spans="1:11" x14ac:dyDescent="0.2">
      <c r="A110" s="423">
        <v>55601</v>
      </c>
      <c r="B110" s="418" t="s">
        <v>89</v>
      </c>
      <c r="C110" s="560">
        <f>'egresos 25% y F.P'!G76</f>
        <v>84.75</v>
      </c>
      <c r="D110" s="845">
        <v>0</v>
      </c>
      <c r="E110" s="11"/>
      <c r="F110" s="11"/>
      <c r="G110" s="434"/>
      <c r="H110" s="440">
        <f t="shared" si="4"/>
        <v>84.75</v>
      </c>
    </row>
    <row r="111" spans="1:11" x14ac:dyDescent="0.2">
      <c r="A111" s="423">
        <v>55602</v>
      </c>
      <c r="B111" s="418" t="s">
        <v>90</v>
      </c>
      <c r="C111" s="560">
        <f>'egresos 25% y F.P'!G77</f>
        <v>3378.47</v>
      </c>
      <c r="D111" s="845">
        <v>0</v>
      </c>
      <c r="E111" s="11"/>
      <c r="F111" s="11"/>
      <c r="G111" s="434"/>
      <c r="H111" s="440">
        <f t="shared" si="4"/>
        <v>3378.47</v>
      </c>
    </row>
    <row r="112" spans="1:11" x14ac:dyDescent="0.2">
      <c r="A112" s="423">
        <v>55603</v>
      </c>
      <c r="B112" s="418" t="s">
        <v>91</v>
      </c>
      <c r="C112" s="560">
        <f>+'egresos 25% y F.P'!G78</f>
        <v>50</v>
      </c>
      <c r="D112" s="845">
        <f>'egresos 25% y F.P'!G188</f>
        <v>100</v>
      </c>
      <c r="E112" s="11"/>
      <c r="F112" s="11"/>
      <c r="G112" s="434"/>
      <c r="H112" s="440">
        <f t="shared" si="4"/>
        <v>150</v>
      </c>
    </row>
    <row r="113" spans="1:8" hidden="1" x14ac:dyDescent="0.2">
      <c r="A113" s="463">
        <v>557</v>
      </c>
      <c r="B113" s="455" t="s">
        <v>92</v>
      </c>
      <c r="C113" s="559">
        <f>SUM(C114:C116)</f>
        <v>0</v>
      </c>
      <c r="D113" s="844">
        <f>SUM(D114:D116)</f>
        <v>0</v>
      </c>
      <c r="E113" s="11"/>
      <c r="F113" s="11"/>
      <c r="G113" s="434"/>
      <c r="H113" s="441">
        <f t="shared" si="4"/>
        <v>0</v>
      </c>
    </row>
    <row r="114" spans="1:8" hidden="1" x14ac:dyDescent="0.2">
      <c r="A114" s="423">
        <v>55701</v>
      </c>
      <c r="B114" s="418" t="s">
        <v>93</v>
      </c>
      <c r="C114" s="560">
        <v>0</v>
      </c>
      <c r="D114" s="845">
        <v>0</v>
      </c>
      <c r="E114" s="11"/>
      <c r="F114" s="11"/>
      <c r="G114" s="434"/>
      <c r="H114" s="440">
        <f t="shared" si="4"/>
        <v>0</v>
      </c>
    </row>
    <row r="115" spans="1:8" hidden="1" x14ac:dyDescent="0.2">
      <c r="A115" s="423">
        <v>55702</v>
      </c>
      <c r="B115" s="418" t="s">
        <v>94</v>
      </c>
      <c r="C115" s="560">
        <v>0</v>
      </c>
      <c r="D115" s="845">
        <v>0</v>
      </c>
      <c r="E115" s="11"/>
      <c r="F115" s="11"/>
      <c r="G115" s="434"/>
      <c r="H115" s="440">
        <f t="shared" si="4"/>
        <v>0</v>
      </c>
    </row>
    <row r="116" spans="1:8" hidden="1" x14ac:dyDescent="0.2">
      <c r="A116" s="423">
        <v>55799</v>
      </c>
      <c r="B116" s="418" t="s">
        <v>95</v>
      </c>
      <c r="C116" s="560">
        <v>0</v>
      </c>
      <c r="D116" s="845">
        <v>0</v>
      </c>
      <c r="E116" s="11"/>
      <c r="F116" s="11"/>
      <c r="G116" s="434"/>
      <c r="H116" s="440">
        <f t="shared" si="4"/>
        <v>0</v>
      </c>
    </row>
    <row r="117" spans="1:8" hidden="1" x14ac:dyDescent="0.2">
      <c r="A117" s="423"/>
      <c r="B117" s="418"/>
      <c r="C117" s="560"/>
      <c r="D117" s="845"/>
      <c r="E117" s="11"/>
      <c r="F117" s="11"/>
      <c r="G117" s="434"/>
      <c r="H117" s="440"/>
    </row>
    <row r="118" spans="1:8" x14ac:dyDescent="0.2">
      <c r="A118" s="423"/>
      <c r="B118" s="418"/>
      <c r="C118" s="560"/>
      <c r="D118" s="845"/>
      <c r="E118" s="11"/>
      <c r="F118" s="11"/>
      <c r="G118" s="434"/>
      <c r="H118" s="440"/>
    </row>
    <row r="119" spans="1:8" x14ac:dyDescent="0.2">
      <c r="A119" s="463">
        <v>56</v>
      </c>
      <c r="B119" s="455" t="s">
        <v>96</v>
      </c>
      <c r="C119" s="559">
        <f>C120+C123</f>
        <v>15125.16</v>
      </c>
      <c r="D119" s="844">
        <f>D120+D123</f>
        <v>5000</v>
      </c>
      <c r="E119" s="11"/>
      <c r="F119" s="11"/>
      <c r="G119" s="434"/>
      <c r="H119" s="441">
        <f t="shared" ref="H119:H126" si="5">SUM(C119:G119)</f>
        <v>20125.16</v>
      </c>
    </row>
    <row r="120" spans="1:8" ht="22.5" x14ac:dyDescent="0.2">
      <c r="A120" s="776">
        <v>562</v>
      </c>
      <c r="B120" s="453" t="s">
        <v>97</v>
      </c>
      <c r="C120" s="558">
        <f>SUM(C121:C122)</f>
        <v>15125.16</v>
      </c>
      <c r="D120" s="849">
        <f>SUM(D121:D122)</f>
        <v>0</v>
      </c>
      <c r="E120" s="777"/>
      <c r="F120" s="777"/>
      <c r="G120" s="778"/>
      <c r="H120" s="779">
        <f t="shared" si="5"/>
        <v>15125.16</v>
      </c>
    </row>
    <row r="121" spans="1:8" x14ac:dyDescent="0.2">
      <c r="A121" s="423">
        <v>56201</v>
      </c>
      <c r="B121" s="418" t="s">
        <v>503</v>
      </c>
      <c r="C121" s="560"/>
      <c r="D121" s="845">
        <v>0</v>
      </c>
      <c r="E121" s="11"/>
      <c r="F121" s="11"/>
      <c r="G121" s="434"/>
      <c r="H121" s="440">
        <f t="shared" si="5"/>
        <v>0</v>
      </c>
    </row>
    <row r="122" spans="1:8" ht="22.5" x14ac:dyDescent="0.2">
      <c r="A122" s="775">
        <v>56201</v>
      </c>
      <c r="B122" s="458" t="s">
        <v>496</v>
      </c>
      <c r="C122" s="771">
        <f>'egresos 25% y F.P'!G88</f>
        <v>15125.16</v>
      </c>
      <c r="D122" s="847">
        <f>'egresos 25% y F.P'!G197</f>
        <v>0</v>
      </c>
      <c r="E122" s="777"/>
      <c r="F122" s="777"/>
      <c r="G122" s="778"/>
      <c r="H122" s="774">
        <f t="shared" si="5"/>
        <v>15125.16</v>
      </c>
    </row>
    <row r="123" spans="1:8" ht="22.5" x14ac:dyDescent="0.2">
      <c r="A123" s="776">
        <v>563</v>
      </c>
      <c r="B123" s="453" t="s">
        <v>99</v>
      </c>
      <c r="C123" s="558">
        <f>SUM(C124:C125)</f>
        <v>0</v>
      </c>
      <c r="D123" s="849">
        <f>SUM(D124:D125)</f>
        <v>5000</v>
      </c>
      <c r="E123" s="777"/>
      <c r="F123" s="777"/>
      <c r="G123" s="778"/>
      <c r="H123" s="779">
        <f t="shared" si="5"/>
        <v>5000</v>
      </c>
    </row>
    <row r="124" spans="1:8" hidden="1" x14ac:dyDescent="0.2">
      <c r="A124" s="423">
        <v>56303</v>
      </c>
      <c r="B124" s="418" t="s">
        <v>98</v>
      </c>
      <c r="C124" s="560">
        <v>0</v>
      </c>
      <c r="D124" s="845">
        <v>0</v>
      </c>
      <c r="E124" s="11"/>
      <c r="F124" s="11"/>
      <c r="G124" s="434"/>
      <c r="H124" s="440">
        <f t="shared" si="5"/>
        <v>0</v>
      </c>
    </row>
    <row r="125" spans="1:8" x14ac:dyDescent="0.2">
      <c r="A125" s="423">
        <v>56304</v>
      </c>
      <c r="B125" s="418" t="s">
        <v>100</v>
      </c>
      <c r="C125" s="560">
        <f>'egresos 25% y F.P'!G91</f>
        <v>0</v>
      </c>
      <c r="D125" s="845">
        <f>'egresos 25% y F.P'!G200</f>
        <v>5000</v>
      </c>
      <c r="E125" s="11"/>
      <c r="F125" s="11"/>
      <c r="G125" s="434"/>
      <c r="H125" s="440">
        <f t="shared" si="5"/>
        <v>5000</v>
      </c>
    </row>
    <row r="126" spans="1:8" hidden="1" x14ac:dyDescent="0.2">
      <c r="A126" s="425" t="s">
        <v>162</v>
      </c>
      <c r="B126" s="419" t="s">
        <v>163</v>
      </c>
      <c r="C126" s="559">
        <f>C127</f>
        <v>0</v>
      </c>
      <c r="D126" s="844">
        <f>D127</f>
        <v>0</v>
      </c>
      <c r="E126" s="11"/>
      <c r="F126" s="11"/>
      <c r="G126" s="434"/>
      <c r="H126" s="441">
        <f t="shared" si="5"/>
        <v>0</v>
      </c>
    </row>
    <row r="127" spans="1:8" hidden="1" x14ac:dyDescent="0.2">
      <c r="A127" s="425" t="s">
        <v>256</v>
      </c>
      <c r="B127" s="459" t="s">
        <v>200</v>
      </c>
      <c r="C127" s="559">
        <f>C128</f>
        <v>0</v>
      </c>
      <c r="D127" s="844">
        <f>D128</f>
        <v>0</v>
      </c>
      <c r="E127" s="11"/>
      <c r="F127" s="11"/>
      <c r="G127" s="434"/>
      <c r="H127" s="441">
        <f>H128</f>
        <v>0</v>
      </c>
    </row>
    <row r="128" spans="1:8" ht="22.5" hidden="1" x14ac:dyDescent="0.2">
      <c r="A128" s="464" t="s">
        <v>257</v>
      </c>
      <c r="B128" s="456" t="s">
        <v>258</v>
      </c>
      <c r="C128" s="560">
        <f>'egresos 25% y F.P'!G98</f>
        <v>0</v>
      </c>
      <c r="D128" s="848">
        <f>'egresos 25% y F.P'!G207</f>
        <v>0</v>
      </c>
      <c r="E128" s="48"/>
      <c r="F128" s="48"/>
      <c r="G128" s="435"/>
      <c r="H128" s="443">
        <f>SUM(C128:C128)</f>
        <v>0</v>
      </c>
    </row>
    <row r="129" spans="1:8" hidden="1" x14ac:dyDescent="0.2">
      <c r="A129" s="425"/>
      <c r="B129" s="460"/>
      <c r="C129" s="564"/>
      <c r="D129" s="848"/>
      <c r="E129" s="48"/>
      <c r="F129" s="48"/>
      <c r="G129" s="435"/>
      <c r="H129" s="443"/>
    </row>
    <row r="130" spans="1:8" ht="12.75" hidden="1" customHeight="1" x14ac:dyDescent="0.2">
      <c r="A130" s="425" t="s">
        <v>164</v>
      </c>
      <c r="B130" s="419" t="s">
        <v>165</v>
      </c>
      <c r="C130" s="559"/>
      <c r="D130" s="844"/>
      <c r="E130" s="11"/>
      <c r="F130" s="11"/>
      <c r="G130" s="434"/>
      <c r="H130" s="441">
        <f t="shared" ref="H130:H141" si="6">SUM(C130:G130)</f>
        <v>0</v>
      </c>
    </row>
    <row r="131" spans="1:8" ht="12.75" hidden="1" customHeight="1" x14ac:dyDescent="0.2">
      <c r="A131" s="464" t="s">
        <v>166</v>
      </c>
      <c r="B131" s="460" t="s">
        <v>167</v>
      </c>
      <c r="C131" s="560"/>
      <c r="D131" s="845"/>
      <c r="E131" s="11"/>
      <c r="F131" s="11"/>
      <c r="G131" s="434"/>
      <c r="H131" s="440">
        <f t="shared" si="6"/>
        <v>0</v>
      </c>
    </row>
    <row r="132" spans="1:8" ht="12.75" hidden="1" customHeight="1" x14ac:dyDescent="0.2">
      <c r="A132" s="464" t="s">
        <v>168</v>
      </c>
      <c r="B132" s="460" t="s">
        <v>169</v>
      </c>
      <c r="C132" s="560"/>
      <c r="D132" s="845"/>
      <c r="E132" s="11"/>
      <c r="F132" s="11"/>
      <c r="G132" s="434"/>
      <c r="H132" s="440">
        <f t="shared" si="6"/>
        <v>0</v>
      </c>
    </row>
    <row r="133" spans="1:8" ht="12.75" hidden="1" customHeight="1" x14ac:dyDescent="0.2">
      <c r="A133" s="464" t="s">
        <v>170</v>
      </c>
      <c r="B133" s="460" t="s">
        <v>171</v>
      </c>
      <c r="C133" s="560"/>
      <c r="D133" s="845"/>
      <c r="E133" s="11"/>
      <c r="F133" s="11"/>
      <c r="G133" s="434"/>
      <c r="H133" s="440">
        <f t="shared" si="6"/>
        <v>0</v>
      </c>
    </row>
    <row r="134" spans="1:8" ht="12.75" hidden="1" customHeight="1" x14ac:dyDescent="0.2">
      <c r="A134" s="464" t="s">
        <v>172</v>
      </c>
      <c r="B134" s="460" t="s">
        <v>173</v>
      </c>
      <c r="C134" s="560"/>
      <c r="D134" s="845"/>
      <c r="E134" s="11"/>
      <c r="F134" s="11"/>
      <c r="G134" s="434"/>
      <c r="H134" s="440">
        <f t="shared" si="6"/>
        <v>0</v>
      </c>
    </row>
    <row r="135" spans="1:8" ht="12.75" hidden="1" customHeight="1" x14ac:dyDescent="0.2">
      <c r="A135" s="464" t="s">
        <v>174</v>
      </c>
      <c r="B135" s="460" t="s">
        <v>175</v>
      </c>
      <c r="C135" s="560"/>
      <c r="D135" s="845"/>
      <c r="E135" s="11"/>
      <c r="F135" s="11"/>
      <c r="G135" s="434"/>
      <c r="H135" s="440">
        <f t="shared" si="6"/>
        <v>0</v>
      </c>
    </row>
    <row r="136" spans="1:8" ht="12.75" hidden="1" customHeight="1" x14ac:dyDescent="0.2">
      <c r="A136" s="464" t="s">
        <v>176</v>
      </c>
      <c r="B136" s="460" t="s">
        <v>177</v>
      </c>
      <c r="C136" s="560"/>
      <c r="D136" s="845"/>
      <c r="E136" s="11"/>
      <c r="F136" s="11"/>
      <c r="G136" s="434"/>
      <c r="H136" s="440">
        <f t="shared" si="6"/>
        <v>0</v>
      </c>
    </row>
    <row r="137" spans="1:8" ht="12.75" hidden="1" customHeight="1" x14ac:dyDescent="0.2">
      <c r="A137" s="464" t="s">
        <v>178</v>
      </c>
      <c r="B137" s="460" t="s">
        <v>179</v>
      </c>
      <c r="C137" s="560"/>
      <c r="D137" s="845"/>
      <c r="E137" s="11"/>
      <c r="F137" s="11"/>
      <c r="G137" s="434"/>
      <c r="H137" s="440">
        <f t="shared" si="6"/>
        <v>0</v>
      </c>
    </row>
    <row r="138" spans="1:8" ht="12.75" hidden="1" customHeight="1" x14ac:dyDescent="0.2">
      <c r="A138" s="464" t="s">
        <v>180</v>
      </c>
      <c r="B138" s="460" t="s">
        <v>181</v>
      </c>
      <c r="C138" s="560"/>
      <c r="D138" s="845"/>
      <c r="E138" s="11"/>
      <c r="F138" s="11"/>
      <c r="G138" s="434"/>
      <c r="H138" s="440">
        <f t="shared" si="6"/>
        <v>0</v>
      </c>
    </row>
    <row r="139" spans="1:8" ht="12.75" customHeight="1" x14ac:dyDescent="0.2">
      <c r="A139" s="463">
        <v>72</v>
      </c>
      <c r="B139" s="455" t="s">
        <v>13</v>
      </c>
      <c r="C139" s="559">
        <f>C140</f>
        <v>7392.73</v>
      </c>
      <c r="D139" s="844">
        <f>D140</f>
        <v>2239.0299999999997</v>
      </c>
      <c r="E139" s="11"/>
      <c r="F139" s="11"/>
      <c r="G139" s="434"/>
      <c r="H139" s="441">
        <f t="shared" si="6"/>
        <v>9631.7599999999984</v>
      </c>
    </row>
    <row r="140" spans="1:8" ht="22.5" customHeight="1" x14ac:dyDescent="0.2">
      <c r="A140" s="776">
        <v>721</v>
      </c>
      <c r="B140" s="453" t="s">
        <v>182</v>
      </c>
      <c r="C140" s="558">
        <f>C141</f>
        <v>7392.73</v>
      </c>
      <c r="D140" s="849">
        <f>D141</f>
        <v>2239.0299999999997</v>
      </c>
      <c r="E140" s="777"/>
      <c r="F140" s="777"/>
      <c r="G140" s="778"/>
      <c r="H140" s="779">
        <f t="shared" si="6"/>
        <v>9631.7599999999984</v>
      </c>
    </row>
    <row r="141" spans="1:8" ht="22.5" customHeight="1" x14ac:dyDescent="0.2">
      <c r="A141" s="775">
        <v>72101</v>
      </c>
      <c r="B141" s="456" t="s">
        <v>182</v>
      </c>
      <c r="C141" s="771">
        <f>'egresos 25% y F.P'!G93</f>
        <v>7392.73</v>
      </c>
      <c r="D141" s="847">
        <f>'egresos 25% y F.P'!G203</f>
        <v>2239.0299999999997</v>
      </c>
      <c r="E141" s="777"/>
      <c r="F141" s="777"/>
      <c r="G141" s="778"/>
      <c r="H141" s="774">
        <f t="shared" si="6"/>
        <v>9631.7599999999984</v>
      </c>
    </row>
    <row r="142" spans="1:8" ht="13.5" thickBot="1" x14ac:dyDescent="0.25">
      <c r="A142" s="423"/>
      <c r="B142" s="418"/>
      <c r="C142" s="560"/>
      <c r="D142" s="602"/>
      <c r="E142" s="11"/>
      <c r="F142" s="11"/>
      <c r="G142" s="434"/>
      <c r="H142" s="440"/>
    </row>
    <row r="143" spans="1:8" ht="13.5" hidden="1" thickBot="1" x14ac:dyDescent="0.25">
      <c r="A143" s="463">
        <v>99</v>
      </c>
      <c r="B143" s="455" t="s">
        <v>183</v>
      </c>
      <c r="C143" s="559"/>
      <c r="D143" s="601"/>
      <c r="E143" s="11"/>
      <c r="F143" s="11"/>
      <c r="G143" s="434"/>
      <c r="H143" s="441">
        <f>SUM(C143:G143)</f>
        <v>0</v>
      </c>
    </row>
    <row r="144" spans="1:8" ht="23.25" hidden="1" thickBot="1" x14ac:dyDescent="0.25">
      <c r="A144" s="463">
        <v>991</v>
      </c>
      <c r="B144" s="453" t="s">
        <v>184</v>
      </c>
      <c r="C144" s="565"/>
      <c r="D144" s="601"/>
      <c r="E144" s="11"/>
      <c r="F144" s="11"/>
      <c r="G144" s="434"/>
      <c r="H144" s="441">
        <f>SUM(C144:G144)</f>
        <v>0</v>
      </c>
    </row>
    <row r="145" spans="1:8" ht="23.25" hidden="1" thickBot="1" x14ac:dyDescent="0.25">
      <c r="A145" s="466">
        <v>99101</v>
      </c>
      <c r="B145" s="461" t="s">
        <v>184</v>
      </c>
      <c r="C145" s="566"/>
      <c r="D145" s="603"/>
      <c r="E145" s="80"/>
      <c r="F145" s="80"/>
      <c r="G145" s="436"/>
      <c r="H145" s="444">
        <f>SUM(C145:G145)</f>
        <v>0</v>
      </c>
    </row>
    <row r="146" spans="1:8" ht="13.5" thickBot="1" x14ac:dyDescent="0.25">
      <c r="A146" s="467"/>
      <c r="B146" s="376" t="s">
        <v>185</v>
      </c>
      <c r="C146" s="567">
        <f t="shared" ref="C146:G146" si="7">+C143+C139+C126+C119+C102+C46+C12</f>
        <v>358886.64</v>
      </c>
      <c r="D146" s="567">
        <f>+D143+D139+D126+D119+D102+D46+D12</f>
        <v>348543.44000000006</v>
      </c>
      <c r="E146" s="81">
        <f t="shared" si="7"/>
        <v>0</v>
      </c>
      <c r="F146" s="81">
        <f t="shared" si="7"/>
        <v>0</v>
      </c>
      <c r="G146" s="437">
        <f t="shared" si="7"/>
        <v>0</v>
      </c>
      <c r="H146" s="445">
        <f>+H143+H139+H126+H119+H102+H46+H12</f>
        <v>707430.08000000007</v>
      </c>
    </row>
    <row r="147" spans="1:8" x14ac:dyDescent="0.2">
      <c r="A147" s="708"/>
      <c r="B147" s="708"/>
      <c r="C147" s="761"/>
      <c r="D147" s="762"/>
      <c r="E147" s="552"/>
      <c r="F147" s="552"/>
      <c r="G147" s="552"/>
      <c r="H147" s="552"/>
    </row>
    <row r="148" spans="1:8" x14ac:dyDescent="0.2">
      <c r="A148" s="708"/>
      <c r="E148" s="552"/>
      <c r="F148" s="552"/>
      <c r="G148" s="552"/>
      <c r="H148" s="553"/>
    </row>
    <row r="149" spans="1:8" x14ac:dyDescent="0.2">
      <c r="B149" s="552"/>
      <c r="C149" s="568"/>
      <c r="D149" s="553"/>
      <c r="E149" s="552"/>
      <c r="F149" s="552"/>
      <c r="G149" s="552"/>
      <c r="H149" s="552"/>
    </row>
    <row r="150" spans="1:8" x14ac:dyDescent="0.2">
      <c r="B150" s="1018" t="s">
        <v>636</v>
      </c>
      <c r="C150" s="1019">
        <f>'ING. REALES'!C73</f>
        <v>358886.64</v>
      </c>
      <c r="D150" s="1020">
        <f>'ING. REALES'!G73</f>
        <v>348543.44000000006</v>
      </c>
    </row>
    <row r="151" spans="1:8" x14ac:dyDescent="0.2">
      <c r="B151" s="1018" t="s">
        <v>683</v>
      </c>
      <c r="C151" s="1019">
        <f>C150-C146</f>
        <v>0</v>
      </c>
      <c r="D151" s="1020">
        <f>D150-D146</f>
        <v>0</v>
      </c>
    </row>
  </sheetData>
  <mergeCells count="6">
    <mergeCell ref="A10:B10"/>
    <mergeCell ref="H10:H11"/>
    <mergeCell ref="C10:D10"/>
    <mergeCell ref="A1:H1"/>
    <mergeCell ref="A2:H2"/>
    <mergeCell ref="A3:H3"/>
  </mergeCells>
  <phoneticPr fontId="6" type="noConversion"/>
  <printOptions horizontalCentered="1"/>
  <pageMargins left="0.94488188976377963" right="0.94488188976377963" top="0.94488188976377963" bottom="0.74803149606299213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11</vt:i4>
      </vt:variant>
    </vt:vector>
  </HeadingPairs>
  <TitlesOfParts>
    <vt:vector size="30" baseType="lpstr">
      <vt:lpstr>Hoja1</vt:lpstr>
      <vt:lpstr>ESTRUCTURA PRESP.</vt:lpstr>
      <vt:lpstr>ING. REALES</vt:lpstr>
      <vt:lpstr>DISTRIBUCIÓN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SEGUROS</vt:lpstr>
      <vt:lpstr>'AG1'!Área_de_impresión</vt:lpstr>
      <vt:lpstr>'egresos 25% y F.P'!Área_de_impresión</vt:lpstr>
      <vt:lpstr>'ESTRUCTURA PRESP.'!Área_de_impresión</vt:lpstr>
      <vt:lpstr>'PLLA MUNICIPAL LEY SAL'!Área_de_impresión</vt:lpstr>
      <vt:lpstr>'PRESUP.DE EGRESOS'!Área_de_impresión</vt:lpstr>
      <vt:lpstr>'AG1'!Títulos_a_imprimir</vt:lpstr>
      <vt:lpstr>'AG3'!Títulos_a_imprimir</vt:lpstr>
      <vt:lpstr>'AG4'!Títulos_a_imprimir</vt:lpstr>
      <vt:lpstr>CONSOLIDADO!Títulos_a_imprimir</vt:lpstr>
      <vt:lpstr>DISTRIBUCIÓN!Títulos_a_imprimir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2019-08-26T16:25:18Z</cp:lastPrinted>
  <dcterms:created xsi:type="dcterms:W3CDTF">2009-03-12T16:54:49Z</dcterms:created>
  <dcterms:modified xsi:type="dcterms:W3CDTF">2021-08-10T18:05:17Z</dcterms:modified>
</cp:coreProperties>
</file>