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RESUPUESTOS MUNICIPAL\PRESUPUESTO 2016. DEFINITIVO\"/>
    </mc:Choice>
  </mc:AlternateContent>
  <bookViews>
    <workbookView xWindow="480" yWindow="420" windowWidth="7995" windowHeight="5535" tabRatio="928" firstSheet="6" activeTab="16"/>
  </bookViews>
  <sheets>
    <sheet name="ESTRUCTURA PRESP." sheetId="15" r:id="rId1"/>
    <sheet name="ING. REALES" sheetId="18" r:id="rId2"/>
    <sheet name="DISTRIBUCIÓN" sheetId="23" r:id="rId3"/>
    <sheet name="PLLA MUNICIPAL HONORARIOS" sheetId="20" r:id="rId4"/>
    <sheet name="PLLA MUNICIPAL LEY SAL" sheetId="22" r:id="rId5"/>
    <sheet name="PLLA DIETAS" sheetId="21" r:id="rId6"/>
    <sheet name="egresos 25% y F.P" sheetId="4" r:id="rId7"/>
    <sheet name="AG1" sheetId="5" r:id="rId8"/>
    <sheet name="AG3" sheetId="6" r:id="rId9"/>
    <sheet name="AG4" sheetId="7" r:id="rId10"/>
    <sheet name="AG5" sheetId="8" r:id="rId11"/>
    <sheet name="CONSOLIDADO" sheetId="9" r:id="rId12"/>
    <sheet name="PRESUP.DE EGRESOS" sheetId="10" r:id="rId13"/>
    <sheet name="RESUMEN1" sheetId="11" r:id="rId14"/>
    <sheet name="RESUMEN2" sheetId="12" r:id="rId15"/>
    <sheet name="RESUMEN3" sheetId="13" r:id="rId16"/>
    <sheet name="RESUMEN4" sheetId="14" r:id="rId17"/>
    <sheet name="Hoja2" sheetId="24" r:id="rId18"/>
  </sheets>
  <definedNames>
    <definedName name="_xlnm._FilterDatabase" localSheetId="8" hidden="1">'AG3'!$A$10:$J$92</definedName>
    <definedName name="_xlnm._FilterDatabase" localSheetId="9" hidden="1">'AG4'!$A$10:$I$57</definedName>
    <definedName name="_xlnm._FilterDatabase" localSheetId="2" hidden="1">DISTRIBUCIÓN!$A$5:$P$71</definedName>
    <definedName name="_xlnm._FilterDatabase" localSheetId="6" hidden="1">'egresos 25% y F.P'!$A$112:$G$203</definedName>
    <definedName name="_xlnm.Print_Area" localSheetId="6">'egresos 25% y F.P'!$A$1:$G$215</definedName>
    <definedName name="_xlnm.Print_Area" localSheetId="0">'ESTRUCTURA PRESP.'!$B$1:$E$22</definedName>
    <definedName name="_xlnm.Print_Titles" localSheetId="7">'AG1'!$1:$11</definedName>
    <definedName name="_xlnm.Print_Titles" localSheetId="8">'AG3'!$1:$11</definedName>
    <definedName name="_xlnm.Print_Titles" localSheetId="9">'AG4'!$1:$11</definedName>
    <definedName name="_xlnm.Print_Titles" localSheetId="11">CONSOLIDADO!$1:$8</definedName>
    <definedName name="_xlnm.Print_Titles" localSheetId="2">DISTRIBUCIÓN!$1:$7</definedName>
    <definedName name="_xlnm.Print_Titles" localSheetId="1">'ING. REALES'!$1:$7</definedName>
    <definedName name="_xlnm.Print_Titles" localSheetId="12">'PRESUP.DE EGRESOS'!$1:$7</definedName>
  </definedNames>
  <calcPr calcId="171027"/>
</workbook>
</file>

<file path=xl/calcChain.xml><?xml version="1.0" encoding="utf-8"?>
<calcChain xmlns="http://schemas.openxmlformats.org/spreadsheetml/2006/main">
  <c r="D21" i="6" l="1"/>
  <c r="N147" i="9" l="1"/>
  <c r="O10" i="9" l="1"/>
  <c r="P10" i="9"/>
  <c r="Q10" i="9"/>
  <c r="R10" i="9"/>
  <c r="M10" i="9"/>
  <c r="N10" i="9"/>
  <c r="P17" i="9"/>
  <c r="Q17" i="9"/>
  <c r="R17" i="9"/>
  <c r="M17" i="9"/>
  <c r="N19" i="9"/>
  <c r="N17" i="9" s="1"/>
  <c r="S10" i="9" l="1"/>
  <c r="I15" i="7" l="1"/>
  <c r="F14" i="7"/>
  <c r="I14" i="7" s="1"/>
  <c r="F13" i="7" l="1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17" i="4"/>
  <c r="G116" i="4" s="1"/>
  <c r="I13" i="7" l="1"/>
  <c r="T126" i="9"/>
  <c r="F57" i="7"/>
  <c r="D90" i="6"/>
  <c r="V140" i="9" l="1"/>
  <c r="I31" i="7"/>
  <c r="I30" i="7"/>
  <c r="G29" i="7"/>
  <c r="F29" i="7"/>
  <c r="D29" i="7"/>
  <c r="O140" i="9" s="1"/>
  <c r="D27" i="6"/>
  <c r="O116" i="9"/>
  <c r="M116" i="9"/>
  <c r="M112" i="9" s="1"/>
  <c r="K116" i="9"/>
  <c r="M39" i="9"/>
  <c r="M44" i="9"/>
  <c r="M43" i="9" s="1"/>
  <c r="O19" i="9"/>
  <c r="M9" i="9"/>
  <c r="L18" i="9"/>
  <c r="L19" i="9"/>
  <c r="L20" i="9"/>
  <c r="L21" i="9"/>
  <c r="N144" i="9"/>
  <c r="N143" i="9"/>
  <c r="N142" i="9"/>
  <c r="N141" i="9"/>
  <c r="M138" i="9"/>
  <c r="M132" i="9"/>
  <c r="N53" i="9"/>
  <c r="N51" i="9"/>
  <c r="N48" i="9"/>
  <c r="M129" i="9"/>
  <c r="M125" i="9"/>
  <c r="M122" i="9"/>
  <c r="H57" i="7"/>
  <c r="G47" i="7"/>
  <c r="F47" i="7"/>
  <c r="D47" i="7"/>
  <c r="I49" i="7"/>
  <c r="I48" i="7"/>
  <c r="G44" i="7"/>
  <c r="F44" i="7"/>
  <c r="D44" i="7"/>
  <c r="I46" i="7"/>
  <c r="I45" i="7"/>
  <c r="G41" i="7"/>
  <c r="F41" i="7"/>
  <c r="D41" i="7"/>
  <c r="I43" i="7"/>
  <c r="I42" i="7"/>
  <c r="G38" i="7"/>
  <c r="F38" i="7"/>
  <c r="D38" i="7"/>
  <c r="I40" i="7"/>
  <c r="I39" i="7"/>
  <c r="G35" i="7"/>
  <c r="F35" i="7"/>
  <c r="D35" i="7"/>
  <c r="I37" i="7"/>
  <c r="I36" i="7"/>
  <c r="G32" i="7"/>
  <c r="F32" i="7"/>
  <c r="D32" i="7"/>
  <c r="I34" i="7"/>
  <c r="I33" i="7"/>
  <c r="I27" i="7"/>
  <c r="G26" i="7"/>
  <c r="F26" i="7"/>
  <c r="D26" i="7"/>
  <c r="I28" i="7"/>
  <c r="J90" i="6"/>
  <c r="J87" i="6"/>
  <c r="J84" i="6"/>
  <c r="I89" i="6"/>
  <c r="H89" i="6"/>
  <c r="G89" i="6"/>
  <c r="D89" i="6"/>
  <c r="M147" i="9" s="1"/>
  <c r="I86" i="6"/>
  <c r="H86" i="6"/>
  <c r="G86" i="6"/>
  <c r="D86" i="6"/>
  <c r="I83" i="6"/>
  <c r="H83" i="6"/>
  <c r="G83" i="6"/>
  <c r="D83" i="6"/>
  <c r="I80" i="6"/>
  <c r="H80" i="6"/>
  <c r="G80" i="6"/>
  <c r="I74" i="6"/>
  <c r="H74" i="6"/>
  <c r="G74" i="6"/>
  <c r="D74" i="6"/>
  <c r="J75" i="6"/>
  <c r="H71" i="6"/>
  <c r="G71" i="6"/>
  <c r="D71" i="6"/>
  <c r="I68" i="6"/>
  <c r="H68" i="6"/>
  <c r="G68" i="6"/>
  <c r="D68" i="6"/>
  <c r="I72" i="6"/>
  <c r="I71" i="6" s="1"/>
  <c r="J69" i="6"/>
  <c r="J66" i="6"/>
  <c r="I65" i="6"/>
  <c r="H65" i="6"/>
  <c r="G65" i="6"/>
  <c r="D65" i="6"/>
  <c r="I50" i="6"/>
  <c r="H50" i="6"/>
  <c r="G50" i="6"/>
  <c r="D50" i="6"/>
  <c r="J48" i="6"/>
  <c r="J42" i="6"/>
  <c r="J36" i="6"/>
  <c r="D17" i="6"/>
  <c r="F14" i="6"/>
  <c r="E14" i="6"/>
  <c r="I14" i="6"/>
  <c r="I13" i="6" s="1"/>
  <c r="H14" i="6"/>
  <c r="H13" i="6" s="1"/>
  <c r="G14" i="6"/>
  <c r="G13" i="6" s="1"/>
  <c r="J25" i="6"/>
  <c r="I27" i="6"/>
  <c r="H27" i="6"/>
  <c r="G27" i="6"/>
  <c r="J30" i="6"/>
  <c r="J29" i="6"/>
  <c r="J28" i="6"/>
  <c r="J33" i="6"/>
  <c r="I32" i="6"/>
  <c r="H32" i="6"/>
  <c r="G32" i="6"/>
  <c r="D32" i="6"/>
  <c r="J39" i="6"/>
  <c r="J38" i="6"/>
  <c r="D23" i="7"/>
  <c r="I24" i="7"/>
  <c r="D63" i="6"/>
  <c r="J63" i="6" s="1"/>
  <c r="D61" i="6"/>
  <c r="J61" i="6" s="1"/>
  <c r="G59" i="6"/>
  <c r="D60" i="6"/>
  <c r="J60" i="6" s="1"/>
  <c r="D62" i="6"/>
  <c r="J62" i="6" s="1"/>
  <c r="J64" i="6"/>
  <c r="O17" i="9" l="1"/>
  <c r="S17" i="9" s="1"/>
  <c r="D57" i="7"/>
  <c r="U142" i="9"/>
  <c r="N139" i="9"/>
  <c r="M139" i="9"/>
  <c r="I26" i="7"/>
  <c r="N45" i="9"/>
  <c r="N58" i="9"/>
  <c r="N41" i="9"/>
  <c r="N39" i="9" s="1"/>
  <c r="N9" i="9" s="1"/>
  <c r="I29" i="7"/>
  <c r="G57" i="7"/>
  <c r="J72" i="6"/>
  <c r="J27" i="6"/>
  <c r="D59" i="6"/>
  <c r="O9" i="9" l="1"/>
  <c r="N44" i="9"/>
  <c r="N43" i="9" s="1"/>
  <c r="J54" i="6"/>
  <c r="J55" i="6"/>
  <c r="D56" i="6"/>
  <c r="N118" i="9" s="1"/>
  <c r="D57" i="6"/>
  <c r="J58" i="6"/>
  <c r="J57" i="6" l="1"/>
  <c r="N119" i="9"/>
  <c r="N116" i="9" s="1"/>
  <c r="N112" i="9" s="1"/>
  <c r="D53" i="6"/>
  <c r="J56" i="6"/>
  <c r="K23" i="9" l="1"/>
  <c r="L23" i="9" s="1"/>
  <c r="F137" i="4" l="1"/>
  <c r="F33" i="4"/>
  <c r="I35" i="9"/>
  <c r="D73" i="22"/>
  <c r="D53" i="22"/>
  <c r="D74" i="22" s="1"/>
  <c r="D23" i="22"/>
  <c r="D16" i="22"/>
  <c r="D33" i="22" s="1"/>
  <c r="I67" i="18" l="1"/>
  <c r="C19" i="8"/>
  <c r="C21" i="8"/>
  <c r="C28" i="8"/>
  <c r="C26" i="8" s="1"/>
  <c r="I54" i="7"/>
  <c r="F53" i="7"/>
  <c r="G53" i="7"/>
  <c r="I41" i="7"/>
  <c r="I38" i="7"/>
  <c r="I35" i="7"/>
  <c r="I32" i="7"/>
  <c r="I25" i="7"/>
  <c r="D15" i="6"/>
  <c r="J86" i="6"/>
  <c r="K40" i="9"/>
  <c r="F40" i="9"/>
  <c r="J8" i="20"/>
  <c r="L8" i="20" s="1"/>
  <c r="D14" i="6" l="1"/>
  <c r="J15" i="6"/>
  <c r="C17" i="8"/>
  <c r="C95" i="4"/>
  <c r="F52" i="4"/>
  <c r="F157" i="4"/>
  <c r="D13" i="6" l="1"/>
  <c r="J13" i="6" s="1"/>
  <c r="J14" i="6"/>
  <c r="K155" i="9"/>
  <c r="K154" i="9" s="1"/>
  <c r="J155" i="9"/>
  <c r="J154" i="9" s="1"/>
  <c r="I155" i="9"/>
  <c r="I154" i="9" s="1"/>
  <c r="H156" i="9"/>
  <c r="H155" i="9" s="1"/>
  <c r="G95" i="4"/>
  <c r="G94" i="4" s="1"/>
  <c r="G93" i="4" s="1"/>
  <c r="C140" i="5" s="1"/>
  <c r="C139" i="5" s="1"/>
  <c r="C138" i="5" s="1"/>
  <c r="F94" i="4"/>
  <c r="E94" i="4"/>
  <c r="E93" i="4" s="1"/>
  <c r="D94" i="4"/>
  <c r="C94" i="4"/>
  <c r="C93" i="4" s="1"/>
  <c r="F93" i="4"/>
  <c r="D93" i="4"/>
  <c r="D155" i="9"/>
  <c r="D154" i="9" s="1"/>
  <c r="E155" i="9"/>
  <c r="E154" i="9" s="1"/>
  <c r="F155" i="9"/>
  <c r="F154" i="9" s="1"/>
  <c r="C156" i="9"/>
  <c r="C155" i="9" s="1"/>
  <c r="G199" i="4"/>
  <c r="G198" i="4" s="1"/>
  <c r="D197" i="4"/>
  <c r="D198" i="4"/>
  <c r="E198" i="4"/>
  <c r="E197" i="4" s="1"/>
  <c r="F198" i="4"/>
  <c r="F197" i="4" s="1"/>
  <c r="C198" i="4"/>
  <c r="C197" i="4" s="1"/>
  <c r="G197" i="4" l="1"/>
  <c r="D140" i="5"/>
  <c r="D139" i="5" s="1"/>
  <c r="D138" i="5" s="1"/>
  <c r="G156" i="9"/>
  <c r="L155" i="9"/>
  <c r="H154" i="9"/>
  <c r="L154" i="9" s="1"/>
  <c r="G155" i="9"/>
  <c r="C154" i="9"/>
  <c r="G154" i="9" s="1"/>
  <c r="E75" i="4"/>
  <c r="F75" i="4"/>
  <c r="C75" i="4"/>
  <c r="D75" i="4"/>
  <c r="G75" i="4" l="1"/>
  <c r="K105" i="9"/>
  <c r="J105" i="9"/>
  <c r="I105" i="9"/>
  <c r="H105" i="9"/>
  <c r="K104" i="9"/>
  <c r="J104" i="9"/>
  <c r="I104" i="9"/>
  <c r="H104" i="9"/>
  <c r="G76" i="4"/>
  <c r="C109" i="5" s="1"/>
  <c r="G77" i="4"/>
  <c r="C110" i="5" s="1"/>
  <c r="E67" i="18" l="1"/>
  <c r="D67" i="18"/>
  <c r="S145" i="9" l="1"/>
  <c r="S137" i="9"/>
  <c r="S136" i="9"/>
  <c r="S135" i="9"/>
  <c r="S133" i="9"/>
  <c r="S131" i="9"/>
  <c r="S123" i="9"/>
  <c r="S128" i="9"/>
  <c r="S127" i="9"/>
  <c r="S124" i="9"/>
  <c r="S119" i="9"/>
  <c r="S118" i="9"/>
  <c r="S117" i="9"/>
  <c r="S115" i="9"/>
  <c r="S114" i="9"/>
  <c r="S102" i="9"/>
  <c r="Q98" i="9"/>
  <c r="Q95" i="9" s="1"/>
  <c r="Q150" i="9"/>
  <c r="Q149" i="9" s="1"/>
  <c r="Q103" i="9"/>
  <c r="S98" i="9" l="1"/>
  <c r="Q94" i="9"/>
  <c r="Q161" i="9" s="1"/>
  <c r="E26" i="12" s="1"/>
  <c r="C27" i="14" l="1"/>
  <c r="G36" i="18"/>
  <c r="H27" i="14" l="1"/>
  <c r="F55" i="9"/>
  <c r="F54" i="9"/>
  <c r="K69" i="22"/>
  <c r="K68" i="22"/>
  <c r="K67" i="22"/>
  <c r="K66" i="22"/>
  <c r="K65" i="22"/>
  <c r="K62" i="22"/>
  <c r="K61" i="22"/>
  <c r="K60" i="22"/>
  <c r="L16" i="24"/>
  <c r="S15" i="24"/>
  <c r="S14" i="24"/>
  <c r="S12" i="24"/>
  <c r="F143" i="4"/>
  <c r="F139" i="4"/>
  <c r="J69" i="22" l="1"/>
  <c r="J68" i="22"/>
  <c r="J67" i="22"/>
  <c r="J66" i="22"/>
  <c r="J65" i="22"/>
  <c r="J64" i="22"/>
  <c r="J63" i="22"/>
  <c r="J62" i="22"/>
  <c r="J61" i="22"/>
  <c r="J60" i="22"/>
  <c r="J59" i="22"/>
  <c r="J52" i="22"/>
  <c r="J51" i="22"/>
  <c r="J50" i="22"/>
  <c r="J49" i="22"/>
  <c r="J48" i="22"/>
  <c r="J22" i="22"/>
  <c r="J21" i="22"/>
  <c r="J20" i="22"/>
  <c r="J19" i="22"/>
  <c r="J18" i="22"/>
  <c r="J17" i="22"/>
  <c r="J15" i="22"/>
  <c r="J14" i="22"/>
  <c r="J13" i="22"/>
  <c r="J12" i="22"/>
  <c r="J11" i="22"/>
  <c r="J10" i="22"/>
  <c r="J9" i="22"/>
  <c r="E89" i="4"/>
  <c r="F89" i="4"/>
  <c r="J73" i="22" l="1"/>
  <c r="J23" i="22"/>
  <c r="D16" i="9" s="1"/>
  <c r="J53" i="22"/>
  <c r="J16" i="22"/>
  <c r="C16" i="9" s="1"/>
  <c r="F35" i="4"/>
  <c r="E16" i="9" l="1"/>
  <c r="J74" i="22"/>
  <c r="I16" i="24"/>
  <c r="I18" i="24" s="1"/>
  <c r="J16" i="24"/>
  <c r="K16" i="24"/>
  <c r="K18" i="24" s="1"/>
  <c r="M16" i="24"/>
  <c r="M18" i="24" s="1"/>
  <c r="N16" i="24"/>
  <c r="N18" i="24" s="1"/>
  <c r="O16" i="24"/>
  <c r="O18" i="24" s="1"/>
  <c r="P16" i="24"/>
  <c r="P18" i="24" s="1"/>
  <c r="Q16" i="24"/>
  <c r="Q18" i="24" s="1"/>
  <c r="R16" i="24"/>
  <c r="R18" i="24" s="1"/>
  <c r="C16" i="24"/>
  <c r="C18" i="24" s="1"/>
  <c r="C35" i="5" l="1"/>
  <c r="C32" i="9" l="1"/>
  <c r="H32" i="9"/>
  <c r="P9" i="22"/>
  <c r="H69" i="22"/>
  <c r="H68" i="22"/>
  <c r="H67" i="22"/>
  <c r="I67" i="22" s="1"/>
  <c r="H66" i="22"/>
  <c r="H65" i="22"/>
  <c r="H64" i="22"/>
  <c r="H63" i="22"/>
  <c r="H62" i="22"/>
  <c r="H61" i="22"/>
  <c r="H60" i="22"/>
  <c r="H59" i="22"/>
  <c r="H52" i="22"/>
  <c r="H51" i="22"/>
  <c r="H50" i="22"/>
  <c r="H49" i="22"/>
  <c r="H48" i="22"/>
  <c r="H17" i="22"/>
  <c r="H22" i="22"/>
  <c r="H21" i="22"/>
  <c r="H20" i="22"/>
  <c r="H19" i="22"/>
  <c r="H18" i="22"/>
  <c r="H15" i="22"/>
  <c r="H14" i="22"/>
  <c r="H13" i="22"/>
  <c r="H12" i="22"/>
  <c r="H11" i="22"/>
  <c r="H10" i="22"/>
  <c r="H9" i="22"/>
  <c r="L9" i="22" s="1"/>
  <c r="G19" i="21"/>
  <c r="H73" i="22" l="1"/>
  <c r="K11" i="9" s="1"/>
  <c r="F11" i="9"/>
  <c r="J10" i="24"/>
  <c r="J18" i="24" s="1"/>
  <c r="S10" i="24" l="1"/>
  <c r="L8" i="24"/>
  <c r="L18" i="24" s="1"/>
  <c r="S8" i="24" l="1"/>
  <c r="G15" i="24"/>
  <c r="F15" i="24"/>
  <c r="E15" i="24"/>
  <c r="D15" i="24"/>
  <c r="G14" i="24"/>
  <c r="F14" i="24"/>
  <c r="E14" i="24"/>
  <c r="D14" i="24"/>
  <c r="S13" i="24"/>
  <c r="S16" i="24" s="1"/>
  <c r="G13" i="24"/>
  <c r="F13" i="24"/>
  <c r="E13" i="24"/>
  <c r="D13" i="24"/>
  <c r="G12" i="24"/>
  <c r="F12" i="24"/>
  <c r="E12" i="24"/>
  <c r="E16" i="24" s="1"/>
  <c r="D12" i="24"/>
  <c r="S7" i="24"/>
  <c r="G7" i="24"/>
  <c r="F7" i="24"/>
  <c r="E7" i="24"/>
  <c r="D7" i="24"/>
  <c r="S5" i="24"/>
  <c r="G5" i="24"/>
  <c r="F5" i="24"/>
  <c r="E5" i="24"/>
  <c r="D5" i="24"/>
  <c r="M60" i="22"/>
  <c r="N61" i="22"/>
  <c r="M61" i="22"/>
  <c r="N60" i="22"/>
  <c r="D16" i="24" l="1"/>
  <c r="D18" i="24" s="1"/>
  <c r="G16" i="24"/>
  <c r="G18" i="24" s="1"/>
  <c r="E18" i="24"/>
  <c r="F16" i="24"/>
  <c r="F18" i="24" s="1"/>
  <c r="S18" i="24"/>
  <c r="H12" i="24"/>
  <c r="H5" i="24"/>
  <c r="H14" i="24"/>
  <c r="H7" i="24"/>
  <c r="H15" i="24"/>
  <c r="H13" i="24"/>
  <c r="P20" i="22"/>
  <c r="H16" i="24" l="1"/>
  <c r="H18" i="24" s="1"/>
  <c r="H19" i="8"/>
  <c r="L25" i="20"/>
  <c r="K25" i="20"/>
  <c r="I25" i="20"/>
  <c r="L20" i="20"/>
  <c r="K20" i="20"/>
  <c r="I20" i="20"/>
  <c r="O64" i="22" l="1"/>
  <c r="O22" i="22"/>
  <c r="O21" i="22"/>
  <c r="O18" i="22"/>
  <c r="O17" i="22"/>
  <c r="O49" i="22"/>
  <c r="I10" i="22"/>
  <c r="I14" i="22"/>
  <c r="I64" i="22"/>
  <c r="O60" i="22"/>
  <c r="K53" i="22"/>
  <c r="K23" i="22"/>
  <c r="K16" i="22"/>
  <c r="O61" i="22"/>
  <c r="P10" i="22" l="1"/>
  <c r="P14" i="22"/>
  <c r="M64" i="22"/>
  <c r="P64" i="22"/>
  <c r="K73" i="22"/>
  <c r="K74" i="22" l="1"/>
  <c r="F16" i="9"/>
  <c r="G16" i="9" s="1"/>
  <c r="Q64" i="22"/>
  <c r="O14" i="22"/>
  <c r="O13" i="22"/>
  <c r="O12" i="22"/>
  <c r="O10" i="22"/>
  <c r="I49" i="22"/>
  <c r="A10" i="21"/>
  <c r="A11" i="21" s="1"/>
  <c r="A12" i="21" s="1"/>
  <c r="A13" i="21" s="1"/>
  <c r="A14" i="21" s="1"/>
  <c r="A15" i="21" s="1"/>
  <c r="A16" i="21" s="1"/>
  <c r="A17" i="21" s="1"/>
  <c r="A18" i="21" s="1"/>
  <c r="P49" i="22" l="1"/>
  <c r="Q16" i="23" l="1"/>
  <c r="Q40" i="23"/>
  <c r="Q46" i="23"/>
  <c r="Q48" i="23"/>
  <c r="Q54" i="23"/>
  <c r="Q55" i="23"/>
  <c r="Q56" i="23"/>
  <c r="Q57" i="23"/>
  <c r="Q58" i="23"/>
  <c r="Q64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O69" i="23"/>
  <c r="O68" i="23" s="1"/>
  <c r="N69" i="23"/>
  <c r="N68" i="23" s="1"/>
  <c r="M69" i="23"/>
  <c r="M68" i="23" s="1"/>
  <c r="L69" i="23"/>
  <c r="L68" i="23" s="1"/>
  <c r="K69" i="23"/>
  <c r="K68" i="23" s="1"/>
  <c r="J69" i="23"/>
  <c r="J68" i="23" s="1"/>
  <c r="I69" i="23"/>
  <c r="I68" i="23" s="1"/>
  <c r="H69" i="23"/>
  <c r="H68" i="23" s="1"/>
  <c r="G69" i="23"/>
  <c r="G68" i="23" s="1"/>
  <c r="F69" i="23"/>
  <c r="F68" i="23" s="1"/>
  <c r="E69" i="23"/>
  <c r="D69" i="23"/>
  <c r="D68" i="23" s="1"/>
  <c r="D43" i="23"/>
  <c r="O43" i="23"/>
  <c r="N43" i="23"/>
  <c r="M43" i="23"/>
  <c r="L43" i="23"/>
  <c r="K43" i="23"/>
  <c r="K41" i="23" s="1"/>
  <c r="K38" i="23" s="1"/>
  <c r="J43" i="23"/>
  <c r="I43" i="23"/>
  <c r="H43" i="23"/>
  <c r="G43" i="23"/>
  <c r="F43" i="23"/>
  <c r="E43" i="23"/>
  <c r="E41" i="23" s="1"/>
  <c r="E38" i="23" s="1"/>
  <c r="O42" i="23"/>
  <c r="N42" i="23"/>
  <c r="M42" i="23"/>
  <c r="L42" i="23"/>
  <c r="K42" i="23"/>
  <c r="J42" i="23"/>
  <c r="I42" i="23"/>
  <c r="H42" i="23"/>
  <c r="G42" i="23"/>
  <c r="F42" i="23"/>
  <c r="E42" i="23"/>
  <c r="D42" i="23"/>
  <c r="O37" i="23"/>
  <c r="N37" i="23"/>
  <c r="M37" i="23"/>
  <c r="L37" i="23"/>
  <c r="K37" i="23"/>
  <c r="J37" i="23"/>
  <c r="I37" i="23"/>
  <c r="H37" i="23"/>
  <c r="G37" i="23"/>
  <c r="F37" i="23"/>
  <c r="E37" i="23"/>
  <c r="D37" i="23"/>
  <c r="O36" i="23"/>
  <c r="O35" i="23" s="1"/>
  <c r="O34" i="23" s="1"/>
  <c r="N36" i="23"/>
  <c r="N35" i="23" s="1"/>
  <c r="N34" i="23" s="1"/>
  <c r="M36" i="23"/>
  <c r="M35" i="23" s="1"/>
  <c r="M34" i="23" s="1"/>
  <c r="L36" i="23"/>
  <c r="K36" i="23"/>
  <c r="J36" i="23"/>
  <c r="I36" i="23"/>
  <c r="I35" i="23" s="1"/>
  <c r="I34" i="23" s="1"/>
  <c r="H36" i="23"/>
  <c r="H35" i="23" s="1"/>
  <c r="H34" i="23" s="1"/>
  <c r="G36" i="23"/>
  <c r="G35" i="23" s="1"/>
  <c r="G34" i="23" s="1"/>
  <c r="F36" i="23"/>
  <c r="F35" i="23" s="1"/>
  <c r="F34" i="23" s="1"/>
  <c r="E36" i="23"/>
  <c r="D36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O29" i="23"/>
  <c r="N29" i="23"/>
  <c r="M29" i="23"/>
  <c r="L29" i="23"/>
  <c r="K29" i="23"/>
  <c r="J29" i="23"/>
  <c r="I29" i="23"/>
  <c r="H29" i="23"/>
  <c r="G29" i="23"/>
  <c r="F29" i="23"/>
  <c r="E29" i="23"/>
  <c r="D29" i="23"/>
  <c r="O27" i="23"/>
  <c r="N27" i="23"/>
  <c r="M27" i="23"/>
  <c r="L27" i="23"/>
  <c r="K27" i="23"/>
  <c r="J27" i="23"/>
  <c r="I27" i="23"/>
  <c r="H27" i="23"/>
  <c r="G27" i="23"/>
  <c r="F27" i="23"/>
  <c r="E27" i="23"/>
  <c r="D27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O24" i="23"/>
  <c r="N24" i="23"/>
  <c r="M24" i="23"/>
  <c r="L24" i="23"/>
  <c r="K24" i="23"/>
  <c r="J24" i="23"/>
  <c r="I24" i="23"/>
  <c r="H24" i="23"/>
  <c r="G24" i="23"/>
  <c r="F24" i="23"/>
  <c r="E24" i="23"/>
  <c r="D24" i="23"/>
  <c r="O23" i="23"/>
  <c r="N23" i="23"/>
  <c r="M23" i="23"/>
  <c r="L23" i="23"/>
  <c r="K23" i="23"/>
  <c r="J23" i="23"/>
  <c r="I23" i="23"/>
  <c r="H23" i="23"/>
  <c r="G23" i="23"/>
  <c r="F23" i="23"/>
  <c r="E23" i="23"/>
  <c r="D23" i="23"/>
  <c r="O22" i="23"/>
  <c r="N22" i="23"/>
  <c r="M22" i="23"/>
  <c r="L22" i="23"/>
  <c r="K22" i="23"/>
  <c r="J22" i="23"/>
  <c r="I22" i="23"/>
  <c r="H22" i="23"/>
  <c r="G22" i="23"/>
  <c r="F22" i="23"/>
  <c r="E22" i="23"/>
  <c r="D22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O20" i="23"/>
  <c r="N20" i="23"/>
  <c r="M20" i="23"/>
  <c r="L20" i="23"/>
  <c r="K20" i="23"/>
  <c r="J20" i="23"/>
  <c r="I20" i="23"/>
  <c r="H20" i="23"/>
  <c r="G20" i="23"/>
  <c r="F20" i="23"/>
  <c r="E20" i="23"/>
  <c r="D20" i="23"/>
  <c r="O19" i="23"/>
  <c r="N19" i="23"/>
  <c r="M19" i="23"/>
  <c r="L19" i="23"/>
  <c r="K19" i="23"/>
  <c r="J19" i="23"/>
  <c r="I19" i="23"/>
  <c r="H19" i="23"/>
  <c r="G19" i="23"/>
  <c r="F19" i="23"/>
  <c r="E19" i="23"/>
  <c r="D19" i="23"/>
  <c r="O66" i="23"/>
  <c r="N66" i="23"/>
  <c r="M66" i="23"/>
  <c r="L66" i="23"/>
  <c r="K66" i="23"/>
  <c r="J66" i="23"/>
  <c r="I66" i="23"/>
  <c r="H66" i="23"/>
  <c r="G66" i="23"/>
  <c r="F66" i="23"/>
  <c r="E66" i="23"/>
  <c r="D66" i="23"/>
  <c r="O31" i="23"/>
  <c r="N31" i="23"/>
  <c r="M31" i="23"/>
  <c r="L31" i="23"/>
  <c r="K31" i="23"/>
  <c r="J31" i="23"/>
  <c r="I31" i="23"/>
  <c r="H31" i="23"/>
  <c r="G31" i="23"/>
  <c r="F31" i="23"/>
  <c r="E31" i="23"/>
  <c r="D31" i="23"/>
  <c r="D52" i="23"/>
  <c r="D51" i="23" s="1"/>
  <c r="O53" i="23"/>
  <c r="O52" i="23" s="1"/>
  <c r="O51" i="23" s="1"/>
  <c r="N53" i="23"/>
  <c r="N52" i="23" s="1"/>
  <c r="N51" i="23" s="1"/>
  <c r="M53" i="23"/>
  <c r="M52" i="23" s="1"/>
  <c r="M51" i="23" s="1"/>
  <c r="L53" i="23"/>
  <c r="L52" i="23" s="1"/>
  <c r="L51" i="23" s="1"/>
  <c r="K53" i="23"/>
  <c r="K52" i="23" s="1"/>
  <c r="K51" i="23" s="1"/>
  <c r="J53" i="23"/>
  <c r="J52" i="23" s="1"/>
  <c r="J51" i="23" s="1"/>
  <c r="I53" i="23"/>
  <c r="I52" i="23" s="1"/>
  <c r="I51" i="23" s="1"/>
  <c r="H53" i="23"/>
  <c r="H52" i="23" s="1"/>
  <c r="H51" i="23" s="1"/>
  <c r="G53" i="23"/>
  <c r="G52" i="23" s="1"/>
  <c r="G51" i="23" s="1"/>
  <c r="F53" i="23"/>
  <c r="F52" i="23" s="1"/>
  <c r="F51" i="23" s="1"/>
  <c r="E53" i="23"/>
  <c r="E52" i="23" s="1"/>
  <c r="E51" i="23" s="1"/>
  <c r="N60" i="23"/>
  <c r="N59" i="23" s="1"/>
  <c r="M60" i="23"/>
  <c r="M59" i="23" s="1"/>
  <c r="L60" i="23"/>
  <c r="L59" i="23" s="1"/>
  <c r="K60" i="23"/>
  <c r="K59" i="23" s="1"/>
  <c r="J60" i="23"/>
  <c r="I60" i="23"/>
  <c r="I59" i="23" s="1"/>
  <c r="H60" i="23"/>
  <c r="H59" i="23" s="1"/>
  <c r="G60" i="23"/>
  <c r="G59" i="23" s="1"/>
  <c r="F60" i="23"/>
  <c r="F59" i="23" s="1"/>
  <c r="E60" i="23"/>
  <c r="E59" i="23" s="1"/>
  <c r="D60" i="23"/>
  <c r="D59" i="23" s="1"/>
  <c r="J59" i="23"/>
  <c r="O61" i="23"/>
  <c r="O60" i="23" s="1"/>
  <c r="O59" i="23" s="1"/>
  <c r="P61" i="23"/>
  <c r="P60" i="23" s="1"/>
  <c r="P59" i="23" s="1"/>
  <c r="P67" i="23"/>
  <c r="P66" i="23" s="1"/>
  <c r="P50" i="23"/>
  <c r="Q50" i="23" s="1"/>
  <c r="P45" i="23"/>
  <c r="Q45" i="23" s="1"/>
  <c r="P44" i="23"/>
  <c r="Q44" i="23" s="1"/>
  <c r="P33" i="23"/>
  <c r="Q33" i="23" s="1"/>
  <c r="P32" i="23"/>
  <c r="Q32" i="23" s="1"/>
  <c r="P28" i="23"/>
  <c r="C61" i="23"/>
  <c r="Q61" i="23" s="1"/>
  <c r="C53" i="23"/>
  <c r="C28" i="23"/>
  <c r="C18" i="23" s="1"/>
  <c r="C9" i="23"/>
  <c r="C8" i="23" s="1"/>
  <c r="C31" i="23"/>
  <c r="C35" i="23"/>
  <c r="C34" i="23" s="1"/>
  <c r="C39" i="23"/>
  <c r="C41" i="23"/>
  <c r="C47" i="23"/>
  <c r="Q47" i="23" s="1"/>
  <c r="C49" i="23"/>
  <c r="H41" i="23" l="1"/>
  <c r="H38" i="23" s="1"/>
  <c r="J35" i="23"/>
  <c r="J34" i="23" s="1"/>
  <c r="K35" i="23"/>
  <c r="K34" i="23" s="1"/>
  <c r="D35" i="23"/>
  <c r="D34" i="23" s="1"/>
  <c r="L35" i="23"/>
  <c r="L34" i="23" s="1"/>
  <c r="Q39" i="23"/>
  <c r="C17" i="23"/>
  <c r="P21" i="23"/>
  <c r="Q21" i="23" s="1"/>
  <c r="M41" i="23"/>
  <c r="M38" i="23" s="1"/>
  <c r="P37" i="23"/>
  <c r="Q37" i="23" s="1"/>
  <c r="D65" i="23"/>
  <c r="Q67" i="23"/>
  <c r="Q28" i="23"/>
  <c r="P53" i="23"/>
  <c r="Q53" i="23" s="1"/>
  <c r="L41" i="23"/>
  <c r="L38" i="23" s="1"/>
  <c r="D41" i="23"/>
  <c r="D38" i="23" s="1"/>
  <c r="G65" i="23"/>
  <c r="K65" i="23"/>
  <c r="O65" i="23"/>
  <c r="I41" i="23"/>
  <c r="I38" i="23" s="1"/>
  <c r="G41" i="23"/>
  <c r="G38" i="23" s="1"/>
  <c r="O41" i="23"/>
  <c r="O38" i="23" s="1"/>
  <c r="P19" i="23"/>
  <c r="Q19" i="23" s="1"/>
  <c r="P23" i="23"/>
  <c r="Q23" i="23" s="1"/>
  <c r="P27" i="23"/>
  <c r="Q27" i="23" s="1"/>
  <c r="P30" i="23"/>
  <c r="Q30" i="23" s="1"/>
  <c r="P36" i="23"/>
  <c r="Q36" i="23" s="1"/>
  <c r="P42" i="23"/>
  <c r="P43" i="23"/>
  <c r="Q43" i="23" s="1"/>
  <c r="P69" i="23"/>
  <c r="I65" i="23"/>
  <c r="M65" i="23"/>
  <c r="E25" i="23"/>
  <c r="E18" i="23" s="1"/>
  <c r="E17" i="23" s="1"/>
  <c r="I25" i="23"/>
  <c r="I18" i="23" s="1"/>
  <c r="I17" i="23" s="1"/>
  <c r="E35" i="23"/>
  <c r="E34" i="23" s="1"/>
  <c r="F25" i="23"/>
  <c r="F18" i="23" s="1"/>
  <c r="F17" i="23" s="1"/>
  <c r="J25" i="23"/>
  <c r="J18" i="23" s="1"/>
  <c r="J17" i="23" s="1"/>
  <c r="N25" i="23"/>
  <c r="N18" i="23" s="1"/>
  <c r="N17" i="23" s="1"/>
  <c r="P29" i="23"/>
  <c r="Q29" i="23" s="1"/>
  <c r="F41" i="23"/>
  <c r="F38" i="23" s="1"/>
  <c r="J41" i="23"/>
  <c r="J38" i="23" s="1"/>
  <c r="N41" i="23"/>
  <c r="N38" i="23" s="1"/>
  <c r="K25" i="23"/>
  <c r="K18" i="23" s="1"/>
  <c r="K17" i="23" s="1"/>
  <c r="G25" i="23"/>
  <c r="G18" i="23" s="1"/>
  <c r="G17" i="23" s="1"/>
  <c r="O25" i="23"/>
  <c r="O18" i="23" s="1"/>
  <c r="O17" i="23" s="1"/>
  <c r="P20" i="23"/>
  <c r="Q20" i="23" s="1"/>
  <c r="P22" i="23"/>
  <c r="Q22" i="23" s="1"/>
  <c r="P24" i="23"/>
  <c r="Q24" i="23" s="1"/>
  <c r="D25" i="23"/>
  <c r="D18" i="23" s="1"/>
  <c r="D17" i="23" s="1"/>
  <c r="H25" i="23"/>
  <c r="H18" i="23" s="1"/>
  <c r="H17" i="23" s="1"/>
  <c r="L25" i="23"/>
  <c r="L18" i="23" s="1"/>
  <c r="L17" i="23" s="1"/>
  <c r="P26" i="23"/>
  <c r="Q26" i="23" s="1"/>
  <c r="M25" i="23"/>
  <c r="M18" i="23" s="1"/>
  <c r="M17" i="23" s="1"/>
  <c r="E68" i="23"/>
  <c r="E65" i="23" s="1"/>
  <c r="P31" i="23"/>
  <c r="Q31" i="23" s="1"/>
  <c r="F65" i="23"/>
  <c r="J65" i="23"/>
  <c r="N65" i="23"/>
  <c r="H65" i="23"/>
  <c r="L65" i="23"/>
  <c r="C38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E10" i="23"/>
  <c r="F10" i="23"/>
  <c r="G10" i="23"/>
  <c r="H10" i="23"/>
  <c r="I10" i="23"/>
  <c r="J10" i="23"/>
  <c r="K10" i="23"/>
  <c r="L10" i="23"/>
  <c r="M10" i="23"/>
  <c r="N10" i="23"/>
  <c r="O10" i="23"/>
  <c r="D10" i="23"/>
  <c r="P35" i="23" l="1"/>
  <c r="P34" i="23" s="1"/>
  <c r="Q34" i="23" s="1"/>
  <c r="Q42" i="23"/>
  <c r="P41" i="23"/>
  <c r="P68" i="23"/>
  <c r="P65" i="23" s="1"/>
  <c r="Q65" i="23" s="1"/>
  <c r="Q69" i="23"/>
  <c r="O9" i="23"/>
  <c r="O8" i="23" s="1"/>
  <c r="K9" i="23"/>
  <c r="K8" i="23" s="1"/>
  <c r="G9" i="23"/>
  <c r="G8" i="23" s="1"/>
  <c r="M9" i="23"/>
  <c r="M8" i="23" s="1"/>
  <c r="I9" i="23"/>
  <c r="I8" i="23" s="1"/>
  <c r="E9" i="23"/>
  <c r="E8" i="23" s="1"/>
  <c r="N9" i="23"/>
  <c r="N8" i="23" s="1"/>
  <c r="J9" i="23"/>
  <c r="J8" i="23" s="1"/>
  <c r="F9" i="23"/>
  <c r="F8" i="23" s="1"/>
  <c r="P15" i="23"/>
  <c r="Q15" i="23" s="1"/>
  <c r="P13" i="23"/>
  <c r="Q13" i="23" s="1"/>
  <c r="P11" i="23"/>
  <c r="Q11" i="23" s="1"/>
  <c r="P25" i="23"/>
  <c r="P14" i="23"/>
  <c r="Q14" i="23" s="1"/>
  <c r="P12" i="23"/>
  <c r="Q12" i="23" s="1"/>
  <c r="P10" i="23"/>
  <c r="Q10" i="23" s="1"/>
  <c r="L9" i="23"/>
  <c r="L8" i="23" s="1"/>
  <c r="H9" i="23"/>
  <c r="H8" i="23" s="1"/>
  <c r="D9" i="23"/>
  <c r="D8" i="23" s="1"/>
  <c r="Q35" i="23" l="1"/>
  <c r="Q41" i="23"/>
  <c r="P18" i="23"/>
  <c r="Q18" i="23" s="1"/>
  <c r="Q25" i="23"/>
  <c r="G45" i="18"/>
  <c r="G28" i="18"/>
  <c r="G25" i="18" s="1"/>
  <c r="G15" i="18"/>
  <c r="P17" i="23" l="1"/>
  <c r="Q17" i="23" s="1"/>
  <c r="Q68" i="23"/>
  <c r="Q66" i="23"/>
  <c r="P63" i="23"/>
  <c r="P62" i="23" s="1"/>
  <c r="C63" i="23"/>
  <c r="C60" i="23"/>
  <c r="C52" i="23"/>
  <c r="P52" i="23"/>
  <c r="P51" i="23" s="1"/>
  <c r="P49" i="23"/>
  <c r="P9" i="23"/>
  <c r="C53" i="18"/>
  <c r="S20" i="24" s="1"/>
  <c r="S22" i="24" s="1"/>
  <c r="D61" i="18"/>
  <c r="C51" i="23" l="1"/>
  <c r="Q51" i="23" s="1"/>
  <c r="Q52" i="23"/>
  <c r="P8" i="23"/>
  <c r="Q8" i="23" s="1"/>
  <c r="Q9" i="23"/>
  <c r="C59" i="23"/>
  <c r="Q59" i="23" s="1"/>
  <c r="Q60" i="23"/>
  <c r="Q49" i="23"/>
  <c r="P38" i="23"/>
  <c r="Q38" i="23" s="1"/>
  <c r="C62" i="23"/>
  <c r="Q62" i="23" s="1"/>
  <c r="Q63" i="23"/>
  <c r="C70" i="23" l="1"/>
  <c r="C71" i="23" s="1"/>
  <c r="P70" i="23"/>
  <c r="L10" i="22"/>
  <c r="L64" i="22"/>
  <c r="R64" i="22" s="1"/>
  <c r="L14" i="22"/>
  <c r="I59" i="22" l="1"/>
  <c r="O59" i="22"/>
  <c r="P71" i="23"/>
  <c r="Q70" i="23"/>
  <c r="Q71" i="23" l="1"/>
  <c r="M59" i="22"/>
  <c r="P59" i="22"/>
  <c r="M10" i="22"/>
  <c r="Q10" i="22" s="1"/>
  <c r="R10" i="22" s="1"/>
  <c r="M14" i="22"/>
  <c r="Q14" i="22" s="1"/>
  <c r="R14" i="22" s="1"/>
  <c r="U144" i="9"/>
  <c r="K9" i="20" l="1"/>
  <c r="I9" i="20"/>
  <c r="G160" i="4" l="1"/>
  <c r="S125" i="9" l="1"/>
  <c r="J83" i="6"/>
  <c r="S122" i="9" l="1"/>
  <c r="J44" i="6"/>
  <c r="I47" i="7"/>
  <c r="I44" i="7"/>
  <c r="J74" i="6" l="1"/>
  <c r="K102" i="9"/>
  <c r="K101" i="9" s="1"/>
  <c r="J102" i="9"/>
  <c r="J101" i="9" s="1"/>
  <c r="I102" i="9"/>
  <c r="I101" i="9" s="1"/>
  <c r="H102" i="9"/>
  <c r="H101" i="9" s="1"/>
  <c r="L102" i="9" l="1"/>
  <c r="L101" i="9" s="1"/>
  <c r="J7" i="20"/>
  <c r="O68" i="22" l="1"/>
  <c r="I68" i="22"/>
  <c r="L68" i="22"/>
  <c r="L7" i="20"/>
  <c r="J9" i="20"/>
  <c r="H40" i="9" l="1"/>
  <c r="L40" i="9" s="1"/>
  <c r="L39" i="9" s="1"/>
  <c r="C40" i="9"/>
  <c r="L9" i="20"/>
  <c r="D43" i="5"/>
  <c r="C43" i="5"/>
  <c r="M68" i="22"/>
  <c r="P68" i="22"/>
  <c r="Q68" i="22" s="1"/>
  <c r="R68" i="22" s="1"/>
  <c r="D53" i="7" l="1"/>
  <c r="J65" i="6" l="1"/>
  <c r="F69" i="18" l="1"/>
  <c r="F68" i="18" s="1"/>
  <c r="E68" i="18"/>
  <c r="D68" i="18"/>
  <c r="P97" i="9" l="1"/>
  <c r="S97" i="9" s="1"/>
  <c r="L96" i="9"/>
  <c r="L97" i="9"/>
  <c r="H20" i="8"/>
  <c r="H21" i="8"/>
  <c r="R96" i="9"/>
  <c r="S96" i="9" s="1"/>
  <c r="AH96" i="9" l="1"/>
  <c r="C99" i="10" s="1"/>
  <c r="R95" i="9"/>
  <c r="C61" i="9"/>
  <c r="K66" i="9"/>
  <c r="G74" i="4"/>
  <c r="F73" i="4"/>
  <c r="D73" i="4"/>
  <c r="E73" i="4"/>
  <c r="E68" i="4" s="1"/>
  <c r="C73" i="4"/>
  <c r="C68" i="4" s="1"/>
  <c r="G73" i="4" l="1"/>
  <c r="C107" i="5"/>
  <c r="C106" i="5" s="1"/>
  <c r="F66" i="9"/>
  <c r="C45" i="9" l="1"/>
  <c r="O50" i="22"/>
  <c r="F84" i="9" l="1"/>
  <c r="D85" i="5"/>
  <c r="G49" i="18" l="1"/>
  <c r="G41" i="18"/>
  <c r="G31" i="18"/>
  <c r="F67" i="18" l="1"/>
  <c r="J67" i="18" l="1"/>
  <c r="F66" i="18"/>
  <c r="F65" i="18" s="1"/>
  <c r="G68" i="18"/>
  <c r="J69" i="18"/>
  <c r="G35" i="18"/>
  <c r="G34" i="18" s="1"/>
  <c r="J66" i="18" l="1"/>
  <c r="L72" i="22"/>
  <c r="L70" i="22"/>
  <c r="I61" i="22"/>
  <c r="P61" i="22" s="1"/>
  <c r="L60" i="22"/>
  <c r="O51" i="22"/>
  <c r="O48" i="22"/>
  <c r="I22" i="22"/>
  <c r="I21" i="22"/>
  <c r="L18" i="22"/>
  <c r="I13" i="22"/>
  <c r="I12" i="22"/>
  <c r="L61" i="22"/>
  <c r="L71" i="22"/>
  <c r="I71" i="22"/>
  <c r="I72" i="22"/>
  <c r="M72" i="22" s="1"/>
  <c r="O72" i="22"/>
  <c r="O71" i="22"/>
  <c r="L50" i="22"/>
  <c r="L22" i="22"/>
  <c r="L17" i="22"/>
  <c r="I50" i="22"/>
  <c r="O52" i="22"/>
  <c r="I17" i="22"/>
  <c r="P12" i="22" l="1"/>
  <c r="P13" i="22"/>
  <c r="L20" i="22"/>
  <c r="O20" i="22"/>
  <c r="I63" i="22"/>
  <c r="O63" i="22"/>
  <c r="L69" i="22"/>
  <c r="O69" i="22"/>
  <c r="H16" i="22"/>
  <c r="I9" i="22"/>
  <c r="P21" i="22"/>
  <c r="L65" i="22"/>
  <c r="O65" i="22"/>
  <c r="P17" i="22"/>
  <c r="P50" i="22"/>
  <c r="P22" i="22"/>
  <c r="L66" i="22"/>
  <c r="O66" i="22"/>
  <c r="L19" i="22"/>
  <c r="O19" i="22"/>
  <c r="I62" i="22"/>
  <c r="O62" i="22"/>
  <c r="O67" i="22"/>
  <c r="L52" i="22"/>
  <c r="I51" i="22"/>
  <c r="O9" i="22"/>
  <c r="I15" i="22"/>
  <c r="O15" i="22"/>
  <c r="I11" i="22"/>
  <c r="O11" i="22"/>
  <c r="I48" i="22"/>
  <c r="L59" i="22"/>
  <c r="L51" i="22"/>
  <c r="L62" i="22"/>
  <c r="L49" i="22"/>
  <c r="I60" i="22"/>
  <c r="I69" i="22"/>
  <c r="I19" i="22"/>
  <c r="L67" i="22"/>
  <c r="I20" i="22"/>
  <c r="I52" i="22"/>
  <c r="I18" i="22"/>
  <c r="G18" i="18"/>
  <c r="G17" i="18" s="1"/>
  <c r="G9" i="18"/>
  <c r="G8" i="18" s="1"/>
  <c r="Q72" i="22"/>
  <c r="M71" i="22"/>
  <c r="R71" i="22" s="1"/>
  <c r="O70" i="22"/>
  <c r="I70" i="22"/>
  <c r="M70" i="22" s="1"/>
  <c r="I66" i="22"/>
  <c r="I65" i="22"/>
  <c r="L63" i="22"/>
  <c r="L48" i="22"/>
  <c r="L21" i="22"/>
  <c r="R72" i="22"/>
  <c r="P60" i="22" l="1"/>
  <c r="I73" i="22"/>
  <c r="H11" i="9"/>
  <c r="C11" i="9"/>
  <c r="P48" i="22"/>
  <c r="P15" i="22"/>
  <c r="M62" i="22"/>
  <c r="P62" i="22"/>
  <c r="P18" i="22"/>
  <c r="P19" i="22"/>
  <c r="O16" i="22"/>
  <c r="M67" i="22"/>
  <c r="P67" i="22"/>
  <c r="I16" i="22"/>
  <c r="M65" i="22"/>
  <c r="P65" i="22"/>
  <c r="M66" i="22"/>
  <c r="P66" i="22"/>
  <c r="M52" i="22"/>
  <c r="P52" i="22"/>
  <c r="M69" i="22"/>
  <c r="P69" i="22"/>
  <c r="P11" i="22"/>
  <c r="M51" i="22"/>
  <c r="P51" i="22"/>
  <c r="M63" i="22"/>
  <c r="P63" i="22"/>
  <c r="L53" i="22"/>
  <c r="J13" i="9" s="1"/>
  <c r="L73" i="22"/>
  <c r="K13" i="9" s="1"/>
  <c r="Q71" i="22"/>
  <c r="R70" i="22"/>
  <c r="Q70" i="22"/>
  <c r="P16" i="22" l="1"/>
  <c r="P23" i="22"/>
  <c r="P73" i="22"/>
  <c r="P53" i="22"/>
  <c r="Q67" i="22"/>
  <c r="R67" i="22" s="1"/>
  <c r="L74" i="22"/>
  <c r="Q11" i="22"/>
  <c r="Q65" i="22"/>
  <c r="R65" i="22" s="1"/>
  <c r="J24" i="6"/>
  <c r="F136" i="4"/>
  <c r="S132" i="9"/>
  <c r="M126" i="9"/>
  <c r="M121" i="9" s="1"/>
  <c r="J89" i="6"/>
  <c r="J59" i="6"/>
  <c r="J68" i="6"/>
  <c r="J71" i="6"/>
  <c r="J53" i="6"/>
  <c r="J50" i="6"/>
  <c r="J35" i="6"/>
  <c r="J41" i="6"/>
  <c r="J47" i="6"/>
  <c r="J32" i="6"/>
  <c r="I17" i="6"/>
  <c r="I92" i="6" s="1"/>
  <c r="T93" i="9"/>
  <c r="AH93" i="9" s="1"/>
  <c r="C96" i="10" s="1"/>
  <c r="X139" i="9"/>
  <c r="X120" i="9" s="1"/>
  <c r="X161" i="9" s="1"/>
  <c r="G19" i="14" s="1"/>
  <c r="G17" i="14" s="1"/>
  <c r="G16" i="14" s="1"/>
  <c r="O121" i="9"/>
  <c r="N121" i="9"/>
  <c r="E71" i="9"/>
  <c r="E70" i="9" s="1"/>
  <c r="D71" i="9"/>
  <c r="G33" i="4"/>
  <c r="C66" i="5" s="1"/>
  <c r="C102" i="9"/>
  <c r="G102" i="9" s="1"/>
  <c r="AH102" i="9" s="1"/>
  <c r="C105" i="10" s="1"/>
  <c r="D104" i="10" s="1"/>
  <c r="F85" i="9"/>
  <c r="D50" i="7"/>
  <c r="O146" i="9" s="1"/>
  <c r="S146" i="9" s="1"/>
  <c r="O147" i="9"/>
  <c r="S147" i="9" s="1"/>
  <c r="H118" i="9"/>
  <c r="H116" i="9" s="1"/>
  <c r="J12" i="18"/>
  <c r="J11" i="18"/>
  <c r="E10" i="21"/>
  <c r="C184" i="4"/>
  <c r="E184" i="4"/>
  <c r="F184" i="4"/>
  <c r="F106" i="5"/>
  <c r="E106" i="5"/>
  <c r="G179" i="4"/>
  <c r="D107" i="5" s="1"/>
  <c r="D178" i="4"/>
  <c r="E178" i="4"/>
  <c r="E173" i="4" s="1"/>
  <c r="F178" i="4"/>
  <c r="F173" i="4" s="1"/>
  <c r="C178" i="4"/>
  <c r="G78" i="4"/>
  <c r="C111" i="5" s="1"/>
  <c r="C108" i="5" s="1"/>
  <c r="C101" i="5" s="1"/>
  <c r="G55" i="4"/>
  <c r="C88" i="5" s="1"/>
  <c r="C25" i="5"/>
  <c r="M50" i="22"/>
  <c r="J22" i="18"/>
  <c r="J25" i="18"/>
  <c r="D19" i="21"/>
  <c r="D20" i="21" s="1"/>
  <c r="H15" i="9" s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83" i="9"/>
  <c r="W84" i="9"/>
  <c r="W85" i="9"/>
  <c r="W86" i="9"/>
  <c r="W87" i="9"/>
  <c r="W88" i="9"/>
  <c r="W89" i="9"/>
  <c r="W90" i="9"/>
  <c r="W91" i="9"/>
  <c r="W92" i="9"/>
  <c r="W94" i="9"/>
  <c r="W95" i="9"/>
  <c r="W97" i="9"/>
  <c r="AH97" i="9" s="1"/>
  <c r="AH100" i="9"/>
  <c r="W103" i="9"/>
  <c r="W104" i="9"/>
  <c r="W105" i="9"/>
  <c r="W106" i="9"/>
  <c r="W107" i="9"/>
  <c r="W108" i="9"/>
  <c r="W109" i="9"/>
  <c r="W110" i="9"/>
  <c r="W111" i="9"/>
  <c r="W112" i="9"/>
  <c r="W113" i="9"/>
  <c r="W114" i="9"/>
  <c r="W115" i="9"/>
  <c r="W116" i="9"/>
  <c r="W117" i="9"/>
  <c r="W118" i="9"/>
  <c r="W119" i="9"/>
  <c r="W121" i="9"/>
  <c r="W122" i="9"/>
  <c r="W123" i="9"/>
  <c r="W124" i="9"/>
  <c r="W125" i="9"/>
  <c r="W126" i="9"/>
  <c r="W127" i="9"/>
  <c r="W128" i="9"/>
  <c r="W129" i="9"/>
  <c r="W130" i="9"/>
  <c r="W131" i="9"/>
  <c r="W132" i="9"/>
  <c r="W133" i="9"/>
  <c r="W134" i="9"/>
  <c r="W135" i="9"/>
  <c r="W136" i="9"/>
  <c r="W137" i="9"/>
  <c r="W138" i="9"/>
  <c r="W141" i="9"/>
  <c r="W143" i="9"/>
  <c r="W144" i="9"/>
  <c r="W145" i="9"/>
  <c r="W146" i="9"/>
  <c r="W147" i="9"/>
  <c r="W148" i="9"/>
  <c r="W149" i="9"/>
  <c r="W150" i="9"/>
  <c r="W151" i="9"/>
  <c r="W152" i="9"/>
  <c r="W9" i="9"/>
  <c r="S74" i="9"/>
  <c r="S151" i="9"/>
  <c r="S148" i="9"/>
  <c r="S113" i="9"/>
  <c r="S88" i="9"/>
  <c r="S89" i="9"/>
  <c r="S90" i="9"/>
  <c r="S91" i="9"/>
  <c r="S92" i="9"/>
  <c r="S73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71" i="9"/>
  <c r="S46" i="9"/>
  <c r="S49" i="9"/>
  <c r="S50" i="9"/>
  <c r="S56" i="9"/>
  <c r="S57" i="9"/>
  <c r="S58" i="9"/>
  <c r="S59" i="9"/>
  <c r="S60" i="9"/>
  <c r="S62" i="9"/>
  <c r="S63" i="9"/>
  <c r="S64" i="9"/>
  <c r="S65" i="9"/>
  <c r="S66" i="9"/>
  <c r="S67" i="9"/>
  <c r="S68" i="9"/>
  <c r="S69" i="9"/>
  <c r="S45" i="9"/>
  <c r="S40" i="9"/>
  <c r="S39" i="9"/>
  <c r="S32" i="9"/>
  <c r="S31" i="9"/>
  <c r="S29" i="9"/>
  <c r="S28" i="9"/>
  <c r="S26" i="9"/>
  <c r="S25" i="9"/>
  <c r="S23" i="9"/>
  <c r="S11" i="9"/>
  <c r="S12" i="9"/>
  <c r="S13" i="9"/>
  <c r="S14" i="9"/>
  <c r="S15" i="9"/>
  <c r="S16" i="9"/>
  <c r="N130" i="9"/>
  <c r="S61" i="9"/>
  <c r="S54" i="9"/>
  <c r="S53" i="9"/>
  <c r="S52" i="9"/>
  <c r="S48" i="9"/>
  <c r="S47" i="9"/>
  <c r="J21" i="6"/>
  <c r="J20" i="6"/>
  <c r="J19" i="6"/>
  <c r="J18" i="6"/>
  <c r="H17" i="6"/>
  <c r="H92" i="6" s="1"/>
  <c r="G17" i="6"/>
  <c r="F17" i="6"/>
  <c r="F92" i="6" s="1"/>
  <c r="E17" i="6"/>
  <c r="S70" i="9"/>
  <c r="R152" i="9"/>
  <c r="R150" i="9" s="1"/>
  <c r="R149" i="9" s="1"/>
  <c r="S99" i="9"/>
  <c r="S104" i="9"/>
  <c r="S105" i="9"/>
  <c r="S107" i="9"/>
  <c r="S108" i="9"/>
  <c r="S109" i="9"/>
  <c r="S110" i="9"/>
  <c r="S111" i="9"/>
  <c r="C52" i="9"/>
  <c r="D52" i="9"/>
  <c r="E52" i="9"/>
  <c r="F52" i="9"/>
  <c r="F48" i="9"/>
  <c r="E11" i="21"/>
  <c r="E12" i="21"/>
  <c r="E13" i="21"/>
  <c r="E14" i="21"/>
  <c r="E15" i="21"/>
  <c r="E16" i="21"/>
  <c r="E17" i="21"/>
  <c r="E18" i="21"/>
  <c r="E9" i="21"/>
  <c r="C47" i="18"/>
  <c r="J10" i="18"/>
  <c r="P152" i="9"/>
  <c r="H92" i="9"/>
  <c r="H91" i="9" s="1"/>
  <c r="L14" i="9"/>
  <c r="F71" i="9"/>
  <c r="E48" i="9"/>
  <c r="D48" i="9"/>
  <c r="C92" i="9"/>
  <c r="C91" i="9" s="1"/>
  <c r="C48" i="9"/>
  <c r="C94" i="5"/>
  <c r="C92" i="5" s="1"/>
  <c r="C38" i="4"/>
  <c r="C32" i="4"/>
  <c r="C12" i="4"/>
  <c r="C59" i="4"/>
  <c r="C54" i="4"/>
  <c r="G13" i="4"/>
  <c r="C48" i="5" s="1"/>
  <c r="G32" i="9"/>
  <c r="G31" i="9" s="1"/>
  <c r="G47" i="18"/>
  <c r="G38" i="18" s="1"/>
  <c r="H24" i="8"/>
  <c r="R106" i="9"/>
  <c r="I47" i="9"/>
  <c r="J20" i="18"/>
  <c r="M12" i="22"/>
  <c r="Q12" i="22" s="1"/>
  <c r="L12" i="22"/>
  <c r="M15" i="22"/>
  <c r="Q15" i="22" s="1"/>
  <c r="L15" i="22"/>
  <c r="F53" i="18"/>
  <c r="G98" i="4"/>
  <c r="G97" i="4" s="1"/>
  <c r="G96" i="4" s="1"/>
  <c r="G45" i="9"/>
  <c r="C47" i="9"/>
  <c r="C53" i="9"/>
  <c r="C56" i="9"/>
  <c r="C57" i="9"/>
  <c r="C60" i="9"/>
  <c r="C63" i="9"/>
  <c r="C65" i="9"/>
  <c r="C66" i="9"/>
  <c r="G66" i="9" s="1"/>
  <c r="C67" i="9"/>
  <c r="C71" i="9"/>
  <c r="C72" i="9"/>
  <c r="C74" i="9"/>
  <c r="G74" i="9" s="1"/>
  <c r="C75" i="9"/>
  <c r="C76" i="9"/>
  <c r="G76" i="9" s="1"/>
  <c r="C77" i="9"/>
  <c r="G77" i="9" s="1"/>
  <c r="C78" i="9"/>
  <c r="G78" i="9" s="1"/>
  <c r="C79" i="9"/>
  <c r="G79" i="9" s="1"/>
  <c r="C80" i="9"/>
  <c r="G80" i="9" s="1"/>
  <c r="C81" i="9"/>
  <c r="G81" i="9" s="1"/>
  <c r="C82" i="9"/>
  <c r="G82" i="9" s="1"/>
  <c r="C84" i="9"/>
  <c r="G84" i="9" s="1"/>
  <c r="C85" i="9"/>
  <c r="C87" i="9"/>
  <c r="C89" i="9"/>
  <c r="C90" i="9"/>
  <c r="D47" i="9"/>
  <c r="D53" i="9"/>
  <c r="D56" i="9"/>
  <c r="D57" i="9"/>
  <c r="D60" i="9"/>
  <c r="D63" i="9"/>
  <c r="D67" i="9"/>
  <c r="D64" i="9" s="1"/>
  <c r="D75" i="9"/>
  <c r="D87" i="9"/>
  <c r="D89" i="9"/>
  <c r="D90" i="9"/>
  <c r="E47" i="9"/>
  <c r="E53" i="9"/>
  <c r="E56" i="9"/>
  <c r="E57" i="9"/>
  <c r="E60" i="9"/>
  <c r="E63" i="9"/>
  <c r="E67" i="9"/>
  <c r="E64" i="9" s="1"/>
  <c r="E87" i="9"/>
  <c r="E89" i="9"/>
  <c r="E90" i="9"/>
  <c r="F47" i="9"/>
  <c r="F50" i="9"/>
  <c r="G50" i="9" s="1"/>
  <c r="F53" i="9"/>
  <c r="F56" i="9"/>
  <c r="F57" i="9"/>
  <c r="F60" i="9"/>
  <c r="F63" i="9"/>
  <c r="F67" i="9"/>
  <c r="F69" i="9"/>
  <c r="G69" i="9" s="1"/>
  <c r="F72" i="9"/>
  <c r="F87" i="9"/>
  <c r="F89" i="9"/>
  <c r="F90" i="9"/>
  <c r="H45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3" i="9"/>
  <c r="H65" i="9"/>
  <c r="H66" i="9"/>
  <c r="L66" i="9" s="1"/>
  <c r="H67" i="9"/>
  <c r="H71" i="9"/>
  <c r="H72" i="9"/>
  <c r="H74" i="9"/>
  <c r="H75" i="9"/>
  <c r="H76" i="9"/>
  <c r="H77" i="9"/>
  <c r="H78" i="9"/>
  <c r="H79" i="9"/>
  <c r="H80" i="9"/>
  <c r="H81" i="9"/>
  <c r="H82" i="9"/>
  <c r="H83" i="9"/>
  <c r="H84" i="9"/>
  <c r="H85" i="9"/>
  <c r="H87" i="9"/>
  <c r="H89" i="9"/>
  <c r="H90" i="9"/>
  <c r="I45" i="9"/>
  <c r="I46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L62" i="9" s="1"/>
  <c r="I63" i="9"/>
  <c r="I71" i="9"/>
  <c r="I72" i="9"/>
  <c r="I74" i="9"/>
  <c r="I75" i="9"/>
  <c r="I76" i="9"/>
  <c r="I77" i="9"/>
  <c r="I78" i="9"/>
  <c r="I79" i="9"/>
  <c r="I80" i="9"/>
  <c r="I81" i="9"/>
  <c r="I82" i="9"/>
  <c r="I83" i="9"/>
  <c r="I84" i="9"/>
  <c r="I85" i="9"/>
  <c r="I87" i="9"/>
  <c r="I89" i="9"/>
  <c r="I6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3" i="9"/>
  <c r="J71" i="9"/>
  <c r="J72" i="9"/>
  <c r="J74" i="9"/>
  <c r="J75" i="9"/>
  <c r="J76" i="9"/>
  <c r="J77" i="9"/>
  <c r="J78" i="9"/>
  <c r="J79" i="9"/>
  <c r="J80" i="9"/>
  <c r="J81" i="9"/>
  <c r="J82" i="9"/>
  <c r="J83" i="9"/>
  <c r="J84" i="9"/>
  <c r="J85" i="9"/>
  <c r="J87" i="9"/>
  <c r="J89" i="9"/>
  <c r="J64" i="9"/>
  <c r="K45" i="9"/>
  <c r="K46" i="9"/>
  <c r="K47" i="9"/>
  <c r="K48" i="9"/>
  <c r="K49" i="9"/>
  <c r="K50" i="9"/>
  <c r="K51" i="9"/>
  <c r="K52" i="9"/>
  <c r="K53" i="9"/>
  <c r="K54" i="9"/>
  <c r="K55" i="9"/>
  <c r="W67" i="9"/>
  <c r="K56" i="9"/>
  <c r="K57" i="9"/>
  <c r="K58" i="9"/>
  <c r="K59" i="9"/>
  <c r="K60" i="9"/>
  <c r="K61" i="9"/>
  <c r="K63" i="9"/>
  <c r="K67" i="9"/>
  <c r="K69" i="9"/>
  <c r="L69" i="9" s="1"/>
  <c r="K71" i="9"/>
  <c r="K72" i="9"/>
  <c r="K74" i="9"/>
  <c r="K75" i="9"/>
  <c r="K76" i="9"/>
  <c r="K77" i="9"/>
  <c r="K78" i="9"/>
  <c r="K79" i="9"/>
  <c r="K80" i="9"/>
  <c r="K81" i="9"/>
  <c r="K82" i="9"/>
  <c r="K83" i="9"/>
  <c r="K84" i="9"/>
  <c r="K85" i="9"/>
  <c r="K87" i="9"/>
  <c r="K89" i="9"/>
  <c r="H106" i="9"/>
  <c r="H103" i="9" s="1"/>
  <c r="I106" i="9"/>
  <c r="I103" i="9" s="1"/>
  <c r="I107" i="9"/>
  <c r="I95" i="9"/>
  <c r="J106" i="9"/>
  <c r="J103" i="9" s="1"/>
  <c r="D106" i="9"/>
  <c r="G106" i="9" s="1"/>
  <c r="D107" i="9"/>
  <c r="D95" i="9"/>
  <c r="F103" i="9"/>
  <c r="I113" i="9"/>
  <c r="I116" i="9"/>
  <c r="C118" i="9"/>
  <c r="C116" i="9" s="1"/>
  <c r="D113" i="9"/>
  <c r="D116" i="9"/>
  <c r="L141" i="9"/>
  <c r="G139" i="9"/>
  <c r="G120" i="9" s="1"/>
  <c r="L35" i="9"/>
  <c r="L37" i="9"/>
  <c r="C17" i="9"/>
  <c r="C22" i="9"/>
  <c r="C34" i="9"/>
  <c r="C37" i="9"/>
  <c r="D17" i="9"/>
  <c r="D31" i="9"/>
  <c r="D37" i="9"/>
  <c r="D39" i="9"/>
  <c r="D28" i="9"/>
  <c r="D25" i="9"/>
  <c r="E17" i="9"/>
  <c r="E31" i="9"/>
  <c r="E34" i="9"/>
  <c r="E37" i="9"/>
  <c r="E28" i="9"/>
  <c r="E25" i="9"/>
  <c r="F17" i="9"/>
  <c r="F31" i="9"/>
  <c r="F34" i="9"/>
  <c r="F37" i="9"/>
  <c r="F28" i="9"/>
  <c r="F25" i="9"/>
  <c r="I52" i="7"/>
  <c r="I53" i="7"/>
  <c r="G35" i="4"/>
  <c r="C68" i="5" s="1"/>
  <c r="G34" i="4"/>
  <c r="C67" i="5" s="1"/>
  <c r="G37" i="4"/>
  <c r="C70" i="5" s="1"/>
  <c r="G20" i="4"/>
  <c r="C53" i="5" s="1"/>
  <c r="G21" i="4"/>
  <c r="C54" i="5" s="1"/>
  <c r="G15" i="4"/>
  <c r="C49" i="5" s="1"/>
  <c r="G16" i="4"/>
  <c r="C50" i="5" s="1"/>
  <c r="G18" i="4"/>
  <c r="C51" i="5" s="1"/>
  <c r="G24" i="4"/>
  <c r="C57" i="5" s="1"/>
  <c r="G25" i="4"/>
  <c r="C58" i="5" s="1"/>
  <c r="G26" i="4"/>
  <c r="C59" i="5" s="1"/>
  <c r="G28" i="4"/>
  <c r="C61" i="5" s="1"/>
  <c r="G29" i="4"/>
  <c r="C62" i="5" s="1"/>
  <c r="G30" i="4"/>
  <c r="C63" i="5" s="1"/>
  <c r="H63" i="5" s="1"/>
  <c r="G31" i="4"/>
  <c r="C64" i="5" s="1"/>
  <c r="G39" i="4"/>
  <c r="C72" i="5" s="1"/>
  <c r="G40" i="4"/>
  <c r="C73" i="5" s="1"/>
  <c r="G41" i="4"/>
  <c r="C74" i="5" s="1"/>
  <c r="G42" i="4"/>
  <c r="C75" i="5" s="1"/>
  <c r="G43" i="4"/>
  <c r="C76" i="5" s="1"/>
  <c r="G45" i="4"/>
  <c r="C78" i="5" s="1"/>
  <c r="G50" i="4"/>
  <c r="C83" i="5" s="1"/>
  <c r="G51" i="4"/>
  <c r="C84" i="5" s="1"/>
  <c r="H84" i="5" s="1"/>
  <c r="G52" i="4"/>
  <c r="C85" i="5" s="1"/>
  <c r="G53" i="4"/>
  <c r="C86" i="5" s="1"/>
  <c r="G56" i="4"/>
  <c r="C89" i="5" s="1"/>
  <c r="G57" i="4"/>
  <c r="C90" i="5" s="1"/>
  <c r="G58" i="4"/>
  <c r="C91" i="5" s="1"/>
  <c r="H97" i="5"/>
  <c r="G91" i="4"/>
  <c r="C124" i="5" s="1"/>
  <c r="H110" i="5"/>
  <c r="F22" i="9"/>
  <c r="C37" i="5"/>
  <c r="C40" i="5"/>
  <c r="G138" i="4"/>
  <c r="D67" i="5" s="1"/>
  <c r="G139" i="4"/>
  <c r="D68" i="5" s="1"/>
  <c r="G141" i="4"/>
  <c r="D70" i="5" s="1"/>
  <c r="G155" i="4"/>
  <c r="D83" i="5" s="1"/>
  <c r="G144" i="4"/>
  <c r="D73" i="5" s="1"/>
  <c r="G146" i="4"/>
  <c r="D75" i="5" s="1"/>
  <c r="G147" i="4"/>
  <c r="D76" i="5" s="1"/>
  <c r="G158" i="4"/>
  <c r="D86" i="5" s="1"/>
  <c r="D53" i="5"/>
  <c r="D57" i="5"/>
  <c r="D48" i="5"/>
  <c r="D49" i="5"/>
  <c r="D50" i="5"/>
  <c r="D51" i="5"/>
  <c r="D54" i="5"/>
  <c r="D58" i="5"/>
  <c r="D59" i="5"/>
  <c r="D61" i="5"/>
  <c r="D62" i="5"/>
  <c r="D64" i="5"/>
  <c r="D88" i="5"/>
  <c r="G161" i="4"/>
  <c r="D89" i="5" s="1"/>
  <c r="G162" i="4"/>
  <c r="D90" i="5" s="1"/>
  <c r="G163" i="4"/>
  <c r="D91" i="5" s="1"/>
  <c r="H93" i="5"/>
  <c r="H98" i="5"/>
  <c r="G202" i="4"/>
  <c r="D127" i="5" s="1"/>
  <c r="G195" i="4"/>
  <c r="D124" i="5" s="1"/>
  <c r="D122" i="5" s="1"/>
  <c r="G183" i="4"/>
  <c r="D111" i="5" s="1"/>
  <c r="H103" i="5"/>
  <c r="H113" i="5"/>
  <c r="H114" i="5"/>
  <c r="H26" i="5"/>
  <c r="D25" i="5"/>
  <c r="D37" i="5"/>
  <c r="D40" i="5"/>
  <c r="H142" i="5"/>
  <c r="H138" i="5"/>
  <c r="G73" i="9"/>
  <c r="G83" i="9"/>
  <c r="C103" i="9"/>
  <c r="G110" i="9"/>
  <c r="G12" i="9"/>
  <c r="M49" i="22"/>
  <c r="C193" i="4"/>
  <c r="G193" i="4" s="1"/>
  <c r="D180" i="4"/>
  <c r="D184" i="4"/>
  <c r="C180" i="4"/>
  <c r="G140" i="4"/>
  <c r="C159" i="4"/>
  <c r="D159" i="4"/>
  <c r="E159" i="4"/>
  <c r="F159" i="4"/>
  <c r="G143" i="4"/>
  <c r="D72" i="5" s="1"/>
  <c r="G145" i="4"/>
  <c r="D74" i="5" s="1"/>
  <c r="G148" i="4"/>
  <c r="G149" i="4"/>
  <c r="G150" i="4"/>
  <c r="D79" i="5" s="1"/>
  <c r="H79" i="5" s="1"/>
  <c r="G151" i="4"/>
  <c r="D80" i="5" s="1"/>
  <c r="H80" i="5" s="1"/>
  <c r="G152" i="4"/>
  <c r="D81" i="5" s="1"/>
  <c r="H81" i="5" s="1"/>
  <c r="G153" i="4"/>
  <c r="D82" i="5" s="1"/>
  <c r="H82" i="5" s="1"/>
  <c r="G154" i="4"/>
  <c r="D78" i="5" s="1"/>
  <c r="G156" i="4"/>
  <c r="G157" i="4"/>
  <c r="D32" i="4"/>
  <c r="E32" i="4"/>
  <c r="G44" i="4"/>
  <c r="G46" i="4"/>
  <c r="G47" i="4"/>
  <c r="G48" i="4"/>
  <c r="G49" i="4"/>
  <c r="D12" i="4"/>
  <c r="F12" i="4"/>
  <c r="E12" i="4"/>
  <c r="G60" i="4"/>
  <c r="G61" i="4"/>
  <c r="G59" i="4" s="1"/>
  <c r="G62" i="4"/>
  <c r="G63" i="4"/>
  <c r="G64" i="4"/>
  <c r="G65" i="4"/>
  <c r="G66" i="4"/>
  <c r="C102" i="5"/>
  <c r="H105" i="5"/>
  <c r="C112" i="5"/>
  <c r="I25" i="22"/>
  <c r="J25" i="22" s="1"/>
  <c r="L25" i="22"/>
  <c r="O25" i="22"/>
  <c r="I26" i="22"/>
  <c r="J26" i="22" s="1"/>
  <c r="L26" i="22"/>
  <c r="O26" i="22"/>
  <c r="Q26" i="22" s="1"/>
  <c r="I27" i="22"/>
  <c r="L27" i="22"/>
  <c r="O27" i="22"/>
  <c r="Q27" i="22" s="1"/>
  <c r="I28" i="22"/>
  <c r="J28" i="22" s="1"/>
  <c r="L28" i="22"/>
  <c r="O28" i="22"/>
  <c r="Q28" i="22" s="1"/>
  <c r="I29" i="22"/>
  <c r="J29" i="22" s="1"/>
  <c r="L29" i="22"/>
  <c r="O29" i="22"/>
  <c r="Q29" i="22" s="1"/>
  <c r="I30" i="22"/>
  <c r="J30" i="22" s="1"/>
  <c r="L30" i="22"/>
  <c r="O30" i="22"/>
  <c r="Q30" i="22" s="1"/>
  <c r="M17" i="22"/>
  <c r="M18" i="22"/>
  <c r="M19" i="22"/>
  <c r="M20" i="22"/>
  <c r="M21" i="22"/>
  <c r="M22" i="22"/>
  <c r="M9" i="22"/>
  <c r="Q9" i="22" s="1"/>
  <c r="R9" i="22" s="1"/>
  <c r="L11" i="22"/>
  <c r="M13" i="22"/>
  <c r="Q13" i="22" s="1"/>
  <c r="L13" i="22"/>
  <c r="R13" i="22" s="1"/>
  <c r="I52" i="18"/>
  <c r="I51" i="18" s="1"/>
  <c r="I47" i="18" s="1"/>
  <c r="H52" i="18"/>
  <c r="H51" i="18" s="1"/>
  <c r="H47" i="18" s="1"/>
  <c r="E52" i="18"/>
  <c r="E51" i="18" s="1"/>
  <c r="E47" i="18" s="1"/>
  <c r="D52" i="18"/>
  <c r="D51" i="18" s="1"/>
  <c r="D47" i="18" s="1"/>
  <c r="F61" i="18"/>
  <c r="J61" i="18" s="1"/>
  <c r="H9" i="18"/>
  <c r="H8" i="18" s="1"/>
  <c r="H18" i="18"/>
  <c r="H31" i="18"/>
  <c r="H34" i="18"/>
  <c r="H39" i="18"/>
  <c r="H38" i="18" s="1"/>
  <c r="H60" i="18"/>
  <c r="H59" i="18" s="1"/>
  <c r="H63" i="18"/>
  <c r="H62" i="18" s="1"/>
  <c r="H66" i="18"/>
  <c r="H65" i="18" s="1"/>
  <c r="H68" i="18"/>
  <c r="H49" i="18"/>
  <c r="H41" i="18"/>
  <c r="F112" i="9"/>
  <c r="G49" i="9"/>
  <c r="G51" i="9"/>
  <c r="G54" i="9"/>
  <c r="G55" i="9"/>
  <c r="G58" i="9"/>
  <c r="G59" i="9"/>
  <c r="G61" i="9"/>
  <c r="G62" i="9"/>
  <c r="G46" i="9"/>
  <c r="I68" i="18"/>
  <c r="J68" i="18" s="1"/>
  <c r="J65" i="18" s="1"/>
  <c r="G39" i="18"/>
  <c r="I9" i="18"/>
  <c r="I8" i="18" s="1"/>
  <c r="J8" i="18" s="1"/>
  <c r="D11" i="11" s="1"/>
  <c r="I18" i="18"/>
  <c r="I31" i="18"/>
  <c r="J31" i="18" s="1"/>
  <c r="I34" i="18"/>
  <c r="J34" i="18" s="1"/>
  <c r="D15" i="11" s="1"/>
  <c r="I39" i="18"/>
  <c r="I38" i="18" s="1"/>
  <c r="G52" i="18"/>
  <c r="G51" i="18" s="1"/>
  <c r="I60" i="18"/>
  <c r="I59" i="18" s="1"/>
  <c r="G60" i="18"/>
  <c r="G59" i="18" s="1"/>
  <c r="C66" i="18"/>
  <c r="C18" i="18"/>
  <c r="C31" i="18"/>
  <c r="C39" i="18"/>
  <c r="C38" i="18" s="1"/>
  <c r="C9" i="18"/>
  <c r="C8" i="18" s="1"/>
  <c r="C34" i="18"/>
  <c r="C60" i="18"/>
  <c r="C59" i="18" s="1"/>
  <c r="C63" i="18"/>
  <c r="C62" i="18" s="1"/>
  <c r="D60" i="18"/>
  <c r="D59" i="18" s="1"/>
  <c r="D18" i="18"/>
  <c r="D31" i="18"/>
  <c r="D39" i="18"/>
  <c r="D38" i="18" s="1"/>
  <c r="D9" i="18"/>
  <c r="D8" i="18" s="1"/>
  <c r="D34" i="18"/>
  <c r="D63" i="18"/>
  <c r="D62" i="18" s="1"/>
  <c r="E95" i="9"/>
  <c r="E103" i="9"/>
  <c r="E112" i="9"/>
  <c r="H17" i="9"/>
  <c r="H22" i="9"/>
  <c r="H34" i="9"/>
  <c r="H37" i="9"/>
  <c r="H120" i="9"/>
  <c r="I17" i="9"/>
  <c r="I25" i="9"/>
  <c r="I28" i="9"/>
  <c r="I31" i="9"/>
  <c r="I34" i="9"/>
  <c r="I39" i="9"/>
  <c r="I37" i="9" s="1"/>
  <c r="I120" i="9"/>
  <c r="L108" i="9"/>
  <c r="J17" i="9"/>
  <c r="J25" i="9"/>
  <c r="J28" i="9"/>
  <c r="J31" i="9"/>
  <c r="J34" i="9"/>
  <c r="L115" i="9"/>
  <c r="J120" i="9"/>
  <c r="K106" i="9"/>
  <c r="K103" i="9" s="1"/>
  <c r="K17" i="9"/>
  <c r="K10" i="9" s="1"/>
  <c r="K22" i="9"/>
  <c r="K25" i="9"/>
  <c r="K28" i="9"/>
  <c r="K31" i="9"/>
  <c r="K34" i="9"/>
  <c r="K113" i="9"/>
  <c r="I66" i="18"/>
  <c r="I65" i="18" s="1"/>
  <c r="I63" i="18"/>
  <c r="G14" i="9"/>
  <c r="G18" i="9"/>
  <c r="G17" i="9" s="1"/>
  <c r="G37" i="9"/>
  <c r="G63" i="18"/>
  <c r="G62" i="18" s="1"/>
  <c r="J62" i="18" s="1"/>
  <c r="D23" i="11" s="1"/>
  <c r="L132" i="9"/>
  <c r="L125" i="9"/>
  <c r="G105" i="9"/>
  <c r="L68" i="9"/>
  <c r="G68" i="9"/>
  <c r="L73" i="9"/>
  <c r="L88" i="9"/>
  <c r="G88" i="9"/>
  <c r="I90" i="9"/>
  <c r="J90" i="9"/>
  <c r="S18" i="9"/>
  <c r="D36" i="10"/>
  <c r="L149" i="9"/>
  <c r="F97" i="4"/>
  <c r="F96" i="4" s="1"/>
  <c r="E97" i="4"/>
  <c r="E96" i="4" s="1"/>
  <c r="D97" i="4"/>
  <c r="D96" i="4" s="1"/>
  <c r="K90" i="9"/>
  <c r="F201" i="4"/>
  <c r="F200" i="4" s="1"/>
  <c r="E201" i="4"/>
  <c r="E200" i="4" s="1"/>
  <c r="D201" i="4"/>
  <c r="D200" i="4" s="1"/>
  <c r="C201" i="4"/>
  <c r="C200" i="4" s="1"/>
  <c r="C25" i="8"/>
  <c r="G50" i="7"/>
  <c r="G18" i="7"/>
  <c r="F164" i="4"/>
  <c r="C164" i="4"/>
  <c r="F68" i="4"/>
  <c r="C97" i="4"/>
  <c r="C96" i="4" s="1"/>
  <c r="N16" i="22"/>
  <c r="H23" i="22"/>
  <c r="N23" i="22"/>
  <c r="D31" i="22"/>
  <c r="H31" i="22"/>
  <c r="N31" i="22"/>
  <c r="P31" i="22"/>
  <c r="I35" i="22"/>
  <c r="M35" i="22" s="1"/>
  <c r="L35" i="22"/>
  <c r="O35" i="22"/>
  <c r="Q35" i="22" s="1"/>
  <c r="I36" i="22"/>
  <c r="M36" i="22" s="1"/>
  <c r="L36" i="22"/>
  <c r="O36" i="22"/>
  <c r="Q36" i="22" s="1"/>
  <c r="I37" i="22"/>
  <c r="M37" i="22" s="1"/>
  <c r="L37" i="22"/>
  <c r="O37" i="22"/>
  <c r="Q37" i="22" s="1"/>
  <c r="I38" i="22"/>
  <c r="M38" i="22" s="1"/>
  <c r="L38" i="22"/>
  <c r="O38" i="22"/>
  <c r="Q38" i="22" s="1"/>
  <c r="D39" i="22"/>
  <c r="H39" i="22"/>
  <c r="N39" i="22"/>
  <c r="P39" i="22"/>
  <c r="I41" i="22"/>
  <c r="M41" i="22" s="1"/>
  <c r="L41" i="22"/>
  <c r="O41" i="22"/>
  <c r="Q41" i="22" s="1"/>
  <c r="I42" i="22"/>
  <c r="M42" i="22" s="1"/>
  <c r="L42" i="22"/>
  <c r="O42" i="22"/>
  <c r="Q42" i="22" s="1"/>
  <c r="D43" i="22"/>
  <c r="H43" i="22"/>
  <c r="N43" i="22"/>
  <c r="P43" i="22"/>
  <c r="I45" i="22"/>
  <c r="L45" i="22"/>
  <c r="O45" i="22"/>
  <c r="Q45" i="22" s="1"/>
  <c r="I46" i="22"/>
  <c r="M46" i="22" s="1"/>
  <c r="L46" i="22"/>
  <c r="O46" i="22"/>
  <c r="Q46" i="22" s="1"/>
  <c r="D47" i="22"/>
  <c r="H47" i="22"/>
  <c r="N47" i="22"/>
  <c r="P47" i="22"/>
  <c r="N53" i="22"/>
  <c r="I55" i="22"/>
  <c r="M55" i="22" s="1"/>
  <c r="L55" i="22"/>
  <c r="O55" i="22"/>
  <c r="Q55" i="22" s="1"/>
  <c r="I56" i="22"/>
  <c r="M56" i="22" s="1"/>
  <c r="L56" i="22"/>
  <c r="O56" i="22"/>
  <c r="Q56" i="22" s="1"/>
  <c r="I57" i="22"/>
  <c r="M57" i="22" s="1"/>
  <c r="L57" i="22"/>
  <c r="O57" i="22"/>
  <c r="Q57" i="22" s="1"/>
  <c r="D58" i="22"/>
  <c r="H58" i="22"/>
  <c r="N58" i="22"/>
  <c r="P58" i="22"/>
  <c r="F9" i="21"/>
  <c r="F10" i="21"/>
  <c r="F11" i="21"/>
  <c r="F12" i="21"/>
  <c r="F13" i="21"/>
  <c r="F14" i="21"/>
  <c r="F15" i="21"/>
  <c r="F16" i="21"/>
  <c r="F17" i="21"/>
  <c r="F18" i="21"/>
  <c r="M9" i="20"/>
  <c r="N9" i="20"/>
  <c r="P9" i="20"/>
  <c r="R9" i="20"/>
  <c r="S9" i="20"/>
  <c r="J10" i="20"/>
  <c r="R10" i="20" s="1"/>
  <c r="Q10" i="20"/>
  <c r="J11" i="20"/>
  <c r="R11" i="20" s="1"/>
  <c r="Q11" i="20"/>
  <c r="J12" i="20"/>
  <c r="R12" i="20" s="1"/>
  <c r="Q12" i="20"/>
  <c r="J13" i="20"/>
  <c r="R13" i="20" s="1"/>
  <c r="Q13" i="20"/>
  <c r="J14" i="20"/>
  <c r="R14" i="20" s="1"/>
  <c r="Q14" i="20"/>
  <c r="J15" i="20"/>
  <c r="R15" i="20" s="1"/>
  <c r="Q15" i="20"/>
  <c r="J16" i="20"/>
  <c r="R16" i="20" s="1"/>
  <c r="Q16" i="20"/>
  <c r="J17" i="20"/>
  <c r="R17" i="20" s="1"/>
  <c r="Q17" i="20"/>
  <c r="I18" i="20"/>
  <c r="I26" i="20" s="1"/>
  <c r="K18" i="20"/>
  <c r="K26" i="20" s="1"/>
  <c r="L18" i="20"/>
  <c r="L26" i="20" s="1"/>
  <c r="M18" i="20"/>
  <c r="N18" i="20"/>
  <c r="O18" i="20"/>
  <c r="P18" i="20"/>
  <c r="S18" i="20"/>
  <c r="J19" i="20"/>
  <c r="J20" i="20" s="1"/>
  <c r="Q19" i="20"/>
  <c r="Q20" i="20" s="1"/>
  <c r="M20" i="20"/>
  <c r="N20" i="20"/>
  <c r="O20" i="20"/>
  <c r="P20" i="20"/>
  <c r="S20" i="20"/>
  <c r="J21" i="20"/>
  <c r="R21" i="20" s="1"/>
  <c r="Q21" i="20"/>
  <c r="J22" i="20"/>
  <c r="R22" i="20" s="1"/>
  <c r="Q22" i="20"/>
  <c r="J23" i="20"/>
  <c r="R23" i="20" s="1"/>
  <c r="Q23" i="20"/>
  <c r="J24" i="20"/>
  <c r="Q24" i="20"/>
  <c r="M25" i="20"/>
  <c r="N25" i="20"/>
  <c r="O25" i="20"/>
  <c r="P25" i="20"/>
  <c r="S25" i="20"/>
  <c r="E9" i="18"/>
  <c r="E8" i="18" s="1"/>
  <c r="J13" i="18"/>
  <c r="J14" i="18"/>
  <c r="J16" i="18"/>
  <c r="E18" i="18"/>
  <c r="E31" i="18"/>
  <c r="J19" i="18"/>
  <c r="J21" i="18"/>
  <c r="J23" i="18"/>
  <c r="J24" i="18"/>
  <c r="J26" i="18"/>
  <c r="J27" i="18"/>
  <c r="J28" i="18"/>
  <c r="J29" i="18"/>
  <c r="J30" i="18"/>
  <c r="J32" i="18"/>
  <c r="J33" i="18"/>
  <c r="E34" i="18"/>
  <c r="J37" i="18"/>
  <c r="E39" i="18"/>
  <c r="E38" i="18" s="1"/>
  <c r="J40" i="18"/>
  <c r="C41" i="18"/>
  <c r="D41" i="18"/>
  <c r="E41" i="18"/>
  <c r="I41" i="18"/>
  <c r="J41" i="18" s="1"/>
  <c r="J42" i="18"/>
  <c r="J43" i="18"/>
  <c r="J44" i="18"/>
  <c r="J45" i="18"/>
  <c r="C49" i="18"/>
  <c r="D49" i="18"/>
  <c r="E49" i="18"/>
  <c r="I49" i="18"/>
  <c r="J49" i="18" s="1"/>
  <c r="J50" i="18"/>
  <c r="G56" i="18"/>
  <c r="E60" i="18"/>
  <c r="E59" i="18" s="1"/>
  <c r="E63" i="18"/>
  <c r="E62" i="18" s="1"/>
  <c r="E66" i="18"/>
  <c r="E65" i="18" s="1"/>
  <c r="C68" i="18"/>
  <c r="F25" i="14"/>
  <c r="F24" i="14" s="1"/>
  <c r="D17" i="14"/>
  <c r="D16" i="14" s="1"/>
  <c r="D21" i="14"/>
  <c r="D20" i="14" s="1"/>
  <c r="D25" i="14"/>
  <c r="D24" i="14" s="1"/>
  <c r="G25" i="14"/>
  <c r="G24" i="14" s="1"/>
  <c r="E25" i="14"/>
  <c r="E24" i="14" s="1"/>
  <c r="G21" i="14"/>
  <c r="G20" i="14" s="1"/>
  <c r="E21" i="14"/>
  <c r="E20" i="14" s="1"/>
  <c r="E17" i="14"/>
  <c r="E16" i="14" s="1"/>
  <c r="D164" i="10"/>
  <c r="E163" i="10" s="1"/>
  <c r="H20" i="5"/>
  <c r="AG161" i="9"/>
  <c r="AF161" i="9"/>
  <c r="AE161" i="9"/>
  <c r="AD161" i="9"/>
  <c r="AC161" i="9"/>
  <c r="AB161" i="9"/>
  <c r="AA161" i="9"/>
  <c r="Z161" i="9"/>
  <c r="Y161" i="9"/>
  <c r="L160" i="9"/>
  <c r="S160" i="9"/>
  <c r="L159" i="9"/>
  <c r="S159" i="9"/>
  <c r="L158" i="9"/>
  <c r="S158" i="9"/>
  <c r="L157" i="9"/>
  <c r="S157" i="9"/>
  <c r="L156" i="9"/>
  <c r="S156" i="9"/>
  <c r="S155" i="9"/>
  <c r="S154" i="9"/>
  <c r="L153" i="9"/>
  <c r="L152" i="9"/>
  <c r="L151" i="9"/>
  <c r="L150" i="9"/>
  <c r="L148" i="9"/>
  <c r="L147" i="9"/>
  <c r="L146" i="9"/>
  <c r="L145" i="9"/>
  <c r="L144" i="9"/>
  <c r="L143" i="9"/>
  <c r="L142" i="9"/>
  <c r="L140" i="9"/>
  <c r="L138" i="9"/>
  <c r="L137" i="9"/>
  <c r="L136" i="9"/>
  <c r="L135" i="9"/>
  <c r="L134" i="9"/>
  <c r="L133" i="9"/>
  <c r="L131" i="9"/>
  <c r="L130" i="9"/>
  <c r="L129" i="9"/>
  <c r="L128" i="9"/>
  <c r="L127" i="9"/>
  <c r="L126" i="9"/>
  <c r="L124" i="9"/>
  <c r="L123" i="9"/>
  <c r="L122" i="9"/>
  <c r="L121" i="9"/>
  <c r="L119" i="9"/>
  <c r="G119" i="9"/>
  <c r="G117" i="9"/>
  <c r="G115" i="9"/>
  <c r="L111" i="9"/>
  <c r="L110" i="9"/>
  <c r="L109" i="9"/>
  <c r="L105" i="9"/>
  <c r="L104" i="9"/>
  <c r="L98" i="9"/>
  <c r="S42" i="9"/>
  <c r="S41" i="9"/>
  <c r="S38" i="9"/>
  <c r="S37" i="9"/>
  <c r="S36" i="9"/>
  <c r="S35" i="9"/>
  <c r="S34" i="9"/>
  <c r="S33" i="9"/>
  <c r="S30" i="9"/>
  <c r="S27" i="9"/>
  <c r="S24" i="9"/>
  <c r="S22" i="9"/>
  <c r="S21" i="9"/>
  <c r="S20" i="9"/>
  <c r="D17" i="8"/>
  <c r="D16" i="8" s="1"/>
  <c r="E17" i="8"/>
  <c r="E16" i="8" s="1"/>
  <c r="F17" i="8"/>
  <c r="F16" i="8" s="1"/>
  <c r="G17" i="8"/>
  <c r="G16" i="8" s="1"/>
  <c r="D26" i="8"/>
  <c r="D25" i="8" s="1"/>
  <c r="D23" i="8" s="1"/>
  <c r="E26" i="8"/>
  <c r="E25" i="8" s="1"/>
  <c r="E23" i="8" s="1"/>
  <c r="F26" i="8"/>
  <c r="F25" i="8" s="1"/>
  <c r="F23" i="8" s="1"/>
  <c r="G26" i="8"/>
  <c r="G25" i="8" s="1"/>
  <c r="G23" i="8" s="1"/>
  <c r="H28" i="8"/>
  <c r="H27" i="8"/>
  <c r="H18" i="8"/>
  <c r="E18" i="7"/>
  <c r="F18" i="7"/>
  <c r="H18" i="7"/>
  <c r="H50" i="7"/>
  <c r="H53" i="7"/>
  <c r="F50" i="7"/>
  <c r="E50" i="7"/>
  <c r="E53" i="7"/>
  <c r="I21" i="7"/>
  <c r="I20" i="7"/>
  <c r="I19" i="7"/>
  <c r="C142" i="4"/>
  <c r="C116" i="4"/>
  <c r="C136" i="4"/>
  <c r="F142" i="4"/>
  <c r="F116" i="4"/>
  <c r="D142" i="4"/>
  <c r="D116" i="4"/>
  <c r="D136" i="4"/>
  <c r="D190" i="4"/>
  <c r="D193" i="4"/>
  <c r="E142" i="4"/>
  <c r="E136" i="4"/>
  <c r="E116" i="4"/>
  <c r="D56" i="5"/>
  <c r="D55" i="5"/>
  <c r="F38" i="4"/>
  <c r="F54" i="4"/>
  <c r="E38" i="4"/>
  <c r="E54" i="4"/>
  <c r="D38" i="4"/>
  <c r="D54" i="4"/>
  <c r="D86" i="4"/>
  <c r="D89" i="4"/>
  <c r="G36" i="4"/>
  <c r="G27" i="4"/>
  <c r="G23" i="4"/>
  <c r="C56" i="5" s="1"/>
  <c r="G22" i="4"/>
  <c r="C55" i="5" s="1"/>
  <c r="G19" i="4"/>
  <c r="G17" i="4"/>
  <c r="D79" i="4"/>
  <c r="G79" i="4" s="1"/>
  <c r="G145" i="5"/>
  <c r="F145" i="5"/>
  <c r="E145" i="5"/>
  <c r="H144" i="5"/>
  <c r="H143" i="5"/>
  <c r="H140" i="5"/>
  <c r="H139" i="5"/>
  <c r="H137" i="5"/>
  <c r="H136" i="5"/>
  <c r="H135" i="5"/>
  <c r="H134" i="5"/>
  <c r="H133" i="5"/>
  <c r="H132" i="5"/>
  <c r="H131" i="5"/>
  <c r="H130" i="5"/>
  <c r="H129" i="5"/>
  <c r="H120" i="5"/>
  <c r="H115" i="5"/>
  <c r="H109" i="5"/>
  <c r="H99" i="5"/>
  <c r="H96" i="5"/>
  <c r="H95" i="5"/>
  <c r="H77" i="5"/>
  <c r="H69" i="5"/>
  <c r="H60" i="5"/>
  <c r="H52" i="5"/>
  <c r="H44" i="5"/>
  <c r="H41" i="5"/>
  <c r="H39" i="5"/>
  <c r="H38" i="5"/>
  <c r="D34" i="9" s="1"/>
  <c r="H36" i="5"/>
  <c r="H33" i="5"/>
  <c r="H30" i="5"/>
  <c r="H27" i="5"/>
  <c r="H24" i="5"/>
  <c r="H23" i="5"/>
  <c r="H22" i="5"/>
  <c r="H21" i="5"/>
  <c r="H17" i="5"/>
  <c r="H15" i="5"/>
  <c r="D164" i="4"/>
  <c r="G194" i="4"/>
  <c r="G191" i="4"/>
  <c r="G187" i="4"/>
  <c r="G186" i="4"/>
  <c r="G185" i="4"/>
  <c r="G182" i="4"/>
  <c r="G181" i="4"/>
  <c r="G177" i="4"/>
  <c r="G176" i="4"/>
  <c r="G175" i="4"/>
  <c r="G171" i="4"/>
  <c r="G170" i="4"/>
  <c r="G169" i="4"/>
  <c r="G168" i="4"/>
  <c r="G167" i="4"/>
  <c r="G166" i="4"/>
  <c r="D94" i="5" s="1"/>
  <c r="G165" i="4"/>
  <c r="G90" i="4"/>
  <c r="G87" i="4"/>
  <c r="G72" i="4"/>
  <c r="G71" i="4"/>
  <c r="G70" i="4"/>
  <c r="G69" i="4"/>
  <c r="G14" i="4"/>
  <c r="H95" i="9"/>
  <c r="J113" i="9"/>
  <c r="J95" i="9"/>
  <c r="J116" i="9"/>
  <c r="H107" i="9"/>
  <c r="D35" i="5"/>
  <c r="H35" i="5" s="1"/>
  <c r="H53" i="22"/>
  <c r="S153" i="9"/>
  <c r="C157" i="10"/>
  <c r="D110" i="10"/>
  <c r="F95" i="9"/>
  <c r="F94" i="9" s="1"/>
  <c r="K107" i="9"/>
  <c r="J107" i="9"/>
  <c r="J22" i="9"/>
  <c r="E22" i="9"/>
  <c r="I22" i="9"/>
  <c r="C52" i="18"/>
  <c r="C51" i="18" s="1"/>
  <c r="J48" i="18"/>
  <c r="D112" i="5"/>
  <c r="L99" i="9"/>
  <c r="L117" i="9"/>
  <c r="C107" i="9"/>
  <c r="K95" i="9"/>
  <c r="K94" i="9" s="1"/>
  <c r="C95" i="9"/>
  <c r="F85" i="4"/>
  <c r="J15" i="18"/>
  <c r="D22" i="9"/>
  <c r="S129" i="9"/>
  <c r="D102" i="5"/>
  <c r="H104" i="5"/>
  <c r="H123" i="5"/>
  <c r="G174" i="4"/>
  <c r="L139" i="9"/>
  <c r="G23" i="9"/>
  <c r="G22" i="9" s="1"/>
  <c r="L23" i="22"/>
  <c r="I23" i="22"/>
  <c r="J35" i="18"/>
  <c r="J36" i="18"/>
  <c r="M48" i="22"/>
  <c r="F139" i="9"/>
  <c r="F120" i="9" s="1"/>
  <c r="C23" i="8"/>
  <c r="G137" i="4"/>
  <c r="D66" i="5" s="1"/>
  <c r="F65" i="9"/>
  <c r="C89" i="4"/>
  <c r="G89" i="4" s="1"/>
  <c r="D66" i="18"/>
  <c r="D65" i="18" s="1"/>
  <c r="G66" i="18"/>
  <c r="G65" i="18" s="1"/>
  <c r="Q9" i="20"/>
  <c r="O9" i="20"/>
  <c r="C34" i="5"/>
  <c r="S55" i="9"/>
  <c r="S51" i="9"/>
  <c r="K65" i="9"/>
  <c r="F32" i="4"/>
  <c r="I51" i="7"/>
  <c r="I50" i="7" s="1"/>
  <c r="S44" i="9"/>
  <c r="S72" i="9"/>
  <c r="S116" i="9"/>
  <c r="S112" i="9"/>
  <c r="S19" i="9"/>
  <c r="S9" i="9"/>
  <c r="S43" i="9"/>
  <c r="S142" i="9"/>
  <c r="K120" i="9"/>
  <c r="C115" i="4" l="1"/>
  <c r="C44" i="9"/>
  <c r="L103" i="9"/>
  <c r="H94" i="9"/>
  <c r="L17" i="9"/>
  <c r="C11" i="4"/>
  <c r="R12" i="22"/>
  <c r="P33" i="22"/>
  <c r="L116" i="9"/>
  <c r="L22" i="9"/>
  <c r="AH22" i="9" s="1"/>
  <c r="T121" i="9"/>
  <c r="G92" i="6"/>
  <c r="E92" i="6"/>
  <c r="H112" i="5"/>
  <c r="D14" i="5"/>
  <c r="C14" i="5"/>
  <c r="S141" i="9"/>
  <c r="AH141" i="9" s="1"/>
  <c r="C145" i="10" s="1"/>
  <c r="S126" i="9"/>
  <c r="S121" i="9"/>
  <c r="AH121" i="9" s="1"/>
  <c r="E11" i="9"/>
  <c r="J11" i="9"/>
  <c r="H17" i="8"/>
  <c r="S138" i="9"/>
  <c r="AH138" i="9" s="1"/>
  <c r="C142" i="10" s="1"/>
  <c r="M134" i="9"/>
  <c r="S134" i="9" s="1"/>
  <c r="AH134" i="9" s="1"/>
  <c r="G35" i="9"/>
  <c r="G34" i="9" s="1"/>
  <c r="H74" i="22"/>
  <c r="I13" i="9"/>
  <c r="D11" i="9"/>
  <c r="I11" i="9"/>
  <c r="R15" i="22"/>
  <c r="K27" i="22"/>
  <c r="J27" i="22"/>
  <c r="J31" i="22" s="1"/>
  <c r="J33" i="22" s="1"/>
  <c r="J76" i="22" s="1"/>
  <c r="L16" i="22"/>
  <c r="H13" i="9" s="1"/>
  <c r="R11" i="22"/>
  <c r="P74" i="22"/>
  <c r="P76" i="22" s="1"/>
  <c r="AH27" i="9"/>
  <c r="H56" i="5"/>
  <c r="AH147" i="9"/>
  <c r="C151" i="10" s="1"/>
  <c r="J112" i="9"/>
  <c r="AH111" i="9"/>
  <c r="P150" i="9"/>
  <c r="S152" i="9"/>
  <c r="AH152" i="9" s="1"/>
  <c r="C156" i="10" s="1"/>
  <c r="D154" i="10" s="1"/>
  <c r="E153" i="10" s="1"/>
  <c r="L118" i="9"/>
  <c r="R103" i="9"/>
  <c r="R94" i="9" s="1"/>
  <c r="R161" i="9" s="1"/>
  <c r="S106" i="9"/>
  <c r="H55" i="5"/>
  <c r="L52" i="9"/>
  <c r="L48" i="9"/>
  <c r="L51" i="9"/>
  <c r="AH51" i="9" s="1"/>
  <c r="C50" i="10" s="1"/>
  <c r="L50" i="9"/>
  <c r="AH50" i="9" s="1"/>
  <c r="C49" i="10" s="1"/>
  <c r="H15" i="21"/>
  <c r="I15" i="21"/>
  <c r="I9" i="21"/>
  <c r="H9" i="21"/>
  <c r="D11" i="4"/>
  <c r="E94" i="9"/>
  <c r="M16" i="22"/>
  <c r="Q16" i="22"/>
  <c r="M29" i="22"/>
  <c r="K29" i="22"/>
  <c r="M25" i="22"/>
  <c r="K25" i="22"/>
  <c r="I16" i="21"/>
  <c r="H16" i="21"/>
  <c r="M30" i="22"/>
  <c r="K30" i="22"/>
  <c r="M26" i="22"/>
  <c r="K26" i="22"/>
  <c r="I11" i="21"/>
  <c r="H11" i="21"/>
  <c r="I18" i="21"/>
  <c r="H18" i="21"/>
  <c r="M28" i="22"/>
  <c r="K28" i="22"/>
  <c r="J53" i="18"/>
  <c r="J52" i="18" s="1"/>
  <c r="R83" i="22"/>
  <c r="I13" i="21"/>
  <c r="H13" i="21"/>
  <c r="I10" i="21"/>
  <c r="H10" i="21"/>
  <c r="AH88" i="9"/>
  <c r="C91" i="10" s="1"/>
  <c r="AH62" i="9"/>
  <c r="C61" i="10" s="1"/>
  <c r="L54" i="9"/>
  <c r="AH54" i="9" s="1"/>
  <c r="C53" i="10" s="1"/>
  <c r="R24" i="20"/>
  <c r="J25" i="20"/>
  <c r="AH38" i="9"/>
  <c r="J86" i="9"/>
  <c r="F60" i="18"/>
  <c r="F59" i="18" s="1"/>
  <c r="C31" i="9"/>
  <c r="H31" i="9"/>
  <c r="D34" i="5"/>
  <c r="H34" i="5" s="1"/>
  <c r="C101" i="9"/>
  <c r="G101" i="9" s="1"/>
  <c r="AH101" i="9" s="1"/>
  <c r="J94" i="9"/>
  <c r="AH122" i="9"/>
  <c r="C126" i="10" s="1"/>
  <c r="AH145" i="9"/>
  <c r="C149" i="10" s="1"/>
  <c r="F19" i="21"/>
  <c r="F20" i="21" s="1"/>
  <c r="H16" i="9" s="1"/>
  <c r="L16" i="9" s="1"/>
  <c r="J39" i="18"/>
  <c r="D173" i="4"/>
  <c r="L47" i="9"/>
  <c r="I86" i="9"/>
  <c r="L46" i="9"/>
  <c r="AH46" i="9" s="1"/>
  <c r="Q52" i="22"/>
  <c r="R52" i="22" s="1"/>
  <c r="I17" i="18"/>
  <c r="AH136" i="9"/>
  <c r="AH14" i="9"/>
  <c r="H37" i="5"/>
  <c r="AH125" i="9"/>
  <c r="C129" i="10" s="1"/>
  <c r="D189" i="4"/>
  <c r="AH36" i="9"/>
  <c r="E17" i="18"/>
  <c r="E70" i="18" s="1"/>
  <c r="E71" i="18" s="1"/>
  <c r="G71" i="9"/>
  <c r="AH119" i="9"/>
  <c r="C121" i="10" s="1"/>
  <c r="C127" i="5"/>
  <c r="C126" i="5" s="1"/>
  <c r="C125" i="5" s="1"/>
  <c r="L34" i="9"/>
  <c r="AH110" i="9"/>
  <c r="AH127" i="9"/>
  <c r="Q43" i="22"/>
  <c r="AH148" i="9"/>
  <c r="K86" i="9"/>
  <c r="L67" i="9"/>
  <c r="AH20" i="9"/>
  <c r="AH128" i="9"/>
  <c r="H59" i="5"/>
  <c r="D85" i="4"/>
  <c r="L84" i="9"/>
  <c r="AH84" i="9" s="1"/>
  <c r="L80" i="9"/>
  <c r="AH80" i="9" s="1"/>
  <c r="L83" i="9"/>
  <c r="AH83" i="9" s="1"/>
  <c r="L79" i="9"/>
  <c r="AH79" i="9" s="1"/>
  <c r="L75" i="9"/>
  <c r="H86" i="9"/>
  <c r="G107" i="5"/>
  <c r="D106" i="5"/>
  <c r="G75" i="9"/>
  <c r="AH157" i="9"/>
  <c r="AH159" i="9"/>
  <c r="AH155" i="9"/>
  <c r="AH68" i="9"/>
  <c r="C71" i="10" s="1"/>
  <c r="AH109" i="9"/>
  <c r="L47" i="22"/>
  <c r="Q50" i="22"/>
  <c r="R50" i="22" s="1"/>
  <c r="L55" i="9"/>
  <c r="AH55" i="9" s="1"/>
  <c r="C54" i="10" s="1"/>
  <c r="L120" i="9"/>
  <c r="T91" i="9"/>
  <c r="T43" i="9" s="1"/>
  <c r="AH30" i="9"/>
  <c r="AH105" i="9"/>
  <c r="AH123" i="9"/>
  <c r="C127" i="10" s="1"/>
  <c r="AH104" i="9"/>
  <c r="AH41" i="9"/>
  <c r="C40" i="10" s="1"/>
  <c r="AH37" i="9"/>
  <c r="AH21" i="9"/>
  <c r="L89" i="9"/>
  <c r="L107" i="9"/>
  <c r="AH107" i="9" s="1"/>
  <c r="L95" i="9"/>
  <c r="AH42" i="9"/>
  <c r="L49" i="9"/>
  <c r="AH49" i="9" s="1"/>
  <c r="C48" i="10" s="1"/>
  <c r="L58" i="9"/>
  <c r="AH58" i="9" s="1"/>
  <c r="C57" i="10" s="1"/>
  <c r="AH12" i="9"/>
  <c r="AH117" i="9"/>
  <c r="AH24" i="9"/>
  <c r="AH133" i="9"/>
  <c r="AH160" i="9"/>
  <c r="AH108" i="9"/>
  <c r="I94" i="9"/>
  <c r="H64" i="9"/>
  <c r="L53" i="9"/>
  <c r="H70" i="5"/>
  <c r="L63" i="9"/>
  <c r="L60" i="9"/>
  <c r="L56" i="9"/>
  <c r="R57" i="22"/>
  <c r="M53" i="22"/>
  <c r="J18" i="20"/>
  <c r="Q18" i="20"/>
  <c r="Q25" i="20"/>
  <c r="M26" i="20"/>
  <c r="R42" i="22"/>
  <c r="L31" i="22"/>
  <c r="I47" i="22"/>
  <c r="Q51" i="22"/>
  <c r="R51" i="22" s="1"/>
  <c r="I43" i="22"/>
  <c r="M39" i="22"/>
  <c r="I58" i="22"/>
  <c r="R37" i="22"/>
  <c r="O39" i="22"/>
  <c r="M45" i="22"/>
  <c r="M47" i="22" s="1"/>
  <c r="O43" i="22"/>
  <c r="Q58" i="22"/>
  <c r="L58" i="22"/>
  <c r="Q39" i="22"/>
  <c r="Q20" i="22"/>
  <c r="R20" i="22" s="1"/>
  <c r="Q49" i="22"/>
  <c r="R49" i="22" s="1"/>
  <c r="O47" i="22"/>
  <c r="M43" i="22"/>
  <c r="O53" i="22"/>
  <c r="R36" i="22"/>
  <c r="Q62" i="22"/>
  <c r="R62" i="22" s="1"/>
  <c r="N73" i="22"/>
  <c r="N74" i="22" s="1"/>
  <c r="M58" i="22"/>
  <c r="N33" i="22"/>
  <c r="Q63" i="22"/>
  <c r="R63" i="22" s="1"/>
  <c r="R56" i="22"/>
  <c r="O58" i="22"/>
  <c r="Q66" i="22"/>
  <c r="R66" i="22" s="1"/>
  <c r="Q19" i="22"/>
  <c r="R19" i="22" s="1"/>
  <c r="Q21" i="22"/>
  <c r="R21" i="22" s="1"/>
  <c r="Q18" i="22"/>
  <c r="R18" i="22" s="1"/>
  <c r="O23" i="22"/>
  <c r="H53" i="5"/>
  <c r="G32" i="4"/>
  <c r="L92" i="9"/>
  <c r="L91" i="9" s="1"/>
  <c r="G54" i="4"/>
  <c r="G92" i="9"/>
  <c r="H49" i="5"/>
  <c r="H73" i="5"/>
  <c r="L85" i="9"/>
  <c r="L81" i="9"/>
  <c r="AH81" i="9" s="1"/>
  <c r="Q59" i="22"/>
  <c r="R59" i="22" s="1"/>
  <c r="F52" i="18"/>
  <c r="F51" i="18" s="1"/>
  <c r="E57" i="7"/>
  <c r="R35" i="22"/>
  <c r="L39" i="22"/>
  <c r="K112" i="9"/>
  <c r="AH98" i="9"/>
  <c r="C101" i="10" s="1"/>
  <c r="P95" i="9"/>
  <c r="S95" i="9" s="1"/>
  <c r="AH95" i="9" s="1"/>
  <c r="C16" i="8"/>
  <c r="C47" i="8" s="1"/>
  <c r="L82" i="9"/>
  <c r="AH82" i="9" s="1"/>
  <c r="C85" i="10" s="1"/>
  <c r="L74" i="9"/>
  <c r="AH74" i="9" s="1"/>
  <c r="C77" i="10" s="1"/>
  <c r="AH156" i="9"/>
  <c r="C161" i="10" s="1"/>
  <c r="D160" i="10" s="1"/>
  <c r="E159" i="10" s="1"/>
  <c r="R41" i="22"/>
  <c r="L43" i="22"/>
  <c r="M27" i="22"/>
  <c r="I31" i="22"/>
  <c r="I33" i="22" s="1"/>
  <c r="Q25" i="22"/>
  <c r="Q31" i="22" s="1"/>
  <c r="O31" i="22"/>
  <c r="D108" i="5"/>
  <c r="H108" i="5" s="1"/>
  <c r="H111" i="5"/>
  <c r="H57" i="5"/>
  <c r="H68" i="5"/>
  <c r="AH17" i="9"/>
  <c r="D112" i="9"/>
  <c r="I112" i="9"/>
  <c r="I70" i="9"/>
  <c r="L59" i="9"/>
  <c r="AH59" i="9" s="1"/>
  <c r="C58" i="10" s="1"/>
  <c r="G90" i="9"/>
  <c r="AH154" i="9"/>
  <c r="D47" i="11" s="1"/>
  <c r="AH158" i="9"/>
  <c r="R46" i="22"/>
  <c r="H33" i="22"/>
  <c r="H76" i="22" s="1"/>
  <c r="AH19" i="9"/>
  <c r="C18" i="10" s="1"/>
  <c r="H26" i="8"/>
  <c r="D103" i="9"/>
  <c r="D94" i="9" s="1"/>
  <c r="R38" i="22"/>
  <c r="Q22" i="22"/>
  <c r="R22" i="22" s="1"/>
  <c r="AH18" i="9"/>
  <c r="C17" i="10" s="1"/>
  <c r="O26" i="20"/>
  <c r="D47" i="8"/>
  <c r="H102" i="5"/>
  <c r="AH153" i="9"/>
  <c r="AH33" i="9"/>
  <c r="AH115" i="9"/>
  <c r="AH151" i="9"/>
  <c r="R55" i="22"/>
  <c r="Q47" i="22"/>
  <c r="J47" i="18"/>
  <c r="H25" i="5"/>
  <c r="L65" i="9"/>
  <c r="I39" i="22"/>
  <c r="E19" i="21"/>
  <c r="E20" i="21" s="1"/>
  <c r="L106" i="9"/>
  <c r="AH106" i="9" s="1"/>
  <c r="AH99" i="9"/>
  <c r="C102" i="10" s="1"/>
  <c r="AH124" i="9"/>
  <c r="N26" i="20"/>
  <c r="H40" i="5"/>
  <c r="L76" i="9"/>
  <c r="AH76" i="9" s="1"/>
  <c r="L87" i="9"/>
  <c r="L78" i="9"/>
  <c r="AH78" i="9" s="1"/>
  <c r="F70" i="9"/>
  <c r="G52" i="9"/>
  <c r="W142" i="9"/>
  <c r="J51" i="6"/>
  <c r="M130" i="9"/>
  <c r="AH132" i="9"/>
  <c r="C136" i="10" s="1"/>
  <c r="D134" i="10" s="1"/>
  <c r="L90" i="9"/>
  <c r="G70" i="18"/>
  <c r="C65" i="18"/>
  <c r="D17" i="18"/>
  <c r="D70" i="18" s="1"/>
  <c r="D71" i="18" s="1"/>
  <c r="R163" i="9" s="1"/>
  <c r="H17" i="18"/>
  <c r="H70" i="18" s="1"/>
  <c r="H71" i="18" s="1"/>
  <c r="C22" i="13" s="1"/>
  <c r="D22" i="13" s="1"/>
  <c r="J63" i="18"/>
  <c r="J17" i="6"/>
  <c r="F11" i="4"/>
  <c r="F99" i="4" s="1"/>
  <c r="K70" i="9"/>
  <c r="J70" i="9"/>
  <c r="L57" i="9"/>
  <c r="L77" i="9"/>
  <c r="AH77" i="9" s="1"/>
  <c r="C80" i="10" s="1"/>
  <c r="L72" i="9"/>
  <c r="L61" i="9"/>
  <c r="AH61" i="9" s="1"/>
  <c r="C60" i="10" s="1"/>
  <c r="H70" i="9"/>
  <c r="C86" i="9"/>
  <c r="F44" i="9"/>
  <c r="G72" i="9"/>
  <c r="C64" i="9"/>
  <c r="G184" i="4"/>
  <c r="G180" i="4"/>
  <c r="E86" i="9"/>
  <c r="G47" i="9"/>
  <c r="C70" i="9"/>
  <c r="G63" i="9"/>
  <c r="G53" i="9"/>
  <c r="G48" i="9"/>
  <c r="D70" i="9"/>
  <c r="G57" i="9"/>
  <c r="D65" i="5"/>
  <c r="F64" i="9"/>
  <c r="G136" i="4"/>
  <c r="G201" i="4"/>
  <c r="G200" i="4" s="1"/>
  <c r="E44" i="9"/>
  <c r="G142" i="4"/>
  <c r="G60" i="9"/>
  <c r="D86" i="9"/>
  <c r="D44" i="9"/>
  <c r="G178" i="4"/>
  <c r="G164" i="4"/>
  <c r="H72" i="5"/>
  <c r="D71" i="5"/>
  <c r="D68" i="4"/>
  <c r="G68" i="4" s="1"/>
  <c r="L71" i="9"/>
  <c r="G67" i="9"/>
  <c r="G56" i="9"/>
  <c r="G38" i="4"/>
  <c r="G118" i="9"/>
  <c r="G85" i="9"/>
  <c r="H78" i="5"/>
  <c r="H48" i="5"/>
  <c r="J44" i="9"/>
  <c r="H75" i="5"/>
  <c r="G87" i="9"/>
  <c r="F86" i="9"/>
  <c r="H90" i="5"/>
  <c r="H89" i="5"/>
  <c r="H67" i="5"/>
  <c r="H62" i="5"/>
  <c r="H61" i="5"/>
  <c r="H54" i="5"/>
  <c r="K44" i="9"/>
  <c r="I44" i="9"/>
  <c r="G12" i="4"/>
  <c r="L45" i="9"/>
  <c r="AH45" i="9" s="1"/>
  <c r="C44" i="10" s="1"/>
  <c r="H44" i="9"/>
  <c r="H107" i="5"/>
  <c r="C173" i="4"/>
  <c r="G89" i="9"/>
  <c r="G159" i="4"/>
  <c r="D115" i="4"/>
  <c r="E115" i="4"/>
  <c r="E203" i="4" s="1"/>
  <c r="D126" i="5"/>
  <c r="D125" i="5" s="1"/>
  <c r="D92" i="5"/>
  <c r="H92" i="5" s="1"/>
  <c r="H94" i="5"/>
  <c r="D87" i="5"/>
  <c r="H88" i="5"/>
  <c r="G65" i="9"/>
  <c r="E11" i="4"/>
  <c r="E99" i="4" s="1"/>
  <c r="H58" i="5"/>
  <c r="K64" i="9"/>
  <c r="H51" i="5"/>
  <c r="H86" i="5"/>
  <c r="C65" i="5"/>
  <c r="AH66" i="9"/>
  <c r="C69" i="10" s="1"/>
  <c r="H66" i="5"/>
  <c r="F115" i="4"/>
  <c r="F203" i="4" s="1"/>
  <c r="H50" i="5"/>
  <c r="D47" i="5"/>
  <c r="AH23" i="9"/>
  <c r="C22" i="10" s="1"/>
  <c r="D21" i="10" s="1"/>
  <c r="J18" i="18"/>
  <c r="I70" i="18"/>
  <c r="I71" i="18" s="1"/>
  <c r="C17" i="18"/>
  <c r="O73" i="22"/>
  <c r="Q69" i="22"/>
  <c r="R69" i="22" s="1"/>
  <c r="M73" i="22"/>
  <c r="Q60" i="22"/>
  <c r="R60" i="22" s="1"/>
  <c r="R29" i="22"/>
  <c r="Q61" i="22"/>
  <c r="R61" i="22" s="1"/>
  <c r="I53" i="22"/>
  <c r="Q17" i="22"/>
  <c r="M23" i="22"/>
  <c r="P26" i="20"/>
  <c r="J38" i="18"/>
  <c r="D17" i="11" s="1"/>
  <c r="J9" i="18"/>
  <c r="J51" i="18"/>
  <c r="D19" i="11" s="1"/>
  <c r="Q48" i="22"/>
  <c r="R48" i="22" s="1"/>
  <c r="C42" i="5"/>
  <c r="H76" i="5"/>
  <c r="AH131" i="9"/>
  <c r="H85" i="5"/>
  <c r="H83" i="5"/>
  <c r="AH135" i="9"/>
  <c r="AH137" i="9"/>
  <c r="AH73" i="9"/>
  <c r="C76" i="10" s="1"/>
  <c r="E39" i="9"/>
  <c r="F39" i="9"/>
  <c r="AH146" i="9"/>
  <c r="C150" i="10" s="1"/>
  <c r="G116" i="9"/>
  <c r="AH69" i="9"/>
  <c r="C72" i="10" s="1"/>
  <c r="H23" i="8"/>
  <c r="F47" i="8"/>
  <c r="G47" i="8"/>
  <c r="H25" i="8"/>
  <c r="E47" i="8"/>
  <c r="AH129" i="9"/>
  <c r="C133" i="10" s="1"/>
  <c r="H124" i="5"/>
  <c r="C122" i="5"/>
  <c r="H122" i="5" s="1"/>
  <c r="C71" i="5"/>
  <c r="H74" i="5"/>
  <c r="H64" i="5"/>
  <c r="C47" i="5"/>
  <c r="G103" i="9"/>
  <c r="C87" i="5"/>
  <c r="H91" i="5"/>
  <c r="G91" i="9"/>
  <c r="S26" i="20"/>
  <c r="R25" i="20"/>
  <c r="R18" i="20"/>
  <c r="R19" i="20"/>
  <c r="R20" i="20" s="1"/>
  <c r="R16" i="22" l="1"/>
  <c r="L33" i="22"/>
  <c r="G44" i="9"/>
  <c r="M120" i="9"/>
  <c r="M161" i="9" s="1"/>
  <c r="E17" i="12" s="1"/>
  <c r="D98" i="10"/>
  <c r="G115" i="4"/>
  <c r="L94" i="9"/>
  <c r="AH103" i="9"/>
  <c r="J26" i="20"/>
  <c r="H10" i="9"/>
  <c r="J13" i="21"/>
  <c r="K13" i="21" s="1"/>
  <c r="H43" i="9"/>
  <c r="AH126" i="9"/>
  <c r="C130" i="10" s="1"/>
  <c r="D125" i="10" s="1"/>
  <c r="AH150" i="9"/>
  <c r="S150" i="9"/>
  <c r="R28" i="22"/>
  <c r="C32" i="5"/>
  <c r="D32" i="5"/>
  <c r="AH34" i="9"/>
  <c r="AH35" i="9"/>
  <c r="C34" i="10" s="1"/>
  <c r="D33" i="10" s="1"/>
  <c r="R30" i="22"/>
  <c r="R25" i="22"/>
  <c r="R17" i="22"/>
  <c r="R23" i="22" s="1"/>
  <c r="N76" i="22"/>
  <c r="R26" i="22"/>
  <c r="S103" i="9"/>
  <c r="P149" i="9"/>
  <c r="S149" i="9" s="1"/>
  <c r="AH149" i="9" s="1"/>
  <c r="D45" i="11" s="1"/>
  <c r="AH118" i="9"/>
  <c r="C120" i="10" s="1"/>
  <c r="D119" i="10" s="1"/>
  <c r="AH71" i="9"/>
  <c r="C74" i="10" s="1"/>
  <c r="AH47" i="9"/>
  <c r="C46" i="10" s="1"/>
  <c r="AH90" i="9"/>
  <c r="C93" i="10" s="1"/>
  <c r="O74" i="22"/>
  <c r="J18" i="21"/>
  <c r="K18" i="21" s="1"/>
  <c r="J10" i="21"/>
  <c r="K10" i="21" s="1"/>
  <c r="C19" i="5"/>
  <c r="H19" i="21"/>
  <c r="H20" i="21" s="1"/>
  <c r="J9" i="21"/>
  <c r="K9" i="21" s="1"/>
  <c r="J15" i="21"/>
  <c r="K15" i="21" s="1"/>
  <c r="AH85" i="9"/>
  <c r="C88" i="10" s="1"/>
  <c r="L86" i="9"/>
  <c r="M31" i="22"/>
  <c r="M33" i="22" s="1"/>
  <c r="I19" i="21"/>
  <c r="I20" i="21" s="1"/>
  <c r="J16" i="21"/>
  <c r="K16" i="21" s="1"/>
  <c r="J17" i="21"/>
  <c r="K17" i="21" s="1"/>
  <c r="J11" i="21"/>
  <c r="K11" i="21" s="1"/>
  <c r="K31" i="22"/>
  <c r="K33" i="22" s="1"/>
  <c r="K76" i="22" s="1"/>
  <c r="D19" i="5" s="1"/>
  <c r="J14" i="21"/>
  <c r="K14" i="21" s="1"/>
  <c r="J12" i="21"/>
  <c r="K12" i="21" s="1"/>
  <c r="L32" i="9"/>
  <c r="L31" i="9" s="1"/>
  <c r="AH31" i="9" s="1"/>
  <c r="H127" i="5"/>
  <c r="H126" i="5" s="1"/>
  <c r="D203" i="4"/>
  <c r="R73" i="22"/>
  <c r="C94" i="9"/>
  <c r="G94" i="9" s="1"/>
  <c r="J60" i="18"/>
  <c r="J59" i="18" s="1"/>
  <c r="D21" i="11" s="1"/>
  <c r="AH67" i="9"/>
  <c r="C70" i="10" s="1"/>
  <c r="AH75" i="9"/>
  <c r="C78" i="10" s="1"/>
  <c r="AH91" i="9"/>
  <c r="L64" i="9"/>
  <c r="AH53" i="9"/>
  <c r="C52" i="10" s="1"/>
  <c r="D16" i="10"/>
  <c r="AH116" i="9"/>
  <c r="H125" i="5"/>
  <c r="AH89" i="9"/>
  <c r="C92" i="10" s="1"/>
  <c r="Q26" i="20"/>
  <c r="D101" i="5"/>
  <c r="H101" i="5" s="1"/>
  <c r="AH92" i="9"/>
  <c r="C95" i="10" s="1"/>
  <c r="D94" i="10" s="1"/>
  <c r="D138" i="10"/>
  <c r="C87" i="10"/>
  <c r="C20" i="13"/>
  <c r="AH63" i="9"/>
  <c r="C62" i="10" s="1"/>
  <c r="P94" i="9"/>
  <c r="S94" i="9" s="1"/>
  <c r="AH52" i="9"/>
  <c r="C51" i="10" s="1"/>
  <c r="AH142" i="9"/>
  <c r="C146" i="10" s="1"/>
  <c r="S130" i="9"/>
  <c r="AH130" i="9" s="1"/>
  <c r="O139" i="9"/>
  <c r="L70" i="9"/>
  <c r="AH60" i="9"/>
  <c r="C59" i="10" s="1"/>
  <c r="AH56" i="9"/>
  <c r="C55" i="10" s="1"/>
  <c r="AH48" i="9"/>
  <c r="C47" i="10" s="1"/>
  <c r="C43" i="9"/>
  <c r="H71" i="5"/>
  <c r="Q53" i="22"/>
  <c r="L76" i="22"/>
  <c r="C16" i="5" s="1"/>
  <c r="K39" i="9"/>
  <c r="K37" i="9" s="1"/>
  <c r="K9" i="9" s="1"/>
  <c r="R58" i="22"/>
  <c r="R45" i="22"/>
  <c r="R47" i="22" s="1"/>
  <c r="R43" i="22"/>
  <c r="R27" i="22"/>
  <c r="Q23" i="22"/>
  <c r="O33" i="22"/>
  <c r="J43" i="9"/>
  <c r="AH72" i="9"/>
  <c r="C75" i="10" s="1"/>
  <c r="AH87" i="9"/>
  <c r="C90" i="10" s="1"/>
  <c r="E43" i="9"/>
  <c r="R39" i="22"/>
  <c r="H16" i="8"/>
  <c r="H47" i="8" s="1"/>
  <c r="C70" i="18"/>
  <c r="C71" i="18" s="1"/>
  <c r="L163" i="9" s="1"/>
  <c r="C18" i="5"/>
  <c r="D18" i="5" s="1"/>
  <c r="H18" i="5" s="1"/>
  <c r="C15" i="9"/>
  <c r="Q73" i="22"/>
  <c r="G20" i="21"/>
  <c r="I43" i="9"/>
  <c r="AH57" i="9"/>
  <c r="C56" i="10" s="1"/>
  <c r="F43" i="9"/>
  <c r="T139" i="9"/>
  <c r="T120" i="9" s="1"/>
  <c r="T161" i="9" s="1"/>
  <c r="C23" i="14" s="1"/>
  <c r="D25" i="11"/>
  <c r="D43" i="9"/>
  <c r="G106" i="5"/>
  <c r="G64" i="9"/>
  <c r="AH65" i="9"/>
  <c r="C68" i="10" s="1"/>
  <c r="H106" i="5"/>
  <c r="G86" i="9"/>
  <c r="G70" i="9"/>
  <c r="G173" i="4"/>
  <c r="D99" i="4"/>
  <c r="G11" i="4"/>
  <c r="K43" i="9"/>
  <c r="L44" i="9"/>
  <c r="AH44" i="9" s="1"/>
  <c r="H87" i="5"/>
  <c r="R53" i="22"/>
  <c r="F10" i="9"/>
  <c r="F9" i="9" s="1"/>
  <c r="M74" i="22"/>
  <c r="I74" i="22"/>
  <c r="I76" i="22" s="1"/>
  <c r="J39" i="9"/>
  <c r="J37" i="9" s="1"/>
  <c r="D10" i="9"/>
  <c r="D9" i="9" s="1"/>
  <c r="E27" i="12"/>
  <c r="C28" i="14"/>
  <c r="H28" i="14" s="1"/>
  <c r="I18" i="7"/>
  <c r="D46" i="5"/>
  <c r="H65" i="5"/>
  <c r="H47" i="5"/>
  <c r="C46" i="5"/>
  <c r="R26" i="20"/>
  <c r="C109" i="10" l="1"/>
  <c r="C18" i="14"/>
  <c r="D106" i="10"/>
  <c r="E97" i="10" s="1"/>
  <c r="O76" i="22"/>
  <c r="C192" i="4"/>
  <c r="G192" i="4" s="1"/>
  <c r="C88" i="4"/>
  <c r="D29" i="5"/>
  <c r="C29" i="5"/>
  <c r="H26" i="9" s="1"/>
  <c r="R31" i="22"/>
  <c r="R33" i="22" s="1"/>
  <c r="E22" i="12"/>
  <c r="S140" i="9"/>
  <c r="C147" i="5"/>
  <c r="H19" i="5"/>
  <c r="AH86" i="9"/>
  <c r="AH64" i="9"/>
  <c r="D67" i="10"/>
  <c r="K19" i="21"/>
  <c r="K20" i="21" s="1"/>
  <c r="AH32" i="9"/>
  <c r="C31" i="10" s="1"/>
  <c r="D30" i="10" s="1"/>
  <c r="D73" i="10"/>
  <c r="H16" i="5"/>
  <c r="M76" i="22"/>
  <c r="H14" i="5"/>
  <c r="D89" i="10"/>
  <c r="C10" i="9"/>
  <c r="C14" i="13"/>
  <c r="AH16" i="9"/>
  <c r="C15" i="10" s="1"/>
  <c r="G13" i="9"/>
  <c r="P161" i="9"/>
  <c r="E25" i="12" s="1"/>
  <c r="F24" i="12" s="1"/>
  <c r="AH70" i="9"/>
  <c r="D43" i="10"/>
  <c r="F161" i="9"/>
  <c r="D15" i="14" s="1"/>
  <c r="Q33" i="22"/>
  <c r="Q74" i="22"/>
  <c r="R74" i="22"/>
  <c r="F70" i="18"/>
  <c r="F71" i="18" s="1"/>
  <c r="G15" i="9"/>
  <c r="J19" i="21"/>
  <c r="J20" i="21" s="1"/>
  <c r="D42" i="5"/>
  <c r="H23" i="14"/>
  <c r="D161" i="9"/>
  <c r="D12" i="14" s="1"/>
  <c r="G43" i="9"/>
  <c r="K161" i="9"/>
  <c r="C15" i="14" s="1"/>
  <c r="L43" i="9"/>
  <c r="AH94" i="9"/>
  <c r="H46" i="5"/>
  <c r="H43" i="5"/>
  <c r="J17" i="18"/>
  <c r="G71" i="18"/>
  <c r="C16" i="13" s="1"/>
  <c r="E10" i="9"/>
  <c r="E9" i="9" s="1"/>
  <c r="E161" i="9" s="1"/>
  <c r="D14" i="14" s="1"/>
  <c r="G11" i="9"/>
  <c r="L13" i="9"/>
  <c r="I10" i="9"/>
  <c r="I9" i="9" s="1"/>
  <c r="I161" i="9" s="1"/>
  <c r="C12" i="14" s="1"/>
  <c r="H12" i="14" s="1"/>
  <c r="H15" i="14" l="1"/>
  <c r="D39" i="11"/>
  <c r="C26" i="14"/>
  <c r="C25" i="14" s="1"/>
  <c r="C24" i="14" s="1"/>
  <c r="G23" i="12"/>
  <c r="Q76" i="22"/>
  <c r="H42" i="5"/>
  <c r="R88" i="22"/>
  <c r="G163" i="9"/>
  <c r="D147" i="5"/>
  <c r="C114" i="9"/>
  <c r="D121" i="5"/>
  <c r="D119" i="5" s="1"/>
  <c r="D118" i="5" s="1"/>
  <c r="C190" i="4"/>
  <c r="C86" i="4"/>
  <c r="C85" i="4" s="1"/>
  <c r="C99" i="4" s="1"/>
  <c r="G88" i="4"/>
  <c r="C121" i="5" s="1"/>
  <c r="H114" i="9"/>
  <c r="E42" i="10"/>
  <c r="R76" i="22"/>
  <c r="R77" i="22" s="1"/>
  <c r="R81" i="22" s="1"/>
  <c r="R84" i="22" s="1"/>
  <c r="C13" i="5"/>
  <c r="C26" i="9"/>
  <c r="G26" i="9" s="1"/>
  <c r="G25" i="9" s="1"/>
  <c r="H26" i="14"/>
  <c r="O120" i="9"/>
  <c r="O161" i="9" s="1"/>
  <c r="D13" i="14"/>
  <c r="G10" i="9"/>
  <c r="L15" i="9"/>
  <c r="AH15" i="9" s="1"/>
  <c r="C14" i="10" s="1"/>
  <c r="C39" i="9"/>
  <c r="G40" i="9"/>
  <c r="G39" i="9" s="1"/>
  <c r="D13" i="11"/>
  <c r="D27" i="11" s="1"/>
  <c r="J70" i="18"/>
  <c r="J71" i="18" s="1"/>
  <c r="AH162" i="9" s="1"/>
  <c r="AH43" i="9"/>
  <c r="D37" i="11" s="1"/>
  <c r="E14" i="12"/>
  <c r="D13" i="5"/>
  <c r="C25" i="13"/>
  <c r="J10" i="9"/>
  <c r="J9" i="9" s="1"/>
  <c r="J161" i="9" s="1"/>
  <c r="L11" i="9"/>
  <c r="E11" i="12"/>
  <c r="AH13" i="9"/>
  <c r="C12" i="10" s="1"/>
  <c r="H18" i="14"/>
  <c r="C22" i="14" l="1"/>
  <c r="C21" i="14" s="1"/>
  <c r="H25" i="14"/>
  <c r="H24" i="14" s="1"/>
  <c r="AH11" i="9"/>
  <c r="C10" i="10" s="1"/>
  <c r="L10" i="9"/>
  <c r="C73" i="23"/>
  <c r="C74" i="23" s="1"/>
  <c r="P73" i="23"/>
  <c r="C31" i="5"/>
  <c r="H29" i="9"/>
  <c r="C29" i="9"/>
  <c r="C28" i="9" s="1"/>
  <c r="C119" i="5"/>
  <c r="H121" i="5"/>
  <c r="C113" i="9"/>
  <c r="C112" i="9" s="1"/>
  <c r="G114" i="9"/>
  <c r="C189" i="4"/>
  <c r="C203" i="4" s="1"/>
  <c r="G190" i="4"/>
  <c r="L114" i="9"/>
  <c r="H113" i="9"/>
  <c r="H112" i="9" s="1"/>
  <c r="G86" i="4"/>
  <c r="R90" i="22"/>
  <c r="R85" i="22"/>
  <c r="K22" i="21"/>
  <c r="H13" i="5"/>
  <c r="C25" i="9"/>
  <c r="D28" i="5"/>
  <c r="H29" i="5"/>
  <c r="C28" i="5"/>
  <c r="H39" i="9"/>
  <c r="L26" i="9"/>
  <c r="H25" i="9"/>
  <c r="E13" i="12"/>
  <c r="F12" i="12" s="1"/>
  <c r="C14" i="14"/>
  <c r="H14" i="14" s="1"/>
  <c r="H13" i="14" s="1"/>
  <c r="D9" i="10" l="1"/>
  <c r="AH10" i="9"/>
  <c r="C12" i="5"/>
  <c r="G29" i="9"/>
  <c r="G28" i="9" s="1"/>
  <c r="G9" i="9" s="1"/>
  <c r="C9" i="9"/>
  <c r="C161" i="9" s="1"/>
  <c r="G112" i="9"/>
  <c r="H32" i="5"/>
  <c r="D31" i="5"/>
  <c r="H31" i="5" s="1"/>
  <c r="G189" i="4"/>
  <c r="G203" i="4" s="1"/>
  <c r="H119" i="5"/>
  <c r="C118" i="5"/>
  <c r="H118" i="5" s="1"/>
  <c r="L112" i="9"/>
  <c r="L113" i="9"/>
  <c r="AH114" i="9"/>
  <c r="C117" i="10" s="1"/>
  <c r="D116" i="10" s="1"/>
  <c r="E115" i="10" s="1"/>
  <c r="G113" i="9"/>
  <c r="G85" i="4"/>
  <c r="G99" i="4" s="1"/>
  <c r="H28" i="5"/>
  <c r="AH40" i="9"/>
  <c r="C39" i="10" s="1"/>
  <c r="D38" i="10" s="1"/>
  <c r="AH39" i="9"/>
  <c r="H28" i="9"/>
  <c r="H9" i="9" s="1"/>
  <c r="H161" i="9" s="1"/>
  <c r="C11" i="14" s="1"/>
  <c r="L29" i="9"/>
  <c r="L25" i="9"/>
  <c r="AH25" i="9" s="1"/>
  <c r="AH26" i="9"/>
  <c r="C25" i="10" s="1"/>
  <c r="C13" i="14"/>
  <c r="C20" i="14"/>
  <c r="E10" i="12" l="1"/>
  <c r="C10" i="14"/>
  <c r="H11" i="14"/>
  <c r="H10" i="14" s="1"/>
  <c r="H9" i="14" s="1"/>
  <c r="G161" i="9"/>
  <c r="D12" i="5"/>
  <c r="H12" i="5" s="1"/>
  <c r="C145" i="5"/>
  <c r="C148" i="5" s="1"/>
  <c r="AH113" i="9"/>
  <c r="AH112" i="9"/>
  <c r="D41" i="11" s="1"/>
  <c r="D11" i="14"/>
  <c r="L28" i="9"/>
  <c r="AH28" i="9" s="1"/>
  <c r="AH29" i="9"/>
  <c r="D24" i="10"/>
  <c r="C28" i="10" l="1"/>
  <c r="D27" i="10" s="1"/>
  <c r="E8" i="10" s="1"/>
  <c r="D16" i="13"/>
  <c r="D10" i="14"/>
  <c r="D9" i="14" s="1"/>
  <c r="D29" i="14" s="1"/>
  <c r="L9" i="9"/>
  <c r="AH9" i="9" s="1"/>
  <c r="G164" i="9"/>
  <c r="D145" i="5"/>
  <c r="D148" i="5" s="1"/>
  <c r="C9" i="14"/>
  <c r="F9" i="12" l="1"/>
  <c r="G8" i="12" s="1"/>
  <c r="D35" i="11"/>
  <c r="L161" i="9"/>
  <c r="H145" i="5"/>
  <c r="L164" i="9" l="1"/>
  <c r="L162" i="9"/>
  <c r="I23" i="7"/>
  <c r="I57" i="7" s="1"/>
  <c r="U139" i="9" l="1"/>
  <c r="U120" i="9" s="1"/>
  <c r="U161" i="9" s="1"/>
  <c r="W140" i="9"/>
  <c r="AH140" i="9" s="1"/>
  <c r="C144" i="10" s="1"/>
  <c r="F19" i="14" l="1"/>
  <c r="F17" i="14" s="1"/>
  <c r="F16" i="14" s="1"/>
  <c r="I17" i="7"/>
  <c r="V139" i="9"/>
  <c r="V120" i="9" s="1"/>
  <c r="V161" i="9" s="1"/>
  <c r="V162" i="9" l="1"/>
  <c r="T163" i="9"/>
  <c r="E21" i="12"/>
  <c r="F20" i="12" s="1"/>
  <c r="G19" i="12" s="1"/>
  <c r="F22" i="14"/>
  <c r="W139" i="9"/>
  <c r="W120" i="9"/>
  <c r="H22" i="14" l="1"/>
  <c r="H21" i="14" s="1"/>
  <c r="H20" i="14" s="1"/>
  <c r="F21" i="14"/>
  <c r="F20" i="14" s="1"/>
  <c r="F29" i="14" s="1"/>
  <c r="W161" i="9"/>
  <c r="D20" i="13" l="1"/>
  <c r="J78" i="6"/>
  <c r="D77" i="6"/>
  <c r="D92" i="6" s="1"/>
  <c r="J81" i="6"/>
  <c r="S144" i="9"/>
  <c r="AH144" i="9" s="1"/>
  <c r="C148" i="10" s="1"/>
  <c r="D80" i="6"/>
  <c r="J80" i="6" s="1"/>
  <c r="S143" i="9" l="1"/>
  <c r="AH143" i="9" s="1"/>
  <c r="C147" i="10" s="1"/>
  <c r="C166" i="10" s="1"/>
  <c r="J77" i="6"/>
  <c r="J92" i="6" s="1"/>
  <c r="N120" i="9" l="1"/>
  <c r="S139" i="9"/>
  <c r="AH139" i="9" s="1"/>
  <c r="D143" i="10"/>
  <c r="E124" i="10" l="1"/>
  <c r="E166" i="10" s="1"/>
  <c r="D166" i="10"/>
  <c r="N161" i="9"/>
  <c r="S120" i="9"/>
  <c r="S161" i="9" l="1"/>
  <c r="AH120" i="9"/>
  <c r="AH161" i="9" s="1"/>
  <c r="C19" i="14"/>
  <c r="E18" i="12"/>
  <c r="F16" i="12" l="1"/>
  <c r="G15" i="12" s="1"/>
  <c r="G28" i="12" s="1"/>
  <c r="E28" i="12"/>
  <c r="D14" i="13"/>
  <c r="D25" i="13" s="1"/>
  <c r="D27" i="13" s="1"/>
  <c r="R164" i="9"/>
  <c r="AH163" i="9"/>
  <c r="D43" i="11"/>
  <c r="D51" i="11" s="1"/>
  <c r="C17" i="14"/>
  <c r="C16" i="14" s="1"/>
  <c r="C29" i="14" s="1"/>
  <c r="H19" i="14"/>
  <c r="H17" i="14" s="1"/>
  <c r="H16" i="14" s="1"/>
  <c r="H29" i="14" s="1"/>
  <c r="F28" i="12" l="1"/>
  <c r="G30" i="12" l="1"/>
</calcChain>
</file>

<file path=xl/comments1.xml><?xml version="1.0" encoding="utf-8"?>
<comments xmlns="http://schemas.openxmlformats.org/spreadsheetml/2006/main">
  <authors>
    <author>NAVEGANTE</author>
  </authors>
  <commentList>
    <comment ref="A10" authorId="0" shape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 los proyectos en ejecución</t>
        </r>
      </text>
    </comment>
  </commentList>
</comments>
</file>

<file path=xl/sharedStrings.xml><?xml version="1.0" encoding="utf-8"?>
<sst xmlns="http://schemas.openxmlformats.org/spreadsheetml/2006/main" count="1815" uniqueCount="751">
  <si>
    <t>FODES</t>
  </si>
  <si>
    <t>Fondos Propios</t>
  </si>
  <si>
    <t>Prestamos Externos</t>
  </si>
  <si>
    <t>Prestamos Internos</t>
  </si>
  <si>
    <t>Total</t>
  </si>
  <si>
    <t xml:space="preserve">IMPUESTOS  </t>
  </si>
  <si>
    <t>TASAS Y DERECHOS</t>
  </si>
  <si>
    <t>Aseo Público</t>
  </si>
  <si>
    <t>VENTA DE BIENES Y SERVICIOS</t>
  </si>
  <si>
    <t>INGRESOS FINANCIEROS Y OTROS</t>
  </si>
  <si>
    <t>MULTAS E INTERESES POR MORA</t>
  </si>
  <si>
    <t xml:space="preserve">TRANSFERENCIAS CORRIENTES  </t>
  </si>
  <si>
    <t>TRANSFERENCIAS DE CAPITAL</t>
  </si>
  <si>
    <t>SALDOS DE AÑOS ANTERIORES</t>
  </si>
  <si>
    <t>Concepto</t>
  </si>
  <si>
    <t>Cargo o Puesto</t>
  </si>
  <si>
    <t>Anual</t>
  </si>
  <si>
    <t>Prestaciones</t>
  </si>
  <si>
    <t>Aguinaldo</t>
  </si>
  <si>
    <t>ISSS</t>
  </si>
  <si>
    <t>0101</t>
  </si>
  <si>
    <t>0102</t>
  </si>
  <si>
    <t>UACI</t>
  </si>
  <si>
    <t>Ordenanza</t>
  </si>
  <si>
    <t>0201</t>
  </si>
  <si>
    <t>TOTAL</t>
  </si>
  <si>
    <t>Contrato</t>
  </si>
  <si>
    <t>ADQUISICIONES DE BIENES Y SERVICIOS</t>
  </si>
  <si>
    <t>BIENES DE USO Y CONSUMO</t>
  </si>
  <si>
    <t>PRODUCTOS ALIMENTICIOS P/PERSONAS</t>
  </si>
  <si>
    <t>PRODUCTOS AGROPECUARIOS Y FORESTAL</t>
  </si>
  <si>
    <t>PRODUCTOS TEXTILES Y VESTUARIOS</t>
  </si>
  <si>
    <t>PRODUCTOS 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</si>
  <si>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</si>
  <si>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</si>
  <si>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</si>
  <si>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</si>
  <si>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</si>
  <si>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MINERALES NO METALICOS Y PROD.DERIVADOS</t>
  </si>
  <si>
    <t>MINERALES METALICOS Y PRODUCTOS DERV.</t>
  </si>
  <si>
    <t>MATERIALES DE OFICINA</t>
  </si>
  <si>
    <t>MATERIALES INFORMATICOS</t>
  </si>
  <si>
    <t>LIBROS, TEXTOS, UTILES DE ENSEÑANZA Y PUBLICACIONES</t>
  </si>
  <si>
    <t>MATERIALES DE DEFENSA Y SEGURIDAD PUBLICA</t>
  </si>
  <si>
    <t>HERRAMIENTAS, REPUESTOS Y ACCESORIOS</t>
  </si>
  <si>
    <t>MATERIALES ELECTRICOS</t>
  </si>
  <si>
    <t>ESPECIES MUNICIPALES DIVERSAS</t>
  </si>
  <si>
    <t>BIENES DE USO Y CONSUMO DIVERSO</t>
  </si>
  <si>
    <t>SERVICIOS BASICOS</t>
  </si>
  <si>
    <t>SERVICIOS DE ENERGIA ELECTRICA</t>
  </si>
  <si>
    <t>SERVICIOS DE AGUA</t>
  </si>
  <si>
    <t>SERVICIOS DE TELECOMUNICACIONES</t>
  </si>
  <si>
    <t>SERVICIOS DE CORREOS</t>
  </si>
  <si>
    <t>ALUMBRADO PUBLICO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</si>
  <si>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</si>
  <si>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</si>
  <si>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</si>
  <si>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</si>
  <si>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TRANSPORTES, FLETES Y ALMACENAMIENTOS</t>
  </si>
  <si>
    <t>SERVICIOS DE PUBLICIDAD</t>
  </si>
  <si>
    <t>SERVICIOS DE VIGILANCIA</t>
  </si>
  <si>
    <t>SERVICIOS LIMPIEZA Y FUMIGACIONES</t>
  </si>
  <si>
    <t>SERVICIOS DE LABORATORIO</t>
  </si>
  <si>
    <t>SERVICIOS DE ALIMENTACION</t>
  </si>
  <si>
    <t>SERVICIOS EDUCATIVOS</t>
  </si>
  <si>
    <t>IMPRESIONES, PUBLICACIONES Y REPRODUCCIONES.</t>
  </si>
  <si>
    <t>ATENCIONES OFICIALES</t>
  </si>
  <si>
    <t>ARRENDAMIENTO DE BIENES MUEBLES</t>
  </si>
  <si>
    <t>ARRENDAMIENTO DE BIENES INMUEBLES</t>
  </si>
  <si>
    <t>SERVICIOS GENERALES Y ARRENDAMIENTOS DIVERSOS</t>
  </si>
  <si>
    <t>PASAJES Y VIATICOS</t>
  </si>
  <si>
    <t>PASAJES AL INTERIOR</t>
  </si>
  <si>
    <t>PASAJES AL EXTERIOR</t>
  </si>
  <si>
    <t>VIATICOS POR COMISION INTERNA</t>
  </si>
  <si>
    <t>VIATICOS POR COMISION EXTERNA</t>
  </si>
  <si>
    <t xml:space="preserve">CONSULTORIAS, ESTUDIOS E INVESTIGACIONES  </t>
  </si>
  <si>
    <t>SERVICIOS MEDICOS</t>
  </si>
  <si>
    <t>SERVICIOS JURIDICOS</t>
  </si>
  <si>
    <t>SERVICIOS DE CONTABILIDAD Y AUDITORIA</t>
  </si>
  <si>
    <t>SERVICIOS DE CAPACITACION</t>
  </si>
  <si>
    <t>DESARROLLOS INFORMATICOS</t>
  </si>
  <si>
    <t>ESTUDIOS E INVESTIGACIONES</t>
  </si>
  <si>
    <t>CONSULTORIAS, ESTUDIOS E INVESTIGACIONES DIVERSAS</t>
  </si>
  <si>
    <t>GASTOS FINANCIEROS Y OTROS</t>
  </si>
  <si>
    <t>INTERESES Y COMISIONES DE EMPRESTITOS INTERNOS</t>
  </si>
  <si>
    <t>DE EMPRESAS PUBLICAS NO FINANCIERAS</t>
  </si>
  <si>
    <t>DE EMPRESAS PUBLICAS FINANCIERAS</t>
  </si>
  <si>
    <t>DE EMPRESAS PRIVADA FINANCIERAS</t>
  </si>
  <si>
    <t>SEGUROS, COMISIONES Y GTOS.BANCARIOS</t>
  </si>
  <si>
    <t>PRIMAS Y GASTOS SEGURO PERSONAS</t>
  </si>
  <si>
    <t>PRIMAS Y GASTOS DE SEGUROS DE BIENES</t>
  </si>
  <si>
    <t>COMISION Y GASTOS BANCARIOS</t>
  </si>
  <si>
    <t>OTROS GASTOS NO CLASIFICADOS</t>
  </si>
  <si>
    <t>DIFERENCIAS CAMBIARIAS</t>
  </si>
  <si>
    <t>SENTENCIAS JUDICIALES</t>
  </si>
  <si>
    <t>GASTOS DIVERSOS</t>
  </si>
  <si>
    <t>TRANSFERENCIAS CORRIENTES</t>
  </si>
  <si>
    <t>TRANSFERENCIAS CORRIENTES AL SECTOR PUBLICO</t>
  </si>
  <si>
    <t>ORGANISMOS SIN FINES DE LUCRO</t>
  </si>
  <si>
    <t>TRANSFERENCIAS CORRIENTES AL SECTOR PRIVADO</t>
  </si>
  <si>
    <t>A PERSONAS NATURALES.</t>
  </si>
  <si>
    <t>Adquisición de Bienes y Servicios</t>
  </si>
  <si>
    <t>Por Fuente de Financiamiento</t>
  </si>
  <si>
    <t>CONCEPTO</t>
  </si>
  <si>
    <t>FODES 25% - FF1</t>
  </si>
  <si>
    <t>0101 Direccion y Administracion Municipal</t>
  </si>
  <si>
    <t>0102 Administraciòn Financiera Municipal</t>
  </si>
  <si>
    <t>0201 Servicios Municipales</t>
  </si>
  <si>
    <t>SUB TOTAL</t>
  </si>
  <si>
    <t>A PERSONAS NATURALES</t>
  </si>
  <si>
    <t>EXPRESION PRESUPUESTARIA POR LINEA DE TRABAJO</t>
  </si>
  <si>
    <t>RUBRO, CUENTA, OBJETO ESPECIFICO Y FUENTE DE FINANCIAMIENTO</t>
  </si>
  <si>
    <t>AREA DE GESTION:                         1 CONDUCCION ADMINISTRATIVA</t>
  </si>
  <si>
    <t>UNIDAD PRESUPUESTARIA:         01 ADMINISTRACION MUNICIPAL</t>
  </si>
  <si>
    <t>LINEA DE TRABAJO:                 0101 DIRECCION Y ADMINISTRACION MUNICIPAL</t>
  </si>
  <si>
    <t>EXPRESION PRESUPUESTARIA</t>
  </si>
  <si>
    <t>Fuentes de Financiamiento</t>
  </si>
  <si>
    <t>CODIGO</t>
  </si>
  <si>
    <t>ESPECIFICO</t>
  </si>
  <si>
    <t>Fondo General 25% FF1</t>
  </si>
  <si>
    <t>Fondos Propios   FF2</t>
  </si>
  <si>
    <t>Donaciones</t>
  </si>
  <si>
    <t>REMUNERACIONES</t>
  </si>
  <si>
    <t>REMUNERACIONES PERMANENTES</t>
  </si>
  <si>
    <t>51101</t>
  </si>
  <si>
    <t>SUELDOS</t>
  </si>
  <si>
    <t>SALARIOS POR JORNAL</t>
  </si>
  <si>
    <t>AGUINALDOS</t>
  </si>
  <si>
    <t>SOBRESUELDOS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</si>
  <si>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</si>
  <si>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</si>
  <si>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</si>
  <si>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</si>
  <si>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</si>
  <si>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</si>
  <si>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</si>
  <si>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SUELDOS POR JORNAL</t>
  </si>
  <si>
    <t>51203</t>
  </si>
  <si>
    <t>51207</t>
  </si>
  <si>
    <t>513</t>
  </si>
  <si>
    <t>REMUNERACIONES EXTRAORDINARIAS</t>
  </si>
  <si>
    <t>HORAS EXTRAORDINARIAS</t>
  </si>
  <si>
    <t>BENEFICIOS EXTRAORDINARIOS</t>
  </si>
  <si>
    <t>CONTRIBUCIONES PATRONALES A INST. SEG. SOC. PUB.</t>
  </si>
  <si>
    <t>51401</t>
  </si>
  <si>
    <t>POR REMUNERACIONES PERMANENTES</t>
  </si>
  <si>
    <t>51402</t>
  </si>
  <si>
    <t>POR REMUNERACIONES EVENTUALES</t>
  </si>
  <si>
    <t>CONTRIBUCIONES PATRONALES A INST. SEG. SOC. PRIV.</t>
  </si>
  <si>
    <t>51501</t>
  </si>
  <si>
    <t>51502</t>
  </si>
  <si>
    <t>516</t>
  </si>
  <si>
    <t>GASTOS DE REPRESENTACION</t>
  </si>
  <si>
    <t>POR PRESTACION SERV.EN EL PAIS</t>
  </si>
  <si>
    <t>POR PRESTACION SERV.EN EL EXTERIOR</t>
  </si>
  <si>
    <t>INDEMNIZACIONES</t>
  </si>
  <si>
    <t>AL PERSONAL DE SERVICIOS PERMANENTES</t>
  </si>
  <si>
    <t>AL PERSONAL DE SERVICIOS EVENTUALES</t>
  </si>
  <si>
    <t>COMISIONES POR SERVICIOS PERSONALES</t>
  </si>
  <si>
    <t>COMISIONES POR RECUPERACION DE CARTERAS</t>
  </si>
  <si>
    <t>REMUNERACIONES DIVERSAS</t>
  </si>
  <si>
    <t>HONORARIOS</t>
  </si>
  <si>
    <t>61</t>
  </si>
  <si>
    <t>INVERSIONES EN ACTIVOS FIJOS</t>
  </si>
  <si>
    <t>611</t>
  </si>
  <si>
    <t>BIENES MUEBLES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</si>
  <si>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</si>
  <si>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</si>
  <si>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</si>
  <si>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</si>
  <si>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</si>
  <si>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</si>
  <si>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</si>
  <si>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EQUIPOS INFORMATICOS</t>
  </si>
  <si>
    <t>61105</t>
  </si>
  <si>
    <t>VEHICULOS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</si>
  <si>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</si>
  <si>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</si>
  <si>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</si>
  <si>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</si>
  <si>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</si>
  <si>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</si>
  <si>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CUENTAS POR PAGAR DE AÑOS ANTERIORES GASTOS CORRIENTES</t>
  </si>
  <si>
    <t>ASIGNACIONES POR APLICAR</t>
  </si>
  <si>
    <t>ASIGNACIONES POR APLICAR GASTOS CORRIENTES</t>
  </si>
  <si>
    <t>TOTALES</t>
  </si>
  <si>
    <t>0202 Servicios Municipales</t>
  </si>
  <si>
    <t>CONSOLIDADO DE PROYECTOS DE INVERSION SOCIAL</t>
  </si>
  <si>
    <t>Codigo Presup</t>
  </si>
  <si>
    <t>Codigo del Proyecto</t>
  </si>
  <si>
    <t>CONCEPTO DE EGRESOS</t>
  </si>
  <si>
    <t>FUENTES DE FINANCIAMIENTO</t>
  </si>
  <si>
    <t>Fondo General</t>
  </si>
  <si>
    <t>BIENES INMUEBLES</t>
  </si>
  <si>
    <t>Edificios e Instalaciones</t>
  </si>
  <si>
    <t>ESTUDIOS DE PRE-INVERSION</t>
  </si>
  <si>
    <t>PROYECTOS DE CONSTRUCCIONES</t>
  </si>
  <si>
    <t>PROYECTOS DE AMPLIACIONES</t>
  </si>
  <si>
    <t>PROGRAMAS DE INVERSION SOCIAL</t>
  </si>
  <si>
    <t>PROYECTOS Y PROGRAMAS DE INVERSION DIVERSAS</t>
  </si>
  <si>
    <t>INFRAESTRUCTURAS</t>
  </si>
  <si>
    <t>VIALES</t>
  </si>
  <si>
    <t>DE SALUD Y SANEAMIENTO AMBIENTAL</t>
  </si>
  <si>
    <t>DE EDUCACION Y RECREACION</t>
  </si>
  <si>
    <t>DE VIVIENDA Y OFICINA</t>
  </si>
  <si>
    <t>ELECTRICAS Y COMUNICACIONES</t>
  </si>
  <si>
    <t>DE PRODUCCION DE BIENES Y SERVICIOS</t>
  </si>
  <si>
    <t>SUPERVICIOS DE INFRAESTRUCTURA</t>
  </si>
  <si>
    <t>OBRAS DE INFRAESTRUCTURA DIVERSAS</t>
  </si>
  <si>
    <t>CONSOLIDADO DE PROYECTOS DE INVERSION ECONOMICA</t>
  </si>
  <si>
    <t>CODIGOS</t>
  </si>
  <si>
    <t>PRESUP.</t>
  </si>
  <si>
    <t>De empresas pùblicas no financiera</t>
  </si>
  <si>
    <t>De empresas pùblicas financiera</t>
  </si>
  <si>
    <t>PRIMAS Y GASTOS POR SEGUROS Y COMISIONES BANCARIAS</t>
  </si>
  <si>
    <t>Comisiones y Gastos Bancarios</t>
  </si>
  <si>
    <t>AMORTIZACION DEL ENDEUDAMIENTO PUBLICO</t>
  </si>
  <si>
    <t>AMORTIZACION DE EMPRESTITOS INTERNOS</t>
  </si>
  <si>
    <t>FF1: FONDO GENERAL (FODES)</t>
  </si>
  <si>
    <t>FF2: FONDOS PROPIOS</t>
  </si>
  <si>
    <t>FF3: PRESTAMOS EXTERNOS</t>
  </si>
  <si>
    <t>FF4: PRESTAMOS INTERNOS</t>
  </si>
  <si>
    <t>FF5: DONACIONES</t>
  </si>
  <si>
    <t>FODES 25%</t>
  </si>
  <si>
    <t>FODES 75%</t>
  </si>
  <si>
    <t>AREAS DE GESTION</t>
  </si>
  <si>
    <t>DES.SOC</t>
  </si>
  <si>
    <t>DES.ECON.</t>
  </si>
  <si>
    <t>DEUDA PUB.</t>
  </si>
  <si>
    <t>DES.EC.</t>
  </si>
  <si>
    <t>(AG 3)</t>
  </si>
  <si>
    <t>(AG 4)</t>
  </si>
  <si>
    <t>(AG  5)</t>
  </si>
  <si>
    <t>0301</t>
  </si>
  <si>
    <t>0302</t>
  </si>
  <si>
    <t>0401</t>
  </si>
  <si>
    <t>0501</t>
  </si>
  <si>
    <t>Proy.Dsarr.Social</t>
  </si>
  <si>
    <t>Proy.Dsarr.Econ.</t>
  </si>
  <si>
    <t>DE EMPRESAS PRIVADAS FINANCIERAS</t>
  </si>
  <si>
    <t>ASOCIACIONES MUNICIPALES</t>
  </si>
  <si>
    <t>612</t>
  </si>
  <si>
    <t>61201</t>
  </si>
  <si>
    <t>TERRENOS</t>
  </si>
  <si>
    <t>61202</t>
  </si>
  <si>
    <t>EDIFICIOS E INSTALACIONES</t>
  </si>
  <si>
    <t>61299</t>
  </si>
  <si>
    <t>INMUEBLES DIVERSOS</t>
  </si>
  <si>
    <t>En dolares de Estados Unidos de America</t>
  </si>
  <si>
    <t>DETALLE DE EGRESOS</t>
  </si>
  <si>
    <t>Especifico</t>
  </si>
  <si>
    <t>DETALLE</t>
  </si>
  <si>
    <t>SUB-TOTAL</t>
  </si>
  <si>
    <t>DE MUNICIPALIDES</t>
  </si>
  <si>
    <t>BECAS</t>
  </si>
  <si>
    <t>0202</t>
  </si>
  <si>
    <t>616</t>
  </si>
  <si>
    <t>61602</t>
  </si>
  <si>
    <t>Salud y Medio ambiente (Disposicion Final de Desechos Solidos)</t>
  </si>
  <si>
    <t>DE MUNICIPALIDADES</t>
  </si>
  <si>
    <t>PRESUPUESTO MUNICIPAL POR AREAS DE GESTION</t>
  </si>
  <si>
    <t>CUADRO RESUMEN</t>
  </si>
  <si>
    <t>PRESUPUESTO DE INGRESOS</t>
  </si>
  <si>
    <t>CLASIFICACIONES POR RUBRO DE INGRESOS</t>
  </si>
  <si>
    <t>ENDEUDAMIENTO PUBLICO</t>
  </si>
  <si>
    <t>PRESUPUESTO DE EGRESOS</t>
  </si>
  <si>
    <t>CLASIFICACIONES POR RUBRO DE EGRESOS</t>
  </si>
  <si>
    <t>PRESUPUESTO DE EGRESOS POR ESTRUCTURA PRESUPUESTARIA</t>
  </si>
  <si>
    <t>AREA</t>
  </si>
  <si>
    <t>UNID</t>
  </si>
  <si>
    <t>LINEA</t>
  </si>
  <si>
    <t>GESTION</t>
  </si>
  <si>
    <t>PRES</t>
  </si>
  <si>
    <t>TRAB.</t>
  </si>
  <si>
    <t>1</t>
  </si>
  <si>
    <t>CONDUCCION ADMINISTRATIVA</t>
  </si>
  <si>
    <t>01</t>
  </si>
  <si>
    <t>ADMINISTRACION MUNICIPAL</t>
  </si>
  <si>
    <t>DIRECCION Y ADMINISTRACION SUPERIOR</t>
  </si>
  <si>
    <t>ADMINISTRACION FINANCIERA MUNICIPAL</t>
  </si>
  <si>
    <t>02</t>
  </si>
  <si>
    <t>SERVICIOS MUNICIPALES</t>
  </si>
  <si>
    <t>DESARROLLO SOCIAL</t>
  </si>
  <si>
    <t>03</t>
  </si>
  <si>
    <t>INVERSION E INSFRAESTRUCTURA SOCIAL</t>
  </si>
  <si>
    <t>PROYECTOS DE USO PRIVATIVOS</t>
  </si>
  <si>
    <t>PROYECTOS DE DESARROLLO SOCIAL</t>
  </si>
  <si>
    <t>APOYO AL DESARROLLO ECONOMICO</t>
  </si>
  <si>
    <t>04</t>
  </si>
  <si>
    <t>INVERSION E INSFRAESTRUCTURA ECONOMICA</t>
  </si>
  <si>
    <t>PROYECTO DE DESARROLLO ECONOMICO</t>
  </si>
  <si>
    <t>DEUDA PUBLICA</t>
  </si>
  <si>
    <t>05</t>
  </si>
  <si>
    <t>FINANCIAMIENTO MUNICIPAL</t>
  </si>
  <si>
    <t>AMORTIZACIÓN DEL ENDEUDAMIENTO PUBLICO</t>
  </si>
  <si>
    <t>CUADRO RESUMEN POR FUENTE DE FINANCIAMIENTO</t>
  </si>
  <si>
    <t>N°</t>
  </si>
  <si>
    <t>FUENTE</t>
  </si>
  <si>
    <t>INGRESOS</t>
  </si>
  <si>
    <t>EGRESOS</t>
  </si>
  <si>
    <t>FONDOS PROPIOS</t>
  </si>
  <si>
    <t>PRESTAMOS EXTERNOS</t>
  </si>
  <si>
    <t>PRESTAMOS INTERNOS</t>
  </si>
  <si>
    <t>EGRESOS POR ESTRUCTURA PRESUPUESTARIA Y FUENTE DE FINANCIAMIENTO</t>
  </si>
  <si>
    <t>COD</t>
  </si>
  <si>
    <t>ESTRUCTURA PRESUPUESTARIA</t>
  </si>
  <si>
    <t>FF1</t>
  </si>
  <si>
    <t>FF2</t>
  </si>
  <si>
    <t>FF3</t>
  </si>
  <si>
    <t>FF4</t>
  </si>
  <si>
    <t>FF5</t>
  </si>
  <si>
    <t>DIRECCION Y ADMINISTRACION</t>
  </si>
  <si>
    <t>3</t>
  </si>
  <si>
    <t>PROYECTOS DE USO PRIVATIVO</t>
  </si>
  <si>
    <t>4</t>
  </si>
  <si>
    <t>5</t>
  </si>
  <si>
    <t>TOTAL…</t>
  </si>
  <si>
    <t>DIRECCION Y ADMINISTRACION MUNICIPAL</t>
  </si>
  <si>
    <t>Servicios Internos</t>
  </si>
  <si>
    <t>Servicios Externos</t>
  </si>
  <si>
    <t>AREA DE GESTION 3: DESARROLLO SOCIAL</t>
  </si>
  <si>
    <t>INVERSION PARA EL DESARROLLO SOCIAL</t>
  </si>
  <si>
    <t>Infraestructura Social</t>
  </si>
  <si>
    <t>Programas de Desarrollo Social</t>
  </si>
  <si>
    <t>AREA DE GESTION 4: APOYO AL DESARROLLO ECONOMICO</t>
  </si>
  <si>
    <t>INVERSION PARA EL DESARROLLO ECONOMICO</t>
  </si>
  <si>
    <t>AREA DE GESTION 5: DEUDA PUBLICA</t>
  </si>
  <si>
    <t>PRESUPUESTO INSTITUCIONAL DE  EGRESOS</t>
  </si>
  <si>
    <r>
      <t xml:space="preserve">AREA DE GESTION: </t>
    </r>
    <r>
      <rPr>
        <b/>
        <sz val="10"/>
        <rFont val="Bookman Old Style"/>
        <family val="1"/>
      </rPr>
      <t>3 DESARROLLO SOCIAL</t>
    </r>
  </si>
  <si>
    <r>
      <t>UNIDAD PRESUPUESTARIA:</t>
    </r>
    <r>
      <rPr>
        <b/>
        <sz val="10"/>
        <rFont val="Bookman Old Style"/>
        <family val="1"/>
      </rPr>
      <t xml:space="preserve"> 3 INVERSION PARA EL DESARROLLO SOCIAL</t>
    </r>
  </si>
  <si>
    <r>
      <t xml:space="preserve">LINEA DE TRABAJO: </t>
    </r>
    <r>
      <rPr>
        <b/>
        <sz val="10"/>
        <rFont val="Bookman Old Style"/>
        <family val="1"/>
      </rPr>
      <t>03 INVERSION E INFRAESTRUCTURA SOCIAL</t>
    </r>
  </si>
  <si>
    <r>
      <t xml:space="preserve">AREA DE GESTION: </t>
    </r>
    <r>
      <rPr>
        <b/>
        <sz val="10"/>
        <rFont val="Bookman Old Style"/>
        <family val="1"/>
      </rPr>
      <t>4 DESARROLLO ECONOMICO</t>
    </r>
  </si>
  <si>
    <r>
      <t>UNIDAD PRESUPUESTARIA:</t>
    </r>
    <r>
      <rPr>
        <b/>
        <sz val="10"/>
        <rFont val="Bookman Old Style"/>
        <family val="1"/>
      </rPr>
      <t xml:space="preserve"> 4 INVERSION PARA EL DESARROLLO ECONOMICO</t>
    </r>
  </si>
  <si>
    <r>
      <t xml:space="preserve">LINEA DE TRABAJO: </t>
    </r>
    <r>
      <rPr>
        <b/>
        <sz val="10"/>
        <rFont val="Bookman Old Style"/>
        <family val="1"/>
      </rPr>
      <t>04 INVERSION E INFRAESTRUCTURA ECONOMICA</t>
    </r>
  </si>
  <si>
    <t>AREA DE GESTION: 5 DEUDA PUBLICA</t>
  </si>
  <si>
    <t>UNIDAD PRESUPUESTARIA: 05 FINANCIAMIENTO MUNICIPAL</t>
  </si>
  <si>
    <t>Rubro</t>
  </si>
  <si>
    <t>IMPUESTOS</t>
  </si>
  <si>
    <t>IMPUESTO MUNICIPALES</t>
  </si>
  <si>
    <t>TASAS</t>
  </si>
  <si>
    <t>DERECHOS</t>
  </si>
  <si>
    <t>OTROS INGRESOS NO CALIFICADOS</t>
  </si>
  <si>
    <t>TRANSFERENCIAS CORRIENTES DEL SECTOR PÚBLICO</t>
  </si>
  <si>
    <t>TRANSFERENCIAS DE CAPITAL DEL SECTOR PÚBLICO</t>
  </si>
  <si>
    <t>ENDEUDAMIENTO PÚBLICO</t>
  </si>
  <si>
    <t>CONTRATACION DE EMPRÉSTITOS INTERNOS</t>
  </si>
  <si>
    <t>SALDOS INICIALES DE CAJA Y BANCO</t>
  </si>
  <si>
    <t>CUENTAS POR COBRAR DE AÑOS ANTERIORES</t>
  </si>
  <si>
    <t>TOTAL GENERAL</t>
  </si>
  <si>
    <t>Sistema de Remuneración</t>
  </si>
  <si>
    <t>Línea de Trabajo</t>
  </si>
  <si>
    <t>Honorarios</t>
  </si>
  <si>
    <t>Aportes por Contribuciones Patronales</t>
  </si>
  <si>
    <t>Aporte Patronal INSAFORP</t>
  </si>
  <si>
    <t>Dietas</t>
  </si>
  <si>
    <t>Beneficio Adicional</t>
  </si>
  <si>
    <t>Seg. Soc. Priv.</t>
  </si>
  <si>
    <t>Seguridad Social Pública (SSP)</t>
  </si>
  <si>
    <t>AFP´s</t>
  </si>
  <si>
    <t>INPEP</t>
  </si>
  <si>
    <t>IPSFA</t>
  </si>
  <si>
    <t>Total SSP</t>
  </si>
  <si>
    <t>Auditor Interno</t>
  </si>
  <si>
    <t>Sub-Total Línea de Trabajo 0202</t>
  </si>
  <si>
    <t>Tesorero</t>
  </si>
  <si>
    <t>Contador</t>
  </si>
  <si>
    <t>Aux. Cont.</t>
  </si>
  <si>
    <t>Jefe Presupuesto</t>
  </si>
  <si>
    <t>Aux. Presp.</t>
  </si>
  <si>
    <t>Enc. Ctas. Ctes.</t>
  </si>
  <si>
    <t>Cuentas Corrientes</t>
  </si>
  <si>
    <t>Enc. Catastro</t>
  </si>
  <si>
    <t>Catastro</t>
  </si>
  <si>
    <t>Jefe UACI</t>
  </si>
  <si>
    <t>Sub-Total Línea de Trabajo 0102</t>
  </si>
  <si>
    <t>Enc. Reg. Est. Fam.</t>
  </si>
  <si>
    <t>Sub-Total Línea de Trabajo 0201</t>
  </si>
  <si>
    <t>Enc. Servicios Generales</t>
  </si>
  <si>
    <t>Recolector</t>
  </si>
  <si>
    <t>Jefe CAM</t>
  </si>
  <si>
    <t xml:space="preserve"> Gran Total Líneas de Trabajo</t>
  </si>
  <si>
    <t>NOMBRE</t>
  </si>
  <si>
    <t>CARGO</t>
  </si>
  <si>
    <t>1er. Regidor Propietario</t>
  </si>
  <si>
    <t>2o. Regidor Suplente</t>
  </si>
  <si>
    <t>4o. Regidor Suplente</t>
  </si>
  <si>
    <t>Sub-Total Línea de Trabajo 0101</t>
  </si>
  <si>
    <t xml:space="preserve"> Gran Total Línea de Trabajo</t>
  </si>
  <si>
    <t>No.</t>
  </si>
  <si>
    <t>Depto.</t>
  </si>
  <si>
    <t>N° de Plazas</t>
  </si>
  <si>
    <t>Linea de Trabajo</t>
  </si>
  <si>
    <t>Centro de Respon.</t>
  </si>
  <si>
    <t>SALARIO</t>
  </si>
  <si>
    <t>Aportes Por Contribuciones Patronales</t>
  </si>
  <si>
    <t>Seg.Soc.Priv.</t>
  </si>
  <si>
    <t>Seguridad Social Publica</t>
  </si>
  <si>
    <t>Mensual</t>
  </si>
  <si>
    <t>AFP's</t>
  </si>
  <si>
    <t>Alcalde Municipal</t>
  </si>
  <si>
    <t>Sindico</t>
  </si>
  <si>
    <t>Sub-total Centro de Responsabilidad 0101</t>
  </si>
  <si>
    <t>Enc. De Ctas. Ctes. Y Colecturìa.</t>
  </si>
  <si>
    <t>Sub-total Centro de Responsabilidad 0102</t>
  </si>
  <si>
    <t>0103</t>
  </si>
  <si>
    <t>Sub-total Centro de Responsabilidad 0103</t>
  </si>
  <si>
    <t>Enc. Mercado</t>
  </si>
  <si>
    <t>MERCADO</t>
  </si>
  <si>
    <t>0206</t>
  </si>
  <si>
    <t>Cobrador Auxiliar</t>
  </si>
  <si>
    <t>Asistente Administrativo</t>
  </si>
  <si>
    <t>Vigilante</t>
  </si>
  <si>
    <t>Sub-total Centro de Responsabilidad 0206</t>
  </si>
  <si>
    <t>Enc. Rastro y Tiangue</t>
  </si>
  <si>
    <t>RASTRO</t>
  </si>
  <si>
    <t>0207</t>
  </si>
  <si>
    <t>Auxiliar de Servicios</t>
  </si>
  <si>
    <t>Sub-total Centro de Responsabilidad 0207</t>
  </si>
  <si>
    <t>Enc. Cementerio</t>
  </si>
  <si>
    <t>CEMENTERIO</t>
  </si>
  <si>
    <t>0208</t>
  </si>
  <si>
    <t>Sub-total Centro de Responsabilidad 0208</t>
  </si>
  <si>
    <t>Jefe del Registro Est. Familiar</t>
  </si>
  <si>
    <t>REF</t>
  </si>
  <si>
    <t>Sub-total Centro de Responsabilidad 0201</t>
  </si>
  <si>
    <t>Enc. Biblioteca</t>
  </si>
  <si>
    <t>BIBLIOTECA</t>
  </si>
  <si>
    <t>0299</t>
  </si>
  <si>
    <t>Jefe Centro de Desarrollo Infantil</t>
  </si>
  <si>
    <t>CDI</t>
  </si>
  <si>
    <t>Sub-total Centro de Responsabilidad 0299</t>
  </si>
  <si>
    <t>Jefe del CMAC</t>
  </si>
  <si>
    <t>CMAC</t>
  </si>
  <si>
    <t xml:space="preserve">Agentes </t>
  </si>
  <si>
    <t>Barrendero</t>
  </si>
  <si>
    <t>Motorista</t>
  </si>
  <si>
    <t>Operadores</t>
  </si>
  <si>
    <t>Fontaneros y Valvuleros</t>
  </si>
  <si>
    <t>TOTAL LINEAS</t>
  </si>
  <si>
    <t>TOTAL UNIDAD PRESUPUESTARIA 01:</t>
  </si>
  <si>
    <t>FISDL</t>
  </si>
  <si>
    <t>ARRENDAMIENTOS DE BIENES</t>
  </si>
  <si>
    <t>Encargada de Proyectos</t>
  </si>
  <si>
    <t>Clinica Municipal</t>
  </si>
  <si>
    <t>FSDL</t>
  </si>
  <si>
    <t>PFGL/FISDL</t>
  </si>
  <si>
    <t>Secretaria Municipal</t>
  </si>
  <si>
    <t>Encargado de Comunicaciones</t>
  </si>
  <si>
    <t>De Empresas Públicas Financieras</t>
  </si>
  <si>
    <t>ALCALDIA MUNICIPAL DE VILLA EL CARMEN DEPARTAMENTO DE CUSCATLAN</t>
  </si>
  <si>
    <t>ALCALDIA MUNCIPAL DE VILLA EL CARMEN, DEPARTAMENTO DE CUSCATLAN.</t>
  </si>
  <si>
    <t xml:space="preserve">ALCALDIA MUNICIPAL DE VILLA EL CARMEN, DEPTO. DE CUSCATLAN
DEPARTAMENTO DE CUSCATLAN
PLANILLA DE DIETAS </t>
  </si>
  <si>
    <t>PLANILLA DE DIETAS</t>
  </si>
  <si>
    <t>INSTITUCION: ALCALDIA MUNICIPAL DE VILLA EL CARMEN, DEPARTAMENTO DE CUSCATLAN</t>
  </si>
  <si>
    <r>
      <t xml:space="preserve">INSTITUCION: </t>
    </r>
    <r>
      <rPr>
        <b/>
        <sz val="10"/>
        <rFont val="Bookman Old Style"/>
        <family val="1"/>
      </rPr>
      <t>ALCALDIA MUNICIPAL DE VILLA EL CARMEN, DEPARTAMENTO DE CUSCATLAN</t>
    </r>
  </si>
  <si>
    <r>
      <t xml:space="preserve">INSTITUCION:  </t>
    </r>
    <r>
      <rPr>
        <b/>
        <sz val="10"/>
        <rFont val="Bookman Old Style"/>
        <family val="1"/>
      </rPr>
      <t>ALCALDIA MUNICIPAL DE VILLA EL CARMEN, DEPARTAMENTO DE CUSCATLAN</t>
    </r>
  </si>
  <si>
    <t>INSTITUCION: ALCALDIA MUNICIPAL DE VILLA EL CARMEN, DPTO. DE CUSCATLAN.</t>
  </si>
  <si>
    <t>Sub-total Centro de Responsabilidad 0202</t>
  </si>
  <si>
    <t>0402</t>
  </si>
  <si>
    <t>Fondos PFGL</t>
  </si>
  <si>
    <t>INGRESOS POR PRESTACION DE SERV. PUBLICOS</t>
  </si>
  <si>
    <t>Infraestructura para el Desarrollo Económico</t>
  </si>
  <si>
    <t>Dirección y Administración Superior</t>
  </si>
  <si>
    <t>Administración Financiera y tributaria</t>
  </si>
  <si>
    <t>Todos aquellos programas tangibles ejecutados por la Alcaldía  utilizando diferentes fuentes de financiamiento orientados a fortalecer  el apoyo a la producción de bienes y servicios y el desarrollo de la infraestructura para mejorar el desempeño y distribución de la producción de la municipalidad, en pro del crecimiento  local y nacional.</t>
  </si>
  <si>
    <t>En Dólares de los Estados Unidos de América</t>
  </si>
  <si>
    <t xml:space="preserve">AREA DE GESTIÓN </t>
  </si>
  <si>
    <t>CONDUCCION ADMINISTRATIVA   (AG 1)</t>
  </si>
  <si>
    <t>CONDUCIÓN ADMINISTRATIVA   (AG 1)</t>
  </si>
  <si>
    <t>Todas aquellas erogaciones destinadas a amortizar  el endeudamiento financiero municipal así como los gastos inherentes a la misma en concepto de intereses, comisiones, etc, por el uso del ahorro nacional e internacional.</t>
  </si>
  <si>
    <t>0503</t>
  </si>
  <si>
    <t>Amortización de la Deuda Pública</t>
  </si>
  <si>
    <t>Comisiones y Gtos. Bancarios</t>
  </si>
  <si>
    <t>De Educación y Recreación</t>
  </si>
  <si>
    <t>10400</t>
  </si>
  <si>
    <t>00000</t>
  </si>
  <si>
    <t>13100</t>
  </si>
  <si>
    <t>10300</t>
  </si>
  <si>
    <t>De vivienda y Oficina</t>
  </si>
  <si>
    <t>01600</t>
  </si>
  <si>
    <t>De Salud y Saneamiento Ambiental</t>
  </si>
  <si>
    <t>Equipos Informáticos</t>
  </si>
  <si>
    <t>03400</t>
  </si>
  <si>
    <t>Obras de Infraestructura Diversa</t>
  </si>
  <si>
    <t>.</t>
  </si>
  <si>
    <t>FF1:</t>
  </si>
  <si>
    <t>DONACIONES</t>
  </si>
  <si>
    <t>FF4: PRESTAMO INTERNO</t>
  </si>
  <si>
    <t>0201                                    Servicios Internos</t>
  </si>
  <si>
    <t>0202                                    Servicios Externos</t>
  </si>
  <si>
    <t>En dólares de Estados Unidos de America</t>
  </si>
  <si>
    <t>FONDOS PFGL</t>
  </si>
  <si>
    <t>COMISIONES Y GASTOS BANCARIOS</t>
  </si>
  <si>
    <t>ADMINISTRACION FINANCIERA Y TRIBUTARIA</t>
  </si>
  <si>
    <t>SERVICIOS INTERNOS</t>
  </si>
  <si>
    <t>SERVICIOS EXTERNOS</t>
  </si>
  <si>
    <t>FONDO GENERAL (FODES/FISDL)</t>
  </si>
  <si>
    <t>INSTITUCIÓN: ALCALDIA MUNICIPAL DE VILLA EL CARMEN DEPARTAMENTO DE CUSCATLAN</t>
  </si>
  <si>
    <t>0102                                      Admón. Financiera Municipal</t>
  </si>
  <si>
    <t>0101                                                                        Dirección y Admón. Municipal</t>
  </si>
  <si>
    <t>De Empresas Públicas Financiera</t>
  </si>
  <si>
    <t>Institución: Alcaldia Municipal de Villa El Carmen, Departamento de Cuscatlan</t>
  </si>
  <si>
    <t>Institucion: ALCALDIA MUNICIPAL DE VILLA EL CARMEN DEPARTAMENTO DE CUSCATLAN</t>
  </si>
  <si>
    <t>Alcaldia Municipal de Villa EL Carmen, Departamento de Cuscatlan</t>
  </si>
  <si>
    <t>12100</t>
  </si>
  <si>
    <t>TOTAL INVERSIÓN</t>
  </si>
  <si>
    <t>Jeje de Operador</t>
  </si>
  <si>
    <t>MENSUAL</t>
  </si>
  <si>
    <t>ANUAL</t>
  </si>
  <si>
    <t>IMPUESTOS, TASAS Y DERECHOS</t>
  </si>
  <si>
    <t>2008..xls]Consolidado'!Z144</t>
  </si>
  <si>
    <t>TRANSF. CTES. AL SECTOR PUBLICO (COMURES, CDA, INSAFORP)</t>
  </si>
  <si>
    <t>04800</t>
  </si>
  <si>
    <t>04900</t>
  </si>
  <si>
    <t>Reparaciónes y Mejoras al Edificio y Parque Municipal</t>
  </si>
  <si>
    <t>03300</t>
  </si>
  <si>
    <t>Obras de Mitigación de Riesgos</t>
  </si>
  <si>
    <t>Chapeo, Limpieza y Reparación de Caminos vecinales en Cantones de este Municipio.</t>
  </si>
  <si>
    <t>TRANSF. CTES. AL SECTOR PUBLICO (INSAFORP)</t>
  </si>
  <si>
    <t>Inversiones en activos Fijos</t>
  </si>
  <si>
    <t>Estudios de Pre-Inversión</t>
  </si>
  <si>
    <t>Proyectos de Construcciones</t>
  </si>
  <si>
    <t>Proyectos de Ampliaciones</t>
  </si>
  <si>
    <t>Programas de Inversión Social</t>
  </si>
  <si>
    <t>Proyectos y Programas de Inversión Diversos</t>
  </si>
  <si>
    <t>Viales</t>
  </si>
  <si>
    <t>Obras de Infraestructura Diversas</t>
  </si>
  <si>
    <t>Bienes Muebles</t>
  </si>
  <si>
    <t>CONSULTORÍAS, ESTUDIOS E INVESTIGACIONES DIVERSAS</t>
  </si>
  <si>
    <t>Todos aquellos proyectos tangibles e intangibles ejecutados por la Alcaldia, utilizando diferentes fuentes de financiamiento orientados a fortalecer el capital humano a fin de mejorar la calidad de vida de los habitantes del municipio con el propósito de que se incorporen activamente a la economía  de la comuna y de el país para lograr su bienestar.</t>
  </si>
  <si>
    <t>Supervisión de Infraestructuras</t>
  </si>
  <si>
    <t>TRANSF. CTES. AL SECTOR PUBLICO</t>
  </si>
  <si>
    <t>Total Anual +
Beneficio Adicional.</t>
  </si>
  <si>
    <t>CONSOLIDADO DEL ENDEUDAMIENTO PÚBLICO</t>
  </si>
  <si>
    <t>Proyectos de desarrollo social</t>
  </si>
  <si>
    <t>Proyectos de Desarrollo  Económico</t>
  </si>
  <si>
    <t>Proyectos de desarrollo económico</t>
  </si>
  <si>
    <t>Administrador del Proyecto</t>
  </si>
  <si>
    <t>Encargado</t>
  </si>
  <si>
    <t>Promotores ambientales</t>
  </si>
  <si>
    <t>Instructor</t>
  </si>
  <si>
    <t>UNIDAD AMB. G.R.</t>
  </si>
  <si>
    <t>Escuela de Fútbol</t>
  </si>
  <si>
    <t>LINEA DE TRABAJO: 05 AMORTIZACIÓN DEL ENDEUDAMIENTO PÚBLICO</t>
  </si>
  <si>
    <t>De Instituciones Descentralizadas no Empresariales</t>
  </si>
  <si>
    <t>DE INSTITUCIONES DESCENTRALIZADAS NO EMPRESARIALES</t>
  </si>
  <si>
    <t>0101 Direccion y Administración Municipal</t>
  </si>
  <si>
    <t>0102 Administración Financiera Municipal</t>
  </si>
  <si>
    <t>Institución: Alcaldìa Municipal de Villa El Carmen, Departamento de Cuscatlan</t>
  </si>
  <si>
    <t>DE COMERCIO</t>
  </si>
  <si>
    <t>INDUSTRIA</t>
  </si>
  <si>
    <t>DE SERVICIOS</t>
  </si>
  <si>
    <t>MAQUINAS TRAGANIQUEL</t>
  </si>
  <si>
    <t xml:space="preserve">TRANSPORTE </t>
  </si>
  <si>
    <t>VIALIDAD</t>
  </si>
  <si>
    <t>IMPUESTOS MUNICIPALES DIVERSOS</t>
  </si>
  <si>
    <t>POR SERVICIOS DE CERTIFICACIÓN O VISADO</t>
  </si>
  <si>
    <t>POR EXPEDICIÓN DE DOCUMENTOS DE IDENTIFICACIÓN</t>
  </si>
  <si>
    <t>ALUMBRADO PÚBLICO</t>
  </si>
  <si>
    <t>ASEO PÚBLICO</t>
  </si>
  <si>
    <t>CASETAS TELEFÓNICAS</t>
  </si>
  <si>
    <t>CEMENTERIOS MUNICIPALES</t>
  </si>
  <si>
    <t>FIESTAS</t>
  </si>
  <si>
    <t>MERCADOS</t>
  </si>
  <si>
    <t>PAVIMENTACIÓN</t>
  </si>
  <si>
    <t>POSTES TORRES Y ANTENAS</t>
  </si>
  <si>
    <t>RASTRO Y TIANGUE</t>
  </si>
  <si>
    <t>TASAS DIVERSAS</t>
  </si>
  <si>
    <t>PERMISOS Y LICENCIAS MUNICIPALES</t>
  </si>
  <si>
    <t>COTEJO DE FIERROS</t>
  </si>
  <si>
    <t>SERVICIOS BÁSICOS</t>
  </si>
  <si>
    <t>SERVICIOS DIVERSOS</t>
  </si>
  <si>
    <t>RENTABILIDAD DE DEPÓSITOS A PLAZO</t>
  </si>
  <si>
    <t>MULTAS POR MORA DE IMPUESTOS</t>
  </si>
  <si>
    <t>INTERESES POR MORA DE IMPUESTOS</t>
  </si>
  <si>
    <t>MULTA POR DECLARACIÓN EXTEMPORÁNEA</t>
  </si>
  <si>
    <t>MULTAS POR  REGISTRO CIVIL</t>
  </si>
  <si>
    <t xml:space="preserve">OTRAS MULTAS MUNICIPALES </t>
  </si>
  <si>
    <t>ARRENDAMIENTOS DE BIENES INMUEBLES</t>
  </si>
  <si>
    <t>RENTABILIDAD DE CUENTAS BANCARIAS</t>
  </si>
  <si>
    <t xml:space="preserve">TRANSFERENCIAS CORRIENTES DEL SECTOR PÚBLICO  </t>
  </si>
  <si>
    <t>TRANSFERENCIA CORRIENTE DEL SECTOR PRIVADO</t>
  </si>
  <si>
    <t>DE PERSONAS NATURALES</t>
  </si>
  <si>
    <t>VENTA DE ACTIVO FIJO</t>
  </si>
  <si>
    <t>VENTA DE BIENES INMUEBLES</t>
  </si>
  <si>
    <t>VENTA DE TERRENOS</t>
  </si>
  <si>
    <t xml:space="preserve">TRANSFERENCIAS DE CAPITAL DEL SECTOR PÚBLICO </t>
  </si>
  <si>
    <t>TOTAL RUBRO</t>
  </si>
  <si>
    <t>COD. PRESUP.</t>
  </si>
  <si>
    <t>FONDO GENERAL</t>
  </si>
  <si>
    <t>FUNCIONAMIENTO</t>
  </si>
  <si>
    <t>INVERSION</t>
  </si>
  <si>
    <t>SUB- TOTAL</t>
  </si>
  <si>
    <t>Código Presup</t>
  </si>
  <si>
    <t>Código del Proyecto</t>
  </si>
  <si>
    <t>Presupuesto Municipal, Por Areas de Gestión</t>
  </si>
  <si>
    <t>COMPOSICION</t>
  </si>
  <si>
    <t>LINEA DE TRAB.</t>
  </si>
  <si>
    <t>UNID. PRES.</t>
  </si>
  <si>
    <t>Despacho</t>
  </si>
  <si>
    <t>Sindicatura</t>
  </si>
  <si>
    <t>Auditoria</t>
  </si>
  <si>
    <t>Secretaria</t>
  </si>
  <si>
    <t>Comunicaciones</t>
  </si>
  <si>
    <t>Tesoreria</t>
  </si>
  <si>
    <t>Contabilidad</t>
  </si>
  <si>
    <t>Proyectos</t>
  </si>
  <si>
    <t>Agua Potable</t>
  </si>
  <si>
    <t>3a. Regidor Propietaria</t>
  </si>
  <si>
    <t>APORTES POR CONTRIBUCIONES PATRONALES</t>
  </si>
  <si>
    <t>SEG.SOC.PRIV.</t>
  </si>
  <si>
    <t>SEG.SOC.PUB.</t>
  </si>
  <si>
    <t>TOTAL APOR. CONT. PATRON.</t>
  </si>
  <si>
    <t>Alcaldia Municipal de Villa El Carmen, Departamento de Cuscatlan</t>
  </si>
  <si>
    <t>Cod.</t>
  </si>
  <si>
    <t>Fondos Propios - FF2</t>
  </si>
  <si>
    <t>Concepto de Egresos</t>
  </si>
  <si>
    <t>Fuentes de Financiamientos</t>
  </si>
  <si>
    <t>Total Inversión</t>
  </si>
  <si>
    <t>Totales</t>
  </si>
  <si>
    <t>Tesoreria, Contabilidad, Cuentas Corrientes, Catastro, UACI, Colecturia, Proyectos.</t>
  </si>
  <si>
    <t>SALDO INICIAL EN BANCO</t>
  </si>
  <si>
    <t xml:space="preserve">PRESTACIONES </t>
  </si>
  <si>
    <t>Concejo, Alcaldesa, Secretaria Municipal, Secretaria del Despacho, Sindicatura, Auditoria Interna, Comunicaciones. Unidad de Acceso a la Informacion Publica,  Proyeccion Social.</t>
  </si>
  <si>
    <t>UM</t>
  </si>
  <si>
    <t>Enc. Unidad de Niñez, Adolescencia, Juventud y Casa de la Cultura</t>
  </si>
  <si>
    <t>U. de Niñez, Adoles., Juv. y Casa de la Cultura</t>
  </si>
  <si>
    <t>Plaza</t>
  </si>
  <si>
    <t>Unidad</t>
  </si>
  <si>
    <t>DES. SOCIAL</t>
  </si>
  <si>
    <t>DES. ECON.</t>
  </si>
  <si>
    <t>CÓDIGO</t>
  </si>
  <si>
    <t>EN DÓLARES DE LOS ESTADOS UNIDOS DE AMERICA</t>
  </si>
  <si>
    <t>Mobiliario</t>
  </si>
  <si>
    <t>Vehículos de transporte</t>
  </si>
  <si>
    <t>Instalación de 2000 medidores de agua potable.</t>
  </si>
  <si>
    <t>Proy. de uso privativos</t>
  </si>
  <si>
    <t>Proyectos de Desarrollo  Social</t>
  </si>
  <si>
    <t>TRANSF. CTES. AL SECTOR PUB. (COMURES, CDA, INSAFORP)</t>
  </si>
  <si>
    <t>Otros Proyectos y programas.</t>
  </si>
  <si>
    <t>Proyeccion Social</t>
  </si>
  <si>
    <t>Unidad Ambiental</t>
  </si>
  <si>
    <t>Enc. De Catastro</t>
  </si>
  <si>
    <t>EJERCICIO FISCAL: 2 0 1 6</t>
  </si>
  <si>
    <t>Registro del Estado Familiar, Ordenanzas, Clínica Municipal, Casa de la cultura, Unidad de la Mujer, Unidad de la  Niñez,  Adolescencia. Y Juventud, Unidad Contravencional.</t>
  </si>
  <si>
    <t>ALCALDIA MUNICIPAL DE VILLA EL CARMEN
DEPARTAMENTO DE CUSCATLAN
PROGRAMACIÓN DE INGRESOS REALES 2016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</si>
  <si>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</si>
  <si>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</si>
  <si>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</si>
  <si>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</si>
  <si>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</si>
  <si>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</si>
  <si>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</si>
  <si>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</si>
  <si>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</si>
  <si>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</si>
  <si>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</si>
  <si>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</si>
  <si>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 2016</t>
  </si>
  <si>
    <t>4a. Regidor Propietaria</t>
  </si>
  <si>
    <t>5o. Regidor Propietario</t>
  </si>
  <si>
    <t>6o. Regidor Propietaria</t>
  </si>
  <si>
    <t>1er. Regidor Suplente</t>
  </si>
  <si>
    <t>3ra. Regidor Suplente</t>
  </si>
  <si>
    <t>INSAFORD</t>
  </si>
  <si>
    <t>Médico Gral. De Clinica Municipal</t>
  </si>
  <si>
    <t>Enc. De la Unidad de la Mujer</t>
  </si>
  <si>
    <t>Promotora Social</t>
  </si>
  <si>
    <t>Enc. de UACI</t>
  </si>
  <si>
    <t>Proyección de Recursos Humanos para el Año 2016</t>
  </si>
  <si>
    <t>ALCALDIA MUNICIPAL DE VILLA EL CARMEN
DEPARTAMENTO DE CUSCATLAN
PLANILLA POR CONTRATO FONDOS PROPIOS
AÑO: 2016</t>
  </si>
  <si>
    <t>Beneficios Adicionales</t>
  </si>
  <si>
    <t>ALCALDIA MUNICIPAL DE VILLA EL CARMEN, DEPARTAMENTO DE CUSCATLAN,  PRESUPUESTO APROBADO PARA EL AÑO 2016</t>
  </si>
  <si>
    <t>EJERCICIO FINANCIERO FISCAL: DEL 01 DE ENERO AL 31 DE DICIEMBRE DE 2016</t>
  </si>
  <si>
    <t>Asesor Jurídico</t>
  </si>
  <si>
    <t>Total rubro 51</t>
  </si>
  <si>
    <t>50% Asignación 25%</t>
  </si>
  <si>
    <t xml:space="preserve">Ingresos Proyectados </t>
  </si>
  <si>
    <t>Disponible Fondos Propios</t>
  </si>
  <si>
    <t>2a. Regidor Propietaria</t>
  </si>
  <si>
    <t>Año 2016</t>
  </si>
  <si>
    <t>EJERCICIO FINANCIERO FISCAL: 2016</t>
  </si>
  <si>
    <r>
      <t xml:space="preserve">EJERCICIO FINANCIERO FISCAL:  </t>
    </r>
    <r>
      <rPr>
        <b/>
        <sz val="10"/>
        <rFont val="Bookman Old Style"/>
        <family val="1"/>
      </rPr>
      <t xml:space="preserve"> DEL 01 ENERO AL 31 DE DICIEMBRE DE 2016</t>
    </r>
  </si>
  <si>
    <r>
      <t xml:space="preserve">EJERCICIO FINANCIERO FISCAL:  </t>
    </r>
    <r>
      <rPr>
        <b/>
        <sz val="10"/>
        <rFont val="Bookman Old Style"/>
        <family val="1"/>
      </rPr>
      <t>DEL 01 DE ENERO AL 31 DE DICIEMBRE DE 2016</t>
    </r>
  </si>
  <si>
    <t>Ejercicio Financiero Fiscal: 2016</t>
  </si>
  <si>
    <t>EJERCICIO FISCAL 2016</t>
  </si>
  <si>
    <t>BENEFICIO ADICIONAL</t>
  </si>
  <si>
    <t>REMUNERACIONES 2016</t>
  </si>
  <si>
    <t>Bonificación</t>
  </si>
  <si>
    <t>Salarios</t>
  </si>
  <si>
    <t>CBI</t>
  </si>
  <si>
    <t>Remuneración</t>
  </si>
  <si>
    <t>sub-TOTAL</t>
  </si>
  <si>
    <t>Unidad Ambiental y  Gestión de Riesgo</t>
  </si>
  <si>
    <t>Gastos de Representación</t>
  </si>
  <si>
    <t>Por Plaza</t>
  </si>
  <si>
    <t>Sub- Total Linea 01:</t>
  </si>
  <si>
    <t>Sub- Total Linea 02:</t>
  </si>
  <si>
    <t>Transf. Ctes.</t>
  </si>
  <si>
    <t>Horas Extras</t>
  </si>
  <si>
    <t>Ingresos</t>
  </si>
  <si>
    <t>Diferencia</t>
  </si>
  <si>
    <t>Sub Total Salarios</t>
  </si>
  <si>
    <t>Bonificaciones</t>
  </si>
  <si>
    <t>Beneficios adicionales</t>
  </si>
  <si>
    <t>50% FODES</t>
  </si>
  <si>
    <t>0502</t>
  </si>
  <si>
    <t>Amort.  Endeud. Púb.</t>
  </si>
  <si>
    <t>Amort.  Intereses</t>
  </si>
  <si>
    <t>CUENTAS POR PAGAR DE AÑOS ANT. GTOS. CTES.</t>
  </si>
  <si>
    <t>CMAC, Servicios Generales, Agua Potable, Medio Ambiental y Gestion de Riesgo, Oficina Municipal de Apoyo a la Discapacidad.</t>
  </si>
  <si>
    <t>Apoyo al deporte.</t>
  </si>
  <si>
    <t>Unidad de la Mujer</t>
  </si>
  <si>
    <t>Fiestas Patronales y Sectoriales 2016.</t>
  </si>
  <si>
    <t>Consultorio Médico Municipal  Dr. David Humberto Hernández Sánchez.</t>
  </si>
  <si>
    <t>Proyectos ambientales varios y Saneamiento ambiental.</t>
  </si>
  <si>
    <t>Programa de la Niñez, Adolescencia y Juventud.</t>
  </si>
  <si>
    <t>Campaña contra el Dengue.</t>
  </si>
  <si>
    <t>Concreteado de Calle El Cocal, Cantón La Paz.</t>
  </si>
  <si>
    <t>Contraparte Concreteado de Calle El Cocal, Cantón La Paz.</t>
  </si>
  <si>
    <t>Concreteado de Calle a la Bomba Cantón San Antonio.</t>
  </si>
  <si>
    <t>Contraparte de Concreteado de Calle al Cementerio, Unidad de Salud y Comunidad El Barillo Cantón La Paz.</t>
  </si>
  <si>
    <t>Contraparte de Concreteado de Calle hacia el Centro Escolar Comunidad Vista Hermosa, Cantón Concepción.</t>
  </si>
  <si>
    <t>Instalación del Servicio de Energía Eléctrica para familias en diferentes sectores del Municipio.</t>
  </si>
  <si>
    <t>Reparación de 300 mts. de Calle del Pasaje Washington y mitigar riesgo al final de dicha calle.</t>
  </si>
  <si>
    <t>Mejoramiento de 40 ml en Calle a los González Cantón el Carmen.</t>
  </si>
  <si>
    <t>Oficina Municipal de Apoyo a la Discapacidad (OMADIS).</t>
  </si>
  <si>
    <t>Becas</t>
  </si>
  <si>
    <t>A personas Naturales</t>
  </si>
  <si>
    <t>Remuneraciones Diversas</t>
  </si>
  <si>
    <t>Productos de Papel y Cartón</t>
  </si>
  <si>
    <t>Productos Alimenticios para Personas</t>
  </si>
  <si>
    <t>Libros, Textos, Útiles de Enseñanza y Publicaciones</t>
  </si>
  <si>
    <t>Salarios por Jornal</t>
  </si>
  <si>
    <t>Productos Farmacéuticos y Medicinales</t>
  </si>
  <si>
    <t>Combustibles y Lubricantes</t>
  </si>
  <si>
    <t>02400</t>
  </si>
  <si>
    <t>Adquisición de equipo Informático y de Oficina</t>
  </si>
  <si>
    <t>Bienes Muebles Diversos</t>
  </si>
  <si>
    <t>05700</t>
  </si>
  <si>
    <t>Eléctricas y Comunicaciones</t>
  </si>
  <si>
    <t>AMORTIZACIÓN DE INTERESES</t>
  </si>
  <si>
    <t>Casa de La Cultura.</t>
  </si>
  <si>
    <t>Construcción de Polideportivo II etapa.</t>
  </si>
  <si>
    <t>Contraparte Centro Escolar Cantón Candelaria (Con Plan).</t>
  </si>
  <si>
    <t>Contraparte a Proyectos de Construcción de Viviendas Permanentes con diferentes Instituciones.</t>
  </si>
  <si>
    <t>51102</t>
  </si>
  <si>
    <t>Mantenimiento y Reparación del Sistema Multiple de Agua Potable, San Antonio y Cantón El Carmen.</t>
  </si>
  <si>
    <t>Apoyo a la Educación: Becas, Paquetes Escolares, Pago de maestros, Promotor de Educación.</t>
  </si>
  <si>
    <t>Cercado de 800 metros del perímetro del Cementerio Municipal.</t>
  </si>
  <si>
    <t>Reparación de Concreto en Calle de Comunidad Vista Hermosa, Cantón Concepción.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</si>
</sst>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_([$$-409]* #,##0.00_);_([$$-409]* \(#,##0.00\);_([$$-409]* &quot;-&quot;??_);_(@_)"/>
    <numFmt numFmtId="168" formatCode="_-[$$-409]* #,##0.00_ ;_-[$$-409]* \-#,##0.00\ ;_-[$$-409]* &quot;-&quot;??_ ;_-@_ "/>
    <numFmt numFmtId="169" formatCode="_-* #,##0.00\ _P_t_s_-;\-* #,##0.00\ _P_t_s_-;_-* &quot;-&quot;??\ _P_t_s_-;_-@_-"/>
    <numFmt numFmtId="170" formatCode="#,##0.00_ ;[Red]\-#,##0.00\ "/>
    <numFmt numFmtId="171" formatCode="#,##0.0000"/>
    <numFmt numFmtId="172" formatCode="#,##0.00;[Red]#,##0.00"/>
    <numFmt numFmtId="173" formatCode="_-[$$-440A]* #,##0.00_ ;_-[$$-440A]* \-#,##0.00\ ;_-[$$-440A]* &quot;-&quot;??_ ;_-@_ "/>
    <numFmt numFmtId="174" formatCode="_([$$-440A]* #,##0.00_);_([$$-440A]* \(#,##0.00\);_([$$-440A]* &quot;-&quot;??_);_(@_)"/>
    <numFmt numFmtId="175" formatCode="0.0000"/>
    <numFmt numFmtId="176" formatCode="#,##0.000000000000"/>
  </numFmts>
  <fonts count="76" x14ac:knownFonts="1">
    <font>
      <sz val="10"/>
      <name val="Arial"/>
    </font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indexed="18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2"/>
      <name val="Bookman Old Style"/>
      <family val="1"/>
    </font>
    <font>
      <b/>
      <sz val="10"/>
      <name val="Bookman Old Style"/>
      <family val="1"/>
    </font>
    <font>
      <sz val="9"/>
      <name val="Arial"/>
      <family val="2"/>
    </font>
    <font>
      <sz val="10"/>
      <name val="Bookman Old Style"/>
      <family val="1"/>
    </font>
    <font>
      <b/>
      <sz val="8"/>
      <name val="Bookman Old Style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12"/>
      <name val="Century Gothic"/>
      <family val="2"/>
    </font>
    <font>
      <b/>
      <sz val="11"/>
      <name val="Century Gothic"/>
      <family val="2"/>
    </font>
    <font>
      <sz val="10"/>
      <name val="Century Gothic"/>
      <family val="2"/>
    </font>
    <font>
      <i/>
      <sz val="8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2"/>
      <name val="Calisto MT"/>
      <family val="1"/>
    </font>
    <font>
      <b/>
      <sz val="9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2"/>
      <name val="Arial Narrow"/>
      <family val="2"/>
    </font>
    <font>
      <b/>
      <sz val="9"/>
      <name val="Bookman Old Style"/>
      <family val="1"/>
    </font>
    <font>
      <b/>
      <sz val="10"/>
      <name val="Calisto MT"/>
      <family val="1"/>
    </font>
    <font>
      <sz val="10"/>
      <name val="Calisto MT"/>
      <family val="1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sz val="8"/>
      <color theme="0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0"/>
      <color rgb="FFFF000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4" borderId="0" applyNumberFormat="0" applyBorder="0" applyAlignment="0" applyProtection="0"/>
    <xf numFmtId="0" fontId="25" fillId="16" borderId="1" applyNumberFormat="0" applyAlignment="0" applyProtection="0"/>
    <xf numFmtId="0" fontId="26" fillId="17" borderId="2" applyNumberFormat="0" applyAlignment="0" applyProtection="0"/>
    <xf numFmtId="0" fontId="27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9" fillId="7" borderId="1" applyNumberFormat="0" applyAlignment="0" applyProtection="0"/>
    <xf numFmtId="166" fontId="2" fillId="0" borderId="0" applyFont="0" applyFill="0" applyBorder="0" applyAlignment="0" applyProtection="0"/>
    <xf numFmtId="0" fontId="30" fillId="3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1" fillId="22" borderId="0" applyNumberFormat="0" applyBorder="0" applyAlignment="0" applyProtection="0"/>
    <xf numFmtId="0" fontId="4" fillId="23" borderId="4" applyNumberFormat="0" applyFont="0" applyAlignment="0" applyProtection="0"/>
    <xf numFmtId="0" fontId="32" fillId="16" borderId="5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28" fillId="0" borderId="8" applyNumberFormat="0" applyFill="0" applyAlignment="0" applyProtection="0"/>
    <xf numFmtId="0" fontId="38" fillId="0" borderId="9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23" borderId="4" applyNumberFormat="0" applyFont="0" applyAlignment="0" applyProtection="0"/>
  </cellStyleXfs>
  <cellXfs count="1402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167" fontId="0" fillId="0" borderId="0" xfId="0" applyNumberFormat="1"/>
    <xf numFmtId="4" fontId="2" fillId="0" borderId="0" xfId="31" applyNumberFormat="1" applyFont="1" applyFill="1" applyBorder="1" applyAlignment="1">
      <alignment horizontal="left" vertical="center"/>
    </xf>
    <xf numFmtId="167" fontId="0" fillId="0" borderId="0" xfId="0" applyNumberFormat="1" applyFill="1"/>
    <xf numFmtId="165" fontId="0" fillId="0" borderId="0" xfId="0" applyNumberFormat="1" applyFill="1"/>
    <xf numFmtId="49" fontId="8" fillId="0" borderId="12" xfId="31" applyNumberFormat="1" applyFont="1" applyFill="1" applyBorder="1" applyAlignment="1">
      <alignment horizontal="left"/>
    </xf>
    <xf numFmtId="167" fontId="2" fillId="0" borderId="10" xfId="34" applyNumberFormat="1" applyFill="1" applyBorder="1" applyAlignment="1"/>
    <xf numFmtId="167" fontId="3" fillId="0" borderId="10" xfId="34" applyNumberFormat="1" applyFont="1" applyFill="1" applyBorder="1" applyAlignment="1"/>
    <xf numFmtId="167" fontId="0" fillId="0" borderId="10" xfId="0" applyNumberFormat="1" applyFill="1" applyBorder="1" applyAlignment="1"/>
    <xf numFmtId="167" fontId="3" fillId="0" borderId="18" xfId="0" applyNumberFormat="1" applyFont="1" applyFill="1" applyBorder="1" applyAlignment="1">
      <alignment vertical="center"/>
    </xf>
    <xf numFmtId="167" fontId="3" fillId="0" borderId="10" xfId="0" quotePrefix="1" applyNumberFormat="1" applyFont="1" applyFill="1" applyBorder="1" applyAlignment="1">
      <alignment wrapText="1"/>
    </xf>
    <xf numFmtId="167" fontId="2" fillId="0" borderId="10" xfId="34" quotePrefix="1" applyNumberFormat="1" applyFill="1" applyBorder="1" applyAlignment="1">
      <alignment wrapText="1"/>
    </xf>
    <xf numFmtId="167" fontId="3" fillId="0" borderId="10" xfId="34" quotePrefix="1" applyNumberFormat="1" applyFont="1" applyFill="1" applyBorder="1" applyAlignment="1">
      <alignment wrapText="1"/>
    </xf>
    <xf numFmtId="168" fontId="0" fillId="0" borderId="0" xfId="0" applyNumberFormat="1" applyFill="1"/>
    <xf numFmtId="167" fontId="3" fillId="0" borderId="0" xfId="0" applyNumberFormat="1" applyFont="1" applyFill="1"/>
    <xf numFmtId="167" fontId="3" fillId="0" borderId="10" xfId="0" applyNumberFormat="1" applyFont="1" applyFill="1" applyBorder="1" applyAlignment="1"/>
    <xf numFmtId="168" fontId="3" fillId="0" borderId="0" xfId="0" applyNumberFormat="1" applyFont="1" applyFill="1"/>
    <xf numFmtId="0" fontId="0" fillId="0" borderId="0" xfId="0" applyFill="1" applyBorder="1"/>
    <xf numFmtId="0" fontId="0" fillId="0" borderId="0" xfId="0" applyAlignment="1">
      <alignment horizontal="left"/>
    </xf>
    <xf numFmtId="4" fontId="3" fillId="0" borderId="0" xfId="31" applyNumberFormat="1" applyFont="1" applyBorder="1"/>
    <xf numFmtId="167" fontId="3" fillId="0" borderId="23" xfId="31" applyNumberFormat="1" applyFont="1" applyBorder="1" applyAlignment="1">
      <alignment horizontal="right"/>
    </xf>
    <xf numFmtId="4" fontId="4" fillId="0" borderId="22" xfId="31" applyNumberFormat="1" applyFont="1" applyBorder="1"/>
    <xf numFmtId="0" fontId="0" fillId="0" borderId="24" xfId="0" applyBorder="1" applyAlignment="1">
      <alignment horizontal="left"/>
    </xf>
    <xf numFmtId="0" fontId="3" fillId="0" borderId="24" xfId="0" applyFont="1" applyBorder="1" applyAlignment="1">
      <alignment horizontal="left"/>
    </xf>
    <xf numFmtId="4" fontId="3" fillId="0" borderId="22" xfId="31" applyNumberFormat="1" applyFont="1" applyBorder="1"/>
    <xf numFmtId="0" fontId="3" fillId="0" borderId="22" xfId="0" applyFont="1" applyBorder="1"/>
    <xf numFmtId="0" fontId="3" fillId="0" borderId="0" xfId="0" applyFont="1" applyBorder="1" applyAlignment="1">
      <alignment horizontal="left"/>
    </xf>
    <xf numFmtId="167" fontId="3" fillId="0" borderId="0" xfId="31" applyNumberFormat="1" applyFont="1" applyBorder="1" applyAlignment="1">
      <alignment horizontal="right"/>
    </xf>
    <xf numFmtId="0" fontId="4" fillId="0" borderId="0" xfId="0" applyFont="1"/>
    <xf numFmtId="0" fontId="0" fillId="0" borderId="25" xfId="0" applyBorder="1" applyAlignment="1">
      <alignment horizontal="left"/>
    </xf>
    <xf numFmtId="4" fontId="4" fillId="0" borderId="26" xfId="31" applyNumberFormat="1" applyFont="1" applyBorder="1"/>
    <xf numFmtId="4" fontId="4" fillId="0" borderId="27" xfId="31" applyNumberFormat="1" applyFont="1" applyBorder="1"/>
    <xf numFmtId="4" fontId="2" fillId="0" borderId="26" xfId="31" applyNumberFormat="1" applyFont="1" applyBorder="1"/>
    <xf numFmtId="4" fontId="4" fillId="0" borderId="21" xfId="31" applyNumberFormat="1" applyFont="1" applyBorder="1"/>
    <xf numFmtId="0" fontId="0" fillId="0" borderId="22" xfId="0" applyBorder="1"/>
    <xf numFmtId="4" fontId="8" fillId="0" borderId="22" xfId="0" applyNumberFormat="1" applyFont="1" applyBorder="1"/>
    <xf numFmtId="4" fontId="7" fillId="0" borderId="22" xfId="0" applyNumberFormat="1" applyFont="1" applyBorder="1"/>
    <xf numFmtId="0" fontId="12" fillId="0" borderId="24" xfId="0" applyFont="1" applyBorder="1" applyAlignment="1">
      <alignment horizontal="left"/>
    </xf>
    <xf numFmtId="0" fontId="9" fillId="0" borderId="22" xfId="0" applyFont="1" applyBorder="1"/>
    <xf numFmtId="0" fontId="0" fillId="0" borderId="28" xfId="0" applyBorder="1" applyAlignment="1">
      <alignment horizontal="left"/>
    </xf>
    <xf numFmtId="0" fontId="0" fillId="0" borderId="29" xfId="0" applyBorder="1"/>
    <xf numFmtId="0" fontId="0" fillId="0" borderId="30" xfId="0" applyBorder="1" applyAlignment="1">
      <alignment horizontal="left"/>
    </xf>
    <xf numFmtId="0" fontId="3" fillId="0" borderId="30" xfId="0" applyFont="1" applyBorder="1" applyAlignment="1">
      <alignment horizontal="center"/>
    </xf>
    <xf numFmtId="4" fontId="0" fillId="0" borderId="0" xfId="0" applyNumberFormat="1"/>
    <xf numFmtId="4" fontId="2" fillId="0" borderId="0" xfId="31" applyNumberFormat="1"/>
    <xf numFmtId="4" fontId="3" fillId="0" borderId="0" xfId="31" applyNumberFormat="1" applyFont="1"/>
    <xf numFmtId="49" fontId="2" fillId="0" borderId="0" xfId="31" applyNumberFormat="1" applyAlignment="1">
      <alignment horizontal="left"/>
    </xf>
    <xf numFmtId="4" fontId="2" fillId="0" borderId="0" xfId="31" applyNumberFormat="1" applyFont="1" applyFill="1"/>
    <xf numFmtId="167" fontId="3" fillId="0" borderId="0" xfId="31" applyNumberFormat="1" applyFont="1" applyFill="1" applyBorder="1"/>
    <xf numFmtId="4" fontId="2" fillId="0" borderId="0" xfId="31" applyNumberFormat="1" applyBorder="1"/>
    <xf numFmtId="167" fontId="14" fillId="0" borderId="0" xfId="0" applyNumberFormat="1" applyFont="1" applyFill="1"/>
    <xf numFmtId="167" fontId="4" fillId="0" borderId="10" xfId="0" applyNumberFormat="1" applyFont="1" applyFill="1" applyBorder="1" applyAlignment="1"/>
    <xf numFmtId="165" fontId="3" fillId="0" borderId="0" xfId="0" applyNumberFormat="1" applyFont="1" applyFill="1" applyBorder="1" applyAlignment="1">
      <alignment horizontal="center" wrapText="1"/>
    </xf>
    <xf numFmtId="165" fontId="4" fillId="0" borderId="0" xfId="36" applyFont="1" applyFill="1" applyBorder="1"/>
    <xf numFmtId="165" fontId="3" fillId="0" borderId="0" xfId="36" applyFont="1" applyFill="1" applyBorder="1"/>
    <xf numFmtId="164" fontId="0" fillId="0" borderId="0" xfId="37" applyFont="1" applyFill="1"/>
    <xf numFmtId="165" fontId="0" fillId="0" borderId="0" xfId="33" applyFont="1"/>
    <xf numFmtId="4" fontId="3" fillId="0" borderId="0" xfId="0" applyNumberFormat="1" applyFont="1" applyFill="1"/>
    <xf numFmtId="165" fontId="0" fillId="0" borderId="0" xfId="0" applyNumberFormat="1"/>
    <xf numFmtId="164" fontId="0" fillId="0" borderId="0" xfId="37" applyFont="1"/>
    <xf numFmtId="43" fontId="0" fillId="0" borderId="0" xfId="0" applyNumberFormat="1"/>
    <xf numFmtId="49" fontId="3" fillId="0" borderId="41" xfId="0" applyNumberFormat="1" applyFont="1" applyFill="1" applyBorder="1" applyAlignment="1">
      <alignment horizontal="center"/>
    </xf>
    <xf numFmtId="0" fontId="3" fillId="0" borderId="42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0" fillId="0" borderId="20" xfId="0" applyFill="1" applyBorder="1"/>
    <xf numFmtId="49" fontId="3" fillId="0" borderId="20" xfId="0" applyNumberFormat="1" applyFont="1" applyFill="1" applyBorder="1" applyAlignment="1">
      <alignment horizontal="center"/>
    </xf>
    <xf numFmtId="0" fontId="3" fillId="0" borderId="43" xfId="0" applyFont="1" applyFill="1" applyBorder="1"/>
    <xf numFmtId="49" fontId="4" fillId="0" borderId="20" xfId="0" applyNumberFormat="1" applyFont="1" applyFill="1" applyBorder="1" applyAlignment="1">
      <alignment horizontal="center"/>
    </xf>
    <xf numFmtId="0" fontId="4" fillId="0" borderId="43" xfId="0" applyFont="1" applyFill="1" applyBorder="1"/>
    <xf numFmtId="49" fontId="4" fillId="0" borderId="44" xfId="0" applyNumberFormat="1" applyFont="1" applyFill="1" applyBorder="1" applyAlignment="1">
      <alignment horizontal="center"/>
    </xf>
    <xf numFmtId="0" fontId="4" fillId="0" borderId="45" xfId="0" applyFont="1" applyFill="1" applyBorder="1"/>
    <xf numFmtId="43" fontId="0" fillId="0" borderId="0" xfId="0" applyNumberFormat="1" applyFill="1"/>
    <xf numFmtId="0" fontId="3" fillId="0" borderId="43" xfId="0" applyFont="1" applyFill="1" applyBorder="1" applyAlignment="1">
      <alignment horizontal="left"/>
    </xf>
    <xf numFmtId="49" fontId="0" fillId="0" borderId="0" xfId="0" applyNumberFormat="1" applyFill="1"/>
    <xf numFmtId="0" fontId="0" fillId="24" borderId="0" xfId="0" applyFill="1"/>
    <xf numFmtId="0" fontId="3" fillId="25" borderId="46" xfId="0" applyFont="1" applyFill="1" applyBorder="1"/>
    <xf numFmtId="49" fontId="0" fillId="25" borderId="10" xfId="0" applyNumberFormat="1" applyFill="1" applyBorder="1"/>
    <xf numFmtId="0" fontId="0" fillId="25" borderId="10" xfId="0" applyFill="1" applyBorder="1"/>
    <xf numFmtId="49" fontId="3" fillId="25" borderId="10" xfId="0" applyNumberFormat="1" applyFont="1" applyFill="1" applyBorder="1"/>
    <xf numFmtId="0" fontId="3" fillId="25" borderId="10" xfId="0" applyFont="1" applyFill="1" applyBorder="1"/>
    <xf numFmtId="0" fontId="0" fillId="25" borderId="10" xfId="0" applyFill="1" applyBorder="1" applyAlignment="1">
      <alignment vertical="center" wrapText="1"/>
    </xf>
    <xf numFmtId="0" fontId="18" fillId="0" borderId="47" xfId="0" applyFont="1" applyBorder="1" applyAlignment="1">
      <alignment horizontal="center" vertical="center"/>
    </xf>
    <xf numFmtId="167" fontId="0" fillId="0" borderId="52" xfId="0" applyNumberFormat="1" applyFill="1" applyBorder="1" applyAlignment="1"/>
    <xf numFmtId="167" fontId="3" fillId="0" borderId="54" xfId="0" applyNumberFormat="1" applyFont="1" applyFill="1" applyBorder="1"/>
    <xf numFmtId="0" fontId="3" fillId="0" borderId="53" xfId="0" applyFont="1" applyBorder="1" applyAlignment="1">
      <alignment horizontal="left"/>
    </xf>
    <xf numFmtId="0" fontId="18" fillId="0" borderId="30" xfId="0" applyFont="1" applyBorder="1" applyAlignment="1">
      <alignment horizontal="left" vertical="justify" wrapText="1"/>
    </xf>
    <xf numFmtId="0" fontId="3" fillId="25" borderId="57" xfId="0" applyFont="1" applyFill="1" applyBorder="1" applyAlignment="1">
      <alignment horizontal="center" vertical="center" wrapText="1"/>
    </xf>
    <xf numFmtId="0" fontId="3" fillId="25" borderId="58" xfId="0" applyFont="1" applyFill="1" applyBorder="1" applyAlignment="1">
      <alignment horizontal="center" vertical="center" wrapText="1"/>
    </xf>
    <xf numFmtId="0" fontId="3" fillId="25" borderId="59" xfId="0" applyFont="1" applyFill="1" applyBorder="1" applyAlignment="1">
      <alignment horizontal="center" vertical="center" wrapText="1"/>
    </xf>
    <xf numFmtId="49" fontId="3" fillId="25" borderId="60" xfId="0" applyNumberFormat="1" applyFont="1" applyFill="1" applyBorder="1"/>
    <xf numFmtId="0" fontId="3" fillId="25" borderId="61" xfId="0" applyFont="1" applyFill="1" applyBorder="1"/>
    <xf numFmtId="49" fontId="0" fillId="25" borderId="62" xfId="0" applyNumberFormat="1" applyFill="1" applyBorder="1"/>
    <xf numFmtId="49" fontId="3" fillId="25" borderId="62" xfId="0" applyNumberFormat="1" applyFont="1" applyFill="1" applyBorder="1"/>
    <xf numFmtId="0" fontId="3" fillId="25" borderId="63" xfId="0" applyFont="1" applyFill="1" applyBorder="1"/>
    <xf numFmtId="0" fontId="0" fillId="25" borderId="63" xfId="0" applyFill="1" applyBorder="1"/>
    <xf numFmtId="0" fontId="19" fillId="25" borderId="64" xfId="0" applyFont="1" applyFill="1" applyBorder="1" applyAlignment="1">
      <alignment horizontal="left" vertical="justify" wrapText="1"/>
    </xf>
    <xf numFmtId="49" fontId="0" fillId="25" borderId="65" xfId="0" applyNumberFormat="1" applyFill="1" applyBorder="1"/>
    <xf numFmtId="0" fontId="3" fillId="0" borderId="3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/>
    </xf>
    <xf numFmtId="0" fontId="39" fillId="0" borderId="0" xfId="0" applyFont="1"/>
    <xf numFmtId="0" fontId="39" fillId="0" borderId="0" xfId="0" applyFont="1" applyFill="1" applyBorder="1"/>
    <xf numFmtId="8" fontId="39" fillId="0" borderId="0" xfId="0" applyNumberFormat="1" applyFont="1" applyFill="1" applyBorder="1" applyAlignment="1">
      <alignment horizontal="center"/>
    </xf>
    <xf numFmtId="0" fontId="39" fillId="0" borderId="0" xfId="0" applyFont="1" applyFill="1"/>
    <xf numFmtId="4" fontId="0" fillId="0" borderId="0" xfId="0" applyNumberFormat="1" applyFill="1"/>
    <xf numFmtId="167" fontId="3" fillId="0" borderId="0" xfId="31" applyNumberFormat="1" applyFont="1" applyFill="1" applyBorder="1" applyAlignment="1">
      <alignment horizontal="right"/>
    </xf>
    <xf numFmtId="0" fontId="3" fillId="0" borderId="47" xfId="0" applyFont="1" applyFill="1" applyBorder="1" applyAlignment="1">
      <alignment horizontal="center" vertical="center" wrapText="1"/>
    </xf>
    <xf numFmtId="0" fontId="46" fillId="0" borderId="33" xfId="0" applyFont="1" applyBorder="1" applyAlignment="1">
      <alignment horizontal="left"/>
    </xf>
    <xf numFmtId="0" fontId="46" fillId="0" borderId="35" xfId="0" applyFont="1" applyBorder="1" applyAlignment="1">
      <alignment horizontal="left"/>
    </xf>
    <xf numFmtId="0" fontId="44" fillId="0" borderId="55" xfId="0" applyFont="1" applyBorder="1" applyAlignment="1">
      <alignment horizontal="center" wrapText="1"/>
    </xf>
    <xf numFmtId="0" fontId="3" fillId="0" borderId="67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4" fillId="0" borderId="51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center"/>
    </xf>
    <xf numFmtId="0" fontId="4" fillId="0" borderId="10" xfId="0" applyFont="1" applyFill="1" applyBorder="1" applyAlignment="1">
      <alignment vertical="center" wrapText="1"/>
    </xf>
    <xf numFmtId="8" fontId="4" fillId="0" borderId="46" xfId="0" applyNumberFormat="1" applyFont="1" applyFill="1" applyBorder="1" applyAlignment="1">
      <alignment horizontal="center"/>
    </xf>
    <xf numFmtId="8" fontId="4" fillId="0" borderId="68" xfId="0" applyNumberFormat="1" applyFont="1" applyFill="1" applyBorder="1" applyAlignment="1">
      <alignment horizontal="center"/>
    </xf>
    <xf numFmtId="164" fontId="39" fillId="0" borderId="0" xfId="0" applyNumberFormat="1" applyFont="1" applyFill="1" applyBorder="1"/>
    <xf numFmtId="8" fontId="4" fillId="0" borderId="36" xfId="0" applyNumberFormat="1" applyFont="1" applyFill="1" applyBorder="1" applyAlignment="1">
      <alignment horizontal="center"/>
    </xf>
    <xf numFmtId="8" fontId="4" fillId="0" borderId="10" xfId="0" applyNumberFormat="1" applyFont="1" applyFill="1" applyBorder="1" applyAlignment="1">
      <alignment horizontal="center"/>
    </xf>
    <xf numFmtId="8" fontId="3" fillId="0" borderId="10" xfId="0" applyNumberFormat="1" applyFont="1" applyFill="1" applyBorder="1" applyAlignment="1">
      <alignment horizontal="center"/>
    </xf>
    <xf numFmtId="8" fontId="3" fillId="0" borderId="13" xfId="0" applyNumberFormat="1" applyFont="1" applyFill="1" applyBorder="1" applyAlignment="1">
      <alignment horizontal="center"/>
    </xf>
    <xf numFmtId="8" fontId="3" fillId="0" borderId="36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vertical="center" wrapText="1"/>
    </xf>
    <xf numFmtId="8" fontId="4" fillId="0" borderId="13" xfId="0" applyNumberFormat="1" applyFont="1" applyFill="1" applyBorder="1" applyAlignment="1">
      <alignment horizontal="center"/>
    </xf>
    <xf numFmtId="8" fontId="3" fillId="0" borderId="52" xfId="0" applyNumberFormat="1" applyFont="1" applyFill="1" applyBorder="1" applyAlignment="1">
      <alignment horizontal="center"/>
    </xf>
    <xf numFmtId="8" fontId="3" fillId="0" borderId="69" xfId="0" applyNumberFormat="1" applyFont="1" applyFill="1" applyBorder="1" applyAlignment="1">
      <alignment horizontal="center"/>
    </xf>
    <xf numFmtId="8" fontId="3" fillId="0" borderId="30" xfId="0" applyNumberFormat="1" applyFont="1" applyFill="1" applyBorder="1" applyAlignment="1">
      <alignment horizontal="center"/>
    </xf>
    <xf numFmtId="8" fontId="3" fillId="0" borderId="47" xfId="0" applyNumberFormat="1" applyFont="1" applyFill="1" applyBorder="1" applyAlignment="1">
      <alignment horizontal="center"/>
    </xf>
    <xf numFmtId="0" fontId="3" fillId="0" borderId="0" xfId="0" applyFont="1" applyFill="1"/>
    <xf numFmtId="0" fontId="7" fillId="0" borderId="0" xfId="0" applyFont="1" applyBorder="1" applyAlignment="1">
      <alignment horizontal="left"/>
    </xf>
    <xf numFmtId="0" fontId="42" fillId="0" borderId="0" xfId="0" applyFont="1" applyFill="1"/>
    <xf numFmtId="0" fontId="16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left"/>
    </xf>
    <xf numFmtId="0" fontId="0" fillId="0" borderId="34" xfId="0" applyFill="1" applyBorder="1" applyAlignment="1">
      <alignment horizontal="center"/>
    </xf>
    <xf numFmtId="0" fontId="0" fillId="0" borderId="34" xfId="0" applyFill="1" applyBorder="1"/>
    <xf numFmtId="0" fontId="3" fillId="0" borderId="34" xfId="0" applyFont="1" applyFill="1" applyBorder="1"/>
    <xf numFmtId="0" fontId="0" fillId="0" borderId="35" xfId="0" applyFill="1" applyBorder="1" applyAlignment="1">
      <alignment horizontal="center"/>
    </xf>
    <xf numFmtId="0" fontId="0" fillId="0" borderId="35" xfId="0" applyFill="1" applyBorder="1"/>
    <xf numFmtId="0" fontId="0" fillId="0" borderId="66" xfId="0" applyFill="1" applyBorder="1"/>
    <xf numFmtId="0" fontId="16" fillId="0" borderId="41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3" fillId="0" borderId="35" xfId="0" applyFont="1" applyFill="1" applyBorder="1"/>
    <xf numFmtId="49" fontId="44" fillId="0" borderId="41" xfId="0" applyNumberFormat="1" applyFont="1" applyFill="1" applyBorder="1" applyAlignment="1">
      <alignment horizontal="center"/>
    </xf>
    <xf numFmtId="49" fontId="44" fillId="0" borderId="33" xfId="0" applyNumberFormat="1" applyFont="1" applyFill="1" applyBorder="1" applyAlignment="1">
      <alignment horizontal="center"/>
    </xf>
    <xf numFmtId="49" fontId="44" fillId="0" borderId="78" xfId="0" applyNumberFormat="1" applyFont="1" applyFill="1" applyBorder="1" applyAlignment="1">
      <alignment horizontal="center"/>
    </xf>
    <xf numFmtId="49" fontId="44" fillId="0" borderId="44" xfId="0" applyNumberFormat="1" applyFont="1" applyFill="1" applyBorder="1" applyAlignment="1">
      <alignment horizontal="center"/>
    </xf>
    <xf numFmtId="49" fontId="44" fillId="0" borderId="35" xfId="0" applyNumberFormat="1" applyFont="1" applyFill="1" applyBorder="1" applyAlignment="1">
      <alignment horizontal="center"/>
    </xf>
    <xf numFmtId="49" fontId="44" fillId="0" borderId="31" xfId="0" applyNumberFormat="1" applyFont="1" applyFill="1" applyBorder="1" applyAlignment="1">
      <alignment horizontal="center"/>
    </xf>
    <xf numFmtId="49" fontId="0" fillId="0" borderId="33" xfId="0" applyNumberFormat="1" applyFill="1" applyBorder="1"/>
    <xf numFmtId="49" fontId="3" fillId="0" borderId="78" xfId="0" applyNumberFormat="1" applyFont="1" applyFill="1" applyBorder="1"/>
    <xf numFmtId="49" fontId="3" fillId="0" borderId="34" xfId="0" applyNumberFormat="1" applyFont="1" applyFill="1" applyBorder="1"/>
    <xf numFmtId="49" fontId="3" fillId="0" borderId="0" xfId="0" applyNumberFormat="1" applyFont="1" applyFill="1" applyBorder="1"/>
    <xf numFmtId="49" fontId="0" fillId="0" borderId="34" xfId="0" applyNumberFormat="1" applyFill="1" applyBorder="1"/>
    <xf numFmtId="0" fontId="3" fillId="0" borderId="44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49" fontId="42" fillId="0" borderId="0" xfId="0" applyNumberFormat="1" applyFont="1" applyFill="1"/>
    <xf numFmtId="49" fontId="3" fillId="0" borderId="30" xfId="0" applyNumberFormat="1" applyFont="1" applyFill="1" applyBorder="1" applyAlignment="1">
      <alignment horizontal="center"/>
    </xf>
    <xf numFmtId="0" fontId="15" fillId="0" borderId="32" xfId="0" applyFont="1" applyFill="1" applyBorder="1" applyAlignment="1">
      <alignment horizontal="center"/>
    </xf>
    <xf numFmtId="49" fontId="0" fillId="0" borderId="34" xfId="0" applyNumberFormat="1" applyFill="1" applyBorder="1" applyAlignment="1">
      <alignment horizontal="center"/>
    </xf>
    <xf numFmtId="49" fontId="0" fillId="0" borderId="30" xfId="0" applyNumberFormat="1" applyFill="1" applyBorder="1"/>
    <xf numFmtId="0" fontId="9" fillId="0" borderId="0" xfId="0" applyFont="1" applyFill="1" applyAlignment="1">
      <alignment horizontal="right"/>
    </xf>
    <xf numFmtId="0" fontId="46" fillId="0" borderId="0" xfId="0" applyFont="1" applyAlignment="1">
      <alignment horizontal="center"/>
    </xf>
    <xf numFmtId="0" fontId="4" fillId="0" borderId="0" xfId="0" applyFont="1" applyFill="1"/>
    <xf numFmtId="167" fontId="0" fillId="26" borderId="0" xfId="0" applyNumberFormat="1" applyFill="1"/>
    <xf numFmtId="49" fontId="4" fillId="25" borderId="10" xfId="0" applyNumberFormat="1" applyFont="1" applyFill="1" applyBorder="1" applyAlignment="1">
      <alignment vertical="center" wrapText="1"/>
    </xf>
    <xf numFmtId="0" fontId="4" fillId="25" borderId="10" xfId="0" applyFont="1" applyFill="1" applyBorder="1" applyAlignment="1">
      <alignment vertical="center" wrapText="1"/>
    </xf>
    <xf numFmtId="0" fontId="0" fillId="26" borderId="0" xfId="0" applyFill="1"/>
    <xf numFmtId="49" fontId="3" fillId="25" borderId="81" xfId="0" applyNumberFormat="1" applyFont="1" applyFill="1" applyBorder="1"/>
    <xf numFmtId="0" fontId="4" fillId="25" borderId="82" xfId="0" applyFont="1" applyFill="1" applyBorder="1" applyAlignment="1">
      <alignment vertical="center" wrapText="1"/>
    </xf>
    <xf numFmtId="0" fontId="46" fillId="26" borderId="0" xfId="0" applyFont="1" applyFill="1" applyAlignment="1">
      <alignment horizontal="center"/>
    </xf>
    <xf numFmtId="4" fontId="4" fillId="26" borderId="26" xfId="31" applyNumberFormat="1" applyFont="1" applyFill="1" applyBorder="1"/>
    <xf numFmtId="4" fontId="4" fillId="26" borderId="22" xfId="31" applyNumberFormat="1" applyFont="1" applyFill="1" applyBorder="1"/>
    <xf numFmtId="4" fontId="0" fillId="26" borderId="0" xfId="0" applyNumberFormat="1" applyFill="1"/>
    <xf numFmtId="164" fontId="4" fillId="26" borderId="0" xfId="0" applyNumberFormat="1" applyFont="1" applyFill="1"/>
    <xf numFmtId="164" fontId="3" fillId="26" borderId="0" xfId="37" applyFont="1" applyFill="1"/>
    <xf numFmtId="164" fontId="0" fillId="26" borderId="0" xfId="0" applyNumberFormat="1" applyFill="1"/>
    <xf numFmtId="164" fontId="49" fillId="26" borderId="0" xfId="37" applyFont="1" applyFill="1"/>
    <xf numFmtId="174" fontId="3" fillId="0" borderId="22" xfId="31" applyNumberFormat="1" applyFont="1" applyBorder="1"/>
    <xf numFmtId="174" fontId="4" fillId="0" borderId="22" xfId="31" applyNumberFormat="1" applyFont="1" applyBorder="1"/>
    <xf numFmtId="164" fontId="42" fillId="0" borderId="0" xfId="37" applyFont="1" applyFill="1"/>
    <xf numFmtId="164" fontId="16" fillId="0" borderId="33" xfId="37" applyFont="1" applyFill="1" applyBorder="1" applyAlignment="1">
      <alignment horizontal="center"/>
    </xf>
    <xf numFmtId="164" fontId="3" fillId="0" borderId="34" xfId="37" applyFont="1" applyFill="1" applyBorder="1" applyAlignment="1">
      <alignment horizontal="center" wrapText="1"/>
    </xf>
    <xf numFmtId="164" fontId="4" fillId="0" borderId="34" xfId="37" applyFont="1" applyFill="1" applyBorder="1"/>
    <xf numFmtId="164" fontId="3" fillId="0" borderId="34" xfId="37" applyFont="1" applyFill="1" applyBorder="1"/>
    <xf numFmtId="164" fontId="0" fillId="0" borderId="35" xfId="37" applyFont="1" applyFill="1" applyBorder="1"/>
    <xf numFmtId="164" fontId="3" fillId="0" borderId="47" xfId="37" applyFont="1" applyFill="1" applyBorder="1"/>
    <xf numFmtId="164" fontId="16" fillId="0" borderId="84" xfId="37" applyFont="1" applyFill="1" applyBorder="1" applyAlignment="1">
      <alignment horizontal="center"/>
    </xf>
    <xf numFmtId="164" fontId="3" fillId="0" borderId="23" xfId="37" applyFont="1" applyFill="1" applyBorder="1"/>
    <xf numFmtId="164" fontId="3" fillId="0" borderId="85" xfId="37" applyFont="1" applyFill="1" applyBorder="1"/>
    <xf numFmtId="164" fontId="3" fillId="0" borderId="30" xfId="37" applyFont="1" applyFill="1" applyBorder="1" applyAlignment="1">
      <alignment horizontal="center"/>
    </xf>
    <xf numFmtId="164" fontId="2" fillId="0" borderId="34" xfId="37" applyFill="1" applyBorder="1"/>
    <xf numFmtId="164" fontId="3" fillId="0" borderId="30" xfId="37" applyFont="1" applyFill="1" applyBorder="1"/>
    <xf numFmtId="164" fontId="3" fillId="0" borderId="78" xfId="37" applyFont="1" applyFill="1" applyBorder="1" applyAlignment="1">
      <alignment horizontal="center"/>
    </xf>
    <xf numFmtId="49" fontId="0" fillId="25" borderId="10" xfId="0" applyNumberFormat="1" applyFill="1" applyBorder="1" applyAlignment="1">
      <alignment vertical="center"/>
    </xf>
    <xf numFmtId="0" fontId="4" fillId="26" borderId="0" xfId="0" applyFont="1" applyFill="1"/>
    <xf numFmtId="8" fontId="51" fillId="0" borderId="0" xfId="0" applyNumberFormat="1" applyFont="1"/>
    <xf numFmtId="49" fontId="4" fillId="25" borderId="86" xfId="0" applyNumberFormat="1" applyFont="1" applyFill="1" applyBorder="1" applyAlignment="1">
      <alignment vertical="center" wrapText="1"/>
    </xf>
    <xf numFmtId="164" fontId="3" fillId="0" borderId="33" xfId="37" applyFont="1" applyFill="1" applyBorder="1" applyAlignment="1">
      <alignment horizontal="right"/>
    </xf>
    <xf numFmtId="164" fontId="3" fillId="0" borderId="34" xfId="37" applyFont="1" applyFill="1" applyBorder="1" applyAlignment="1">
      <alignment horizontal="right"/>
    </xf>
    <xf numFmtId="164" fontId="4" fillId="0" borderId="34" xfId="37" applyFont="1" applyFill="1" applyBorder="1" applyAlignment="1">
      <alignment horizontal="right"/>
    </xf>
    <xf numFmtId="164" fontId="4" fillId="0" borderId="35" xfId="37" applyFont="1" applyFill="1" applyBorder="1" applyAlignment="1">
      <alignment horizontal="right"/>
    </xf>
    <xf numFmtId="164" fontId="3" fillId="0" borderId="35" xfId="37" applyFont="1" applyFill="1" applyBorder="1" applyAlignment="1">
      <alignment horizontal="right"/>
    </xf>
    <xf numFmtId="164" fontId="3" fillId="0" borderId="30" xfId="37" applyFont="1" applyFill="1" applyBorder="1" applyAlignment="1">
      <alignment horizontal="right"/>
    </xf>
    <xf numFmtId="164" fontId="4" fillId="26" borderId="22" xfId="37" applyFont="1" applyFill="1" applyBorder="1"/>
    <xf numFmtId="164" fontId="4" fillId="0" borderId="22" xfId="37" applyFont="1" applyBorder="1"/>
    <xf numFmtId="164" fontId="4" fillId="0" borderId="21" xfId="37" applyFont="1" applyBorder="1"/>
    <xf numFmtId="164" fontId="3" fillId="26" borderId="22" xfId="37" applyFont="1" applyFill="1" applyBorder="1"/>
    <xf numFmtId="164" fontId="3" fillId="0" borderId="22" xfId="37" applyFont="1" applyBorder="1"/>
    <xf numFmtId="164" fontId="3" fillId="0" borderId="21" xfId="37" applyFont="1" applyBorder="1"/>
    <xf numFmtId="164" fontId="50" fillId="26" borderId="22" xfId="37" applyFont="1" applyFill="1" applyBorder="1"/>
    <xf numFmtId="164" fontId="0" fillId="0" borderId="22" xfId="37" applyFont="1" applyBorder="1"/>
    <xf numFmtId="164" fontId="0" fillId="0" borderId="21" xfId="37" applyFont="1" applyBorder="1"/>
    <xf numFmtId="164" fontId="12" fillId="26" borderId="22" xfId="37" applyFont="1" applyFill="1" applyBorder="1"/>
    <xf numFmtId="164" fontId="12" fillId="0" borderId="22" xfId="37" applyFont="1" applyBorder="1"/>
    <xf numFmtId="164" fontId="12" fillId="0" borderId="21" xfId="37" applyFont="1" applyBorder="1"/>
    <xf numFmtId="164" fontId="50" fillId="26" borderId="29" xfId="37" applyFont="1" applyFill="1" applyBorder="1"/>
    <xf numFmtId="164" fontId="0" fillId="0" borderId="29" xfId="37" applyFont="1" applyBorder="1"/>
    <xf numFmtId="164" fontId="0" fillId="0" borderId="87" xfId="37" applyFont="1" applyBorder="1"/>
    <xf numFmtId="164" fontId="3" fillId="26" borderId="30" xfId="37" applyFont="1" applyFill="1" applyBorder="1"/>
    <xf numFmtId="164" fontId="3" fillId="0" borderId="32" xfId="37" applyFont="1" applyBorder="1"/>
    <xf numFmtId="164" fontId="3" fillId="0" borderId="30" xfId="37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73" fontId="3" fillId="0" borderId="46" xfId="0" applyNumberFormat="1" applyFont="1" applyFill="1" applyBorder="1"/>
    <xf numFmtId="173" fontId="3" fillId="0" borderId="10" xfId="0" applyNumberFormat="1" applyFont="1" applyFill="1" applyBorder="1"/>
    <xf numFmtId="173" fontId="4" fillId="0" borderId="10" xfId="0" applyNumberFormat="1" applyFont="1" applyFill="1" applyBorder="1"/>
    <xf numFmtId="173" fontId="4" fillId="0" borderId="52" xfId="0" applyNumberFormat="1" applyFont="1" applyFill="1" applyBorder="1"/>
    <xf numFmtId="173" fontId="3" fillId="0" borderId="30" xfId="0" applyNumberFormat="1" applyFont="1" applyFill="1" applyBorder="1"/>
    <xf numFmtId="170" fontId="4" fillId="0" borderId="0" xfId="0" applyNumberFormat="1" applyFont="1" applyFill="1"/>
    <xf numFmtId="173" fontId="4" fillId="0" borderId="0" xfId="0" applyNumberFormat="1" applyFont="1" applyFill="1"/>
    <xf numFmtId="170" fontId="4" fillId="26" borderId="0" xfId="0" applyNumberFormat="1" applyFont="1" applyFill="1"/>
    <xf numFmtId="8" fontId="4" fillId="0" borderId="0" xfId="0" applyNumberFormat="1" applyFont="1"/>
    <xf numFmtId="0" fontId="3" fillId="0" borderId="0" xfId="0" applyFont="1" applyBorder="1" applyAlignment="1">
      <alignment wrapText="1"/>
    </xf>
    <xf numFmtId="0" fontId="3" fillId="0" borderId="0" xfId="0" applyFont="1"/>
    <xf numFmtId="0" fontId="0" fillId="0" borderId="0" xfId="0" applyFont="1"/>
    <xf numFmtId="168" fontId="0" fillId="26" borderId="0" xfId="0" applyNumberFormat="1" applyFill="1"/>
    <xf numFmtId="167" fontId="3" fillId="26" borderId="0" xfId="0" applyNumberFormat="1" applyFont="1" applyFill="1"/>
    <xf numFmtId="172" fontId="4" fillId="0" borderId="0" xfId="0" applyNumberFormat="1" applyFont="1" applyFill="1"/>
    <xf numFmtId="0" fontId="0" fillId="0" borderId="34" xfId="0" applyBorder="1" applyAlignment="1">
      <alignment horizontal="left"/>
    </xf>
    <xf numFmtId="4" fontId="2" fillId="0" borderId="34" xfId="31" applyNumberFormat="1" applyBorder="1"/>
    <xf numFmtId="164" fontId="4" fillId="26" borderId="34" xfId="37" applyFont="1" applyFill="1" applyBorder="1"/>
    <xf numFmtId="164" fontId="4" fillId="0" borderId="34" xfId="37" applyFont="1" applyBorder="1"/>
    <xf numFmtId="0" fontId="3" fillId="0" borderId="34" xfId="0" applyFont="1" applyBorder="1" applyAlignment="1">
      <alignment horizontal="left"/>
    </xf>
    <xf numFmtId="0" fontId="3" fillId="0" borderId="34" xfId="0" applyFont="1" applyBorder="1"/>
    <xf numFmtId="164" fontId="3" fillId="26" borderId="34" xfId="37" applyFont="1" applyFill="1" applyBorder="1"/>
    <xf numFmtId="164" fontId="3" fillId="0" borderId="34" xfId="37" applyFont="1" applyBorder="1"/>
    <xf numFmtId="4" fontId="3" fillId="0" borderId="34" xfId="31" applyNumberFormat="1" applyFont="1" applyBorder="1"/>
    <xf numFmtId="0" fontId="4" fillId="0" borderId="34" xfId="0" applyFont="1" applyFill="1" applyBorder="1" applyAlignment="1">
      <alignment horizontal="left"/>
    </xf>
    <xf numFmtId="0" fontId="4" fillId="0" borderId="34" xfId="0" applyFont="1" applyBorder="1" applyAlignment="1">
      <alignment horizontal="left"/>
    </xf>
    <xf numFmtId="4" fontId="5" fillId="0" borderId="34" xfId="31" applyNumberFormat="1" applyFont="1" applyBorder="1"/>
    <xf numFmtId="0" fontId="4" fillId="0" borderId="34" xfId="0" applyFont="1" applyFill="1" applyBorder="1"/>
    <xf numFmtId="0" fontId="3" fillId="26" borderId="20" xfId="0" applyFont="1" applyFill="1" applyBorder="1" applyAlignment="1">
      <alignment horizontal="left"/>
    </xf>
    <xf numFmtId="49" fontId="0" fillId="26" borderId="0" xfId="0" applyNumberFormat="1" applyFill="1" applyAlignment="1">
      <alignment horizontal="left"/>
    </xf>
    <xf numFmtId="0" fontId="17" fillId="0" borderId="31" xfId="0" applyFont="1" applyBorder="1" applyAlignment="1">
      <alignment horizontal="center"/>
    </xf>
    <xf numFmtId="167" fontId="2" fillId="0" borderId="46" xfId="34" applyNumberFormat="1" applyFill="1" applyBorder="1" applyAlignment="1"/>
    <xf numFmtId="1" fontId="0" fillId="0" borderId="0" xfId="0" applyNumberFormat="1" applyAlignment="1">
      <alignment horizontal="left"/>
    </xf>
    <xf numFmtId="1" fontId="0" fillId="0" borderId="0" xfId="0" applyNumberFormat="1" applyFill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1" fontId="0" fillId="0" borderId="0" xfId="0" applyNumberFormat="1" applyBorder="1" applyAlignment="1">
      <alignment horizontal="left"/>
    </xf>
    <xf numFmtId="1" fontId="3" fillId="0" borderId="0" xfId="0" applyNumberFormat="1" applyFont="1" applyAlignment="1">
      <alignment horizontal="left"/>
    </xf>
    <xf numFmtId="49" fontId="7" fillId="0" borderId="14" xfId="31" applyNumberFormat="1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49" fontId="47" fillId="0" borderId="31" xfId="0" applyNumberFormat="1" applyFont="1" applyFill="1" applyBorder="1" applyAlignment="1">
      <alignment horizontal="center"/>
    </xf>
    <xf numFmtId="174" fontId="0" fillId="0" borderId="0" xfId="0" applyNumberFormat="1"/>
    <xf numFmtId="174" fontId="3" fillId="0" borderId="13" xfId="0" applyNumberFormat="1" applyFont="1" applyBorder="1"/>
    <xf numFmtId="174" fontId="0" fillId="0" borderId="15" xfId="0" applyNumberFormat="1" applyFill="1" applyBorder="1"/>
    <xf numFmtId="174" fontId="3" fillId="0" borderId="30" xfId="0" applyNumberFormat="1" applyFont="1" applyBorder="1"/>
    <xf numFmtId="174" fontId="0" fillId="0" borderId="0" xfId="0" applyNumberFormat="1" applyFill="1"/>
    <xf numFmtId="174" fontId="4" fillId="0" borderId="26" xfId="31" applyNumberFormat="1" applyFont="1" applyBorder="1"/>
    <xf numFmtId="174" fontId="4" fillId="0" borderId="27" xfId="31" applyNumberFormat="1" applyFont="1" applyBorder="1"/>
    <xf numFmtId="174" fontId="3" fillId="0" borderId="21" xfId="31" applyNumberFormat="1" applyFont="1" applyBorder="1"/>
    <xf numFmtId="174" fontId="3" fillId="0" borderId="21" xfId="37" applyNumberFormat="1" applyFont="1" applyBorder="1" applyAlignment="1">
      <alignment horizontal="center" wrapText="1"/>
    </xf>
    <xf numFmtId="174" fontId="3" fillId="26" borderId="22" xfId="31" applyNumberFormat="1" applyFont="1" applyFill="1" applyBorder="1" applyAlignment="1">
      <alignment horizontal="right"/>
    </xf>
    <xf numFmtId="174" fontId="3" fillId="0" borderId="21" xfId="31" applyNumberFormat="1" applyFont="1" applyBorder="1" applyAlignment="1">
      <alignment horizontal="right"/>
    </xf>
    <xf numFmtId="174" fontId="4" fillId="26" borderId="22" xfId="31" applyNumberFormat="1" applyFont="1" applyFill="1" applyBorder="1" applyAlignment="1">
      <alignment horizontal="right"/>
    </xf>
    <xf numFmtId="174" fontId="4" fillId="0" borderId="21" xfId="31" applyNumberFormat="1" applyFont="1" applyBorder="1" applyAlignment="1">
      <alignment horizontal="right"/>
    </xf>
    <xf numFmtId="174" fontId="3" fillId="0" borderId="54" xfId="31" applyNumberFormat="1" applyFont="1" applyFill="1" applyBorder="1" applyAlignment="1">
      <alignment horizontal="right"/>
    </xf>
    <xf numFmtId="174" fontId="3" fillId="0" borderId="54" xfId="31" applyNumberFormat="1" applyFont="1" applyBorder="1" applyAlignment="1">
      <alignment horizontal="right"/>
    </xf>
    <xf numFmtId="174" fontId="3" fillId="0" borderId="55" xfId="31" applyNumberFormat="1" applyFont="1" applyBorder="1" applyAlignment="1">
      <alignment horizontal="right"/>
    </xf>
    <xf numFmtId="49" fontId="4" fillId="0" borderId="20" xfId="0" applyNumberFormat="1" applyFont="1" applyFill="1" applyBorder="1"/>
    <xf numFmtId="49" fontId="4" fillId="0" borderId="34" xfId="0" applyNumberFormat="1" applyFont="1" applyFill="1" applyBorder="1"/>
    <xf numFmtId="49" fontId="4" fillId="0" borderId="0" xfId="0" applyNumberFormat="1" applyFont="1" applyFill="1" applyBorder="1"/>
    <xf numFmtId="0" fontId="4" fillId="0" borderId="21" xfId="0" applyFont="1" applyFill="1" applyBorder="1"/>
    <xf numFmtId="49" fontId="4" fillId="0" borderId="44" xfId="0" applyNumberFormat="1" applyFont="1" applyFill="1" applyBorder="1"/>
    <xf numFmtId="49" fontId="4" fillId="0" borderId="35" xfId="0" applyNumberFormat="1" applyFont="1" applyFill="1" applyBorder="1"/>
    <xf numFmtId="49" fontId="4" fillId="0" borderId="31" xfId="0" applyNumberFormat="1" applyFont="1" applyFill="1" applyBorder="1"/>
    <xf numFmtId="174" fontId="4" fillId="0" borderId="0" xfId="0" applyNumberFormat="1" applyFont="1" applyFill="1"/>
    <xf numFmtId="173" fontId="2" fillId="0" borderId="10" xfId="0" applyNumberFormat="1" applyFont="1" applyFill="1" applyBorder="1"/>
    <xf numFmtId="173" fontId="4" fillId="0" borderId="38" xfId="0" applyNumberFormat="1" applyFont="1" applyFill="1" applyBorder="1"/>
    <xf numFmtId="174" fontId="4" fillId="26" borderId="0" xfId="0" applyNumberFormat="1" applyFont="1" applyFill="1"/>
    <xf numFmtId="164" fontId="4" fillId="0" borderId="0" xfId="37" applyFont="1"/>
    <xf numFmtId="164" fontId="4" fillId="0" borderId="0" xfId="0" applyNumberFormat="1" applyFont="1"/>
    <xf numFmtId="0" fontId="54" fillId="0" borderId="0" xfId="0" applyFont="1"/>
    <xf numFmtId="168" fontId="3" fillId="26" borderId="0" xfId="0" applyNumberFormat="1" applyFont="1" applyFill="1"/>
    <xf numFmtId="174" fontId="3" fillId="0" borderId="18" xfId="0" applyNumberFormat="1" applyFont="1" applyFill="1" applyBorder="1"/>
    <xf numFmtId="174" fontId="3" fillId="0" borderId="10" xfId="0" applyNumberFormat="1" applyFont="1" applyFill="1" applyBorder="1"/>
    <xf numFmtId="174" fontId="4" fillId="0" borderId="10" xfId="0" applyNumberFormat="1" applyFont="1" applyFill="1" applyBorder="1"/>
    <xf numFmtId="174" fontId="4" fillId="0" borderId="77" xfId="0" applyNumberFormat="1" applyFont="1" applyFill="1" applyBorder="1"/>
    <xf numFmtId="174" fontId="4" fillId="0" borderId="80" xfId="0" applyNumberFormat="1" applyFont="1" applyFill="1" applyBorder="1"/>
    <xf numFmtId="174" fontId="4" fillId="0" borderId="147" xfId="0" applyNumberFormat="1" applyFont="1" applyFill="1" applyBorder="1"/>
    <xf numFmtId="174" fontId="3" fillId="0" borderId="46" xfId="0" applyNumberFormat="1" applyFont="1" applyFill="1" applyBorder="1"/>
    <xf numFmtId="174" fontId="3" fillId="0" borderId="11" xfId="0" applyNumberFormat="1" applyFont="1" applyFill="1" applyBorder="1"/>
    <xf numFmtId="49" fontId="2" fillId="0" borderId="0" xfId="31" applyNumberFormat="1" applyFont="1" applyAlignment="1">
      <alignment horizontal="left"/>
    </xf>
    <xf numFmtId="4" fontId="2" fillId="0" borderId="0" xfId="31" applyNumberFormat="1" applyFont="1"/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" fontId="3" fillId="0" borderId="0" xfId="31" applyNumberFormat="1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25" borderId="63" xfId="0" applyFill="1" applyBorder="1" applyAlignment="1">
      <alignment horizontal="justify" vertical="top" wrapText="1"/>
    </xf>
    <xf numFmtId="174" fontId="4" fillId="0" borderId="21" xfId="31" applyNumberFormat="1" applyFont="1" applyBorder="1" applyAlignment="1">
      <alignment vertical="center"/>
    </xf>
    <xf numFmtId="0" fontId="0" fillId="0" borderId="66" xfId="0" applyBorder="1"/>
    <xf numFmtId="0" fontId="3" fillId="0" borderId="30" xfId="0" applyFont="1" applyBorder="1"/>
    <xf numFmtId="0" fontId="55" fillId="0" borderId="66" xfId="0" applyFont="1" applyFill="1" applyBorder="1" applyAlignment="1">
      <alignment horizontal="center" wrapText="1"/>
    </xf>
    <xf numFmtId="0" fontId="55" fillId="0" borderId="56" xfId="0" applyFont="1" applyBorder="1" applyAlignment="1">
      <alignment horizontal="center" wrapText="1"/>
    </xf>
    <xf numFmtId="0" fontId="55" fillId="0" borderId="55" xfId="0" applyFont="1" applyBorder="1" applyAlignment="1">
      <alignment horizontal="center" wrapText="1"/>
    </xf>
    <xf numFmtId="0" fontId="3" fillId="0" borderId="73" xfId="0" applyFont="1" applyFill="1" applyBorder="1"/>
    <xf numFmtId="0" fontId="3" fillId="0" borderId="38" xfId="0" applyFont="1" applyFill="1" applyBorder="1"/>
    <xf numFmtId="0" fontId="4" fillId="0" borderId="38" xfId="0" applyFont="1" applyFill="1" applyBorder="1"/>
    <xf numFmtId="0" fontId="4" fillId="0" borderId="76" xfId="0" applyFont="1" applyFill="1" applyBorder="1" applyAlignment="1">
      <alignment vertical="justify" wrapText="1"/>
    </xf>
    <xf numFmtId="173" fontId="3" fillId="0" borderId="68" xfId="0" applyNumberFormat="1" applyFont="1" applyFill="1" applyBorder="1"/>
    <xf numFmtId="173" fontId="3" fillId="0" borderId="36" xfId="0" applyNumberFormat="1" applyFont="1" applyFill="1" applyBorder="1"/>
    <xf numFmtId="173" fontId="4" fillId="0" borderId="36" xfId="0" applyNumberFormat="1" applyFont="1" applyFill="1" applyBorder="1"/>
    <xf numFmtId="173" fontId="3" fillId="0" borderId="47" xfId="0" applyNumberFormat="1" applyFont="1" applyFill="1" applyBorder="1"/>
    <xf numFmtId="0" fontId="3" fillId="0" borderId="14" xfId="0" applyFont="1" applyFill="1" applyBorder="1" applyAlignment="1">
      <alignment horizontal="center" vertical="center" wrapText="1"/>
    </xf>
    <xf numFmtId="173" fontId="3" fillId="0" borderId="67" xfId="0" applyNumberFormat="1" applyFont="1" applyFill="1" applyBorder="1"/>
    <xf numFmtId="173" fontId="4" fillId="0" borderId="39" xfId="0" applyNumberFormat="1" applyFont="1" applyFill="1" applyBorder="1"/>
    <xf numFmtId="173" fontId="3" fillId="0" borderId="12" xfId="0" applyNumberFormat="1" applyFont="1" applyFill="1" applyBorder="1"/>
    <xf numFmtId="173" fontId="4" fillId="0" borderId="13" xfId="0" applyNumberFormat="1" applyFont="1" applyFill="1" applyBorder="1"/>
    <xf numFmtId="173" fontId="4" fillId="0" borderId="12" xfId="0" applyNumberFormat="1" applyFont="1" applyFill="1" applyBorder="1"/>
    <xf numFmtId="173" fontId="3" fillId="0" borderId="13" xfId="0" applyNumberFormat="1" applyFont="1" applyFill="1" applyBorder="1"/>
    <xf numFmtId="173" fontId="2" fillId="0" borderId="12" xfId="0" applyNumberFormat="1" applyFont="1" applyFill="1" applyBorder="1"/>
    <xf numFmtId="173" fontId="2" fillId="0" borderId="13" xfId="0" applyNumberFormat="1" applyFont="1" applyFill="1" applyBorder="1"/>
    <xf numFmtId="173" fontId="3" fillId="0" borderId="73" xfId="0" applyNumberFormat="1" applyFont="1" applyFill="1" applyBorder="1"/>
    <xf numFmtId="173" fontId="3" fillId="0" borderId="38" xfId="0" applyNumberFormat="1" applyFont="1" applyFill="1" applyBorder="1"/>
    <xf numFmtId="173" fontId="4" fillId="0" borderId="76" xfId="0" applyNumberFormat="1" applyFont="1" applyFill="1" applyBorder="1"/>
    <xf numFmtId="173" fontId="3" fillId="0" borderId="66" xfId="0" applyNumberFormat="1" applyFont="1" applyFill="1" applyBorder="1"/>
    <xf numFmtId="173" fontId="3" fillId="26" borderId="49" xfId="0" applyNumberFormat="1" applyFont="1" applyFill="1" applyBorder="1"/>
    <xf numFmtId="173" fontId="3" fillId="26" borderId="151" xfId="0" applyNumberFormat="1" applyFont="1" applyFill="1" applyBorder="1"/>
    <xf numFmtId="173" fontId="4" fillId="26" borderId="151" xfId="0" applyNumberFormat="1" applyFont="1" applyFill="1" applyBorder="1"/>
    <xf numFmtId="173" fontId="3" fillId="26" borderId="47" xfId="0" applyNumberFormat="1" applyFont="1" applyFill="1" applyBorder="1"/>
    <xf numFmtId="173" fontId="3" fillId="0" borderId="37" xfId="0" applyNumberFormat="1" applyFont="1" applyFill="1" applyBorder="1"/>
    <xf numFmtId="173" fontId="3" fillId="0" borderId="152" xfId="0" applyNumberFormat="1" applyFont="1" applyFill="1" applyBorder="1"/>
    <xf numFmtId="173" fontId="4" fillId="0" borderId="152" xfId="0" applyNumberFormat="1" applyFont="1" applyFill="1" applyBorder="1"/>
    <xf numFmtId="173" fontId="4" fillId="0" borderId="153" xfId="0" applyNumberFormat="1" applyFont="1" applyFill="1" applyBorder="1"/>
    <xf numFmtId="0" fontId="8" fillId="0" borderId="3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/>
    </xf>
    <xf numFmtId="0" fontId="2" fillId="25" borderId="63" xfId="0" applyFont="1" applyFill="1" applyBorder="1" applyAlignment="1">
      <alignment horizontal="justify" vertical="top" wrapText="1"/>
    </xf>
    <xf numFmtId="0" fontId="2" fillId="0" borderId="38" xfId="0" applyFont="1" applyFill="1" applyBorder="1"/>
    <xf numFmtId="4" fontId="8" fillId="0" borderId="38" xfId="31" applyNumberFormat="1" applyFont="1" applyFill="1" applyBorder="1"/>
    <xf numFmtId="4" fontId="8" fillId="0" borderId="38" xfId="31" applyNumberFormat="1" applyFont="1" applyBorder="1"/>
    <xf numFmtId="0" fontId="7" fillId="0" borderId="16" xfId="0" applyFont="1" applyFill="1" applyBorder="1" applyAlignment="1">
      <alignment vertical="center" wrapText="1"/>
    </xf>
    <xf numFmtId="174" fontId="3" fillId="0" borderId="17" xfId="0" applyNumberFormat="1" applyFont="1" applyFill="1" applyBorder="1"/>
    <xf numFmtId="174" fontId="3" fillId="0" borderId="12" xfId="0" applyNumberFormat="1" applyFont="1" applyFill="1" applyBorder="1"/>
    <xf numFmtId="174" fontId="4" fillId="0" borderId="12" xfId="0" applyNumberFormat="1" applyFont="1" applyFill="1" applyBorder="1"/>
    <xf numFmtId="174" fontId="4" fillId="0" borderId="14" xfId="0" applyNumberFormat="1" applyFont="1" applyFill="1" applyBorder="1"/>
    <xf numFmtId="174" fontId="4" fillId="0" borderId="79" xfId="0" applyNumberFormat="1" applyFont="1" applyFill="1" applyBorder="1"/>
    <xf numFmtId="174" fontId="4" fillId="0" borderId="146" xfId="0" applyNumberFormat="1" applyFont="1" applyFill="1" applyBorder="1"/>
    <xf numFmtId="174" fontId="3" fillId="0" borderId="67" xfId="0" applyNumberFormat="1" applyFont="1" applyFill="1" applyBorder="1"/>
    <xf numFmtId="174" fontId="3" fillId="0" borderId="154" xfId="0" applyNumberFormat="1" applyFont="1" applyFill="1" applyBorder="1"/>
    <xf numFmtId="174" fontId="3" fillId="0" borderId="38" xfId="0" applyNumberFormat="1" applyFont="1" applyFill="1" applyBorder="1"/>
    <xf numFmtId="174" fontId="4" fillId="0" borderId="38" xfId="0" applyNumberFormat="1" applyFont="1" applyFill="1" applyBorder="1"/>
    <xf numFmtId="174" fontId="4" fillId="0" borderId="16" xfId="0" applyNumberFormat="1" applyFont="1" applyFill="1" applyBorder="1"/>
    <xf numFmtId="174" fontId="4" fillId="0" borderId="155" xfId="0" applyNumberFormat="1" applyFont="1" applyFill="1" applyBorder="1"/>
    <xf numFmtId="174" fontId="4" fillId="0" borderId="156" xfId="0" applyNumberFormat="1" applyFont="1" applyFill="1" applyBorder="1"/>
    <xf numFmtId="174" fontId="3" fillId="0" borderId="73" xfId="0" applyNumberFormat="1" applyFont="1" applyFill="1" applyBorder="1"/>
    <xf numFmtId="174" fontId="3" fillId="0" borderId="157" xfId="0" applyNumberFormat="1" applyFont="1" applyBorder="1"/>
    <xf numFmtId="174" fontId="3" fillId="0" borderId="152" xfId="0" applyNumberFormat="1" applyFont="1" applyBorder="1"/>
    <xf numFmtId="174" fontId="0" fillId="0" borderId="152" xfId="0" applyNumberFormat="1" applyFill="1" applyBorder="1"/>
    <xf numFmtId="174" fontId="0" fillId="0" borderId="152" xfId="0" applyNumberFormat="1" applyBorder="1"/>
    <xf numFmtId="174" fontId="0" fillId="0" borderId="89" xfId="0" applyNumberFormat="1" applyBorder="1"/>
    <xf numFmtId="174" fontId="0" fillId="0" borderId="158" xfId="0" applyNumberFormat="1" applyBorder="1"/>
    <xf numFmtId="174" fontId="0" fillId="0" borderId="158" xfId="0" applyNumberFormat="1" applyFill="1" applyBorder="1"/>
    <xf numFmtId="174" fontId="0" fillId="0" borderId="159" xfId="0" applyNumberFormat="1" applyBorder="1"/>
    <xf numFmtId="174" fontId="3" fillId="0" borderId="37" xfId="0" applyNumberFormat="1" applyFont="1" applyBorder="1"/>
    <xf numFmtId="0" fontId="8" fillId="0" borderId="94" xfId="0" applyFont="1" applyBorder="1"/>
    <xf numFmtId="0" fontId="8" fillId="0" borderId="92" xfId="0" applyFont="1" applyBorder="1"/>
    <xf numFmtId="0" fontId="7" fillId="0" borderId="92" xfId="0" applyFont="1" applyBorder="1"/>
    <xf numFmtId="0" fontId="6" fillId="0" borderId="92" xfId="0" applyFont="1" applyBorder="1"/>
    <xf numFmtId="0" fontId="7" fillId="0" borderId="160" xfId="0" applyFont="1" applyBorder="1"/>
    <xf numFmtId="0" fontId="7" fillId="0" borderId="161" xfId="0" applyFont="1" applyBorder="1"/>
    <xf numFmtId="0" fontId="7" fillId="0" borderId="162" xfId="0" applyFont="1" applyBorder="1"/>
    <xf numFmtId="0" fontId="8" fillId="0" borderId="83" xfId="0" applyFont="1" applyBorder="1"/>
    <xf numFmtId="0" fontId="8" fillId="0" borderId="157" xfId="0" applyFont="1" applyBorder="1" applyAlignment="1">
      <alignment horizontal="left"/>
    </xf>
    <xf numFmtId="0" fontId="8" fillId="0" borderId="152" xfId="0" applyFont="1" applyBorder="1" applyAlignment="1">
      <alignment horizontal="left"/>
    </xf>
    <xf numFmtId="0" fontId="7" fillId="0" borderId="152" xfId="0" applyFont="1" applyBorder="1" applyAlignment="1">
      <alignment horizontal="left"/>
    </xf>
    <xf numFmtId="0" fontId="7" fillId="0" borderId="89" xfId="0" applyFont="1" applyBorder="1" applyAlignment="1">
      <alignment horizontal="left"/>
    </xf>
    <xf numFmtId="0" fontId="7" fillId="0" borderId="158" xfId="0" applyFont="1" applyBorder="1" applyAlignment="1">
      <alignment horizontal="left"/>
    </xf>
    <xf numFmtId="0" fontId="7" fillId="0" borderId="159" xfId="0" applyFont="1" applyBorder="1" applyAlignment="1">
      <alignment horizontal="left"/>
    </xf>
    <xf numFmtId="0" fontId="8" fillId="0" borderId="37" xfId="0" applyFont="1" applyBorder="1" applyAlignment="1">
      <alignment horizontal="left"/>
    </xf>
    <xf numFmtId="174" fontId="3" fillId="0" borderId="98" xfId="0" applyNumberFormat="1" applyFont="1" applyBorder="1"/>
    <xf numFmtId="174" fontId="3" fillId="0" borderId="151" xfId="0" applyNumberFormat="1" applyFont="1" applyBorder="1"/>
    <xf numFmtId="174" fontId="0" fillId="0" borderId="151" xfId="0" applyNumberFormat="1" applyBorder="1"/>
    <xf numFmtId="174" fontId="0" fillId="0" borderId="151" xfId="0" applyNumberFormat="1" applyFill="1" applyBorder="1"/>
    <xf numFmtId="174" fontId="3" fillId="26" borderId="151" xfId="0" applyNumberFormat="1" applyFont="1" applyFill="1" applyBorder="1"/>
    <xf numFmtId="174" fontId="4" fillId="0" borderId="151" xfId="0" applyNumberFormat="1" applyFont="1" applyBorder="1"/>
    <xf numFmtId="174" fontId="0" fillId="0" borderId="75" xfId="0" applyNumberFormat="1" applyFill="1" applyBorder="1"/>
    <xf numFmtId="174" fontId="3" fillId="0" borderId="47" xfId="0" applyNumberFormat="1" applyFont="1" applyBorder="1"/>
    <xf numFmtId="174" fontId="3" fillId="0" borderId="19" xfId="0" applyNumberFormat="1" applyFont="1" applyFill="1" applyBorder="1"/>
    <xf numFmtId="174" fontId="3" fillId="0" borderId="13" xfId="0" applyNumberFormat="1" applyFont="1" applyFill="1" applyBorder="1"/>
    <xf numFmtId="174" fontId="4" fillId="0" borderId="13" xfId="0" applyNumberFormat="1" applyFont="1" applyFill="1" applyBorder="1"/>
    <xf numFmtId="174" fontId="2" fillId="0" borderId="13" xfId="0" applyNumberFormat="1" applyFont="1" applyFill="1" applyBorder="1"/>
    <xf numFmtId="174" fontId="4" fillId="0" borderId="15" xfId="0" applyNumberFormat="1" applyFont="1" applyFill="1" applyBorder="1"/>
    <xf numFmtId="174" fontId="3" fillId="0" borderId="30" xfId="0" applyNumberFormat="1" applyFont="1" applyFill="1" applyBorder="1"/>
    <xf numFmtId="0" fontId="7" fillId="0" borderId="92" xfId="0" applyFont="1" applyFill="1" applyBorder="1"/>
    <xf numFmtId="4" fontId="8" fillId="0" borderId="92" xfId="31" applyNumberFormat="1" applyFont="1" applyFill="1" applyBorder="1"/>
    <xf numFmtId="4" fontId="8" fillId="0" borderId="92" xfId="31" applyNumberFormat="1" applyFont="1" applyBorder="1"/>
    <xf numFmtId="0" fontId="7" fillId="0" borderId="160" xfId="0" applyFont="1" applyFill="1" applyBorder="1" applyAlignment="1">
      <alignment vertical="center" wrapText="1"/>
    </xf>
    <xf numFmtId="0" fontId="3" fillId="0" borderId="32" xfId="0" applyFont="1" applyBorder="1"/>
    <xf numFmtId="0" fontId="7" fillId="0" borderId="152" xfId="0" applyFont="1" applyFill="1" applyBorder="1" applyAlignment="1">
      <alignment horizontal="left"/>
    </xf>
    <xf numFmtId="0" fontId="6" fillId="0" borderId="152" xfId="0" applyFont="1" applyBorder="1" applyAlignment="1">
      <alignment horizontal="left"/>
    </xf>
    <xf numFmtId="49" fontId="8" fillId="0" borderId="152" xfId="31" applyNumberFormat="1" applyFont="1" applyFill="1" applyBorder="1" applyAlignment="1">
      <alignment horizontal="left"/>
    </xf>
    <xf numFmtId="49" fontId="7" fillId="0" borderId="89" xfId="31" applyNumberFormat="1" applyFont="1" applyFill="1" applyBorder="1" applyAlignment="1">
      <alignment horizontal="left"/>
    </xf>
    <xf numFmtId="0" fontId="0" fillId="0" borderId="30" xfId="0" applyBorder="1"/>
    <xf numFmtId="167" fontId="3" fillId="0" borderId="154" xfId="0" applyNumberFormat="1" applyFont="1" applyFill="1" applyBorder="1" applyAlignment="1">
      <alignment vertical="center"/>
    </xf>
    <xf numFmtId="167" fontId="3" fillId="0" borderId="38" xfId="0" quotePrefix="1" applyNumberFormat="1" applyFont="1" applyFill="1" applyBorder="1" applyAlignment="1">
      <alignment wrapText="1"/>
    </xf>
    <xf numFmtId="167" fontId="2" fillId="0" borderId="38" xfId="34" quotePrefix="1" applyNumberFormat="1" applyFill="1" applyBorder="1" applyAlignment="1">
      <alignment wrapText="1"/>
    </xf>
    <xf numFmtId="167" fontId="3" fillId="0" borderId="38" xfId="34" quotePrefix="1" applyNumberFormat="1" applyFont="1" applyFill="1" applyBorder="1" applyAlignment="1">
      <alignment wrapText="1"/>
    </xf>
    <xf numFmtId="167" fontId="2" fillId="0" borderId="38" xfId="34" applyNumberFormat="1" applyFill="1" applyBorder="1" applyAlignment="1"/>
    <xf numFmtId="167" fontId="3" fillId="0" borderId="38" xfId="34" applyNumberFormat="1" applyFont="1" applyFill="1" applyBorder="1" applyAlignment="1"/>
    <xf numFmtId="167" fontId="2" fillId="0" borderId="73" xfId="34" applyNumberFormat="1" applyFill="1" applyBorder="1" applyAlignment="1"/>
    <xf numFmtId="167" fontId="3" fillId="0" borderId="38" xfId="0" applyNumberFormat="1" applyFont="1" applyFill="1" applyBorder="1" applyAlignment="1"/>
    <xf numFmtId="167" fontId="0" fillId="0" borderId="38" xfId="0" applyNumberFormat="1" applyFill="1" applyBorder="1" applyAlignment="1"/>
    <xf numFmtId="167" fontId="4" fillId="0" borderId="38" xfId="0" applyNumberFormat="1" applyFont="1" applyFill="1" applyBorder="1" applyAlignment="1"/>
    <xf numFmtId="167" fontId="0" fillId="0" borderId="76" xfId="0" applyNumberFormat="1" applyFill="1" applyBorder="1" applyAlignment="1"/>
    <xf numFmtId="167" fontId="3" fillId="0" borderId="56" xfId="0" applyNumberFormat="1" applyFont="1" applyFill="1" applyBorder="1"/>
    <xf numFmtId="167" fontId="3" fillId="0" borderId="157" xfId="0" applyNumberFormat="1" applyFont="1" applyFill="1" applyBorder="1" applyAlignment="1">
      <alignment vertical="center"/>
    </xf>
    <xf numFmtId="167" fontId="3" fillId="0" borderId="152" xfId="0" quotePrefix="1" applyNumberFormat="1" applyFont="1" applyFill="1" applyBorder="1" applyAlignment="1">
      <alignment wrapText="1"/>
    </xf>
    <xf numFmtId="167" fontId="2" fillId="0" borderId="152" xfId="34" quotePrefix="1" applyNumberFormat="1" applyFill="1" applyBorder="1" applyAlignment="1">
      <alignment wrapText="1"/>
    </xf>
    <xf numFmtId="167" fontId="3" fillId="0" borderId="152" xfId="34" quotePrefix="1" applyNumberFormat="1" applyFont="1" applyFill="1" applyBorder="1" applyAlignment="1">
      <alignment wrapText="1"/>
    </xf>
    <xf numFmtId="167" fontId="3" fillId="0" borderId="152" xfId="33" applyNumberFormat="1" applyFont="1" applyFill="1" applyBorder="1" applyAlignment="1">
      <alignment vertical="center"/>
    </xf>
    <xf numFmtId="167" fontId="3" fillId="0" borderId="37" xfId="34" quotePrefix="1" applyNumberFormat="1" applyFont="1" applyFill="1" applyBorder="1" applyAlignment="1">
      <alignment wrapText="1"/>
    </xf>
    <xf numFmtId="167" fontId="4" fillId="0" borderId="152" xfId="34" quotePrefix="1" applyNumberFormat="1" applyFont="1" applyFill="1" applyBorder="1" applyAlignment="1">
      <alignment wrapText="1"/>
    </xf>
    <xf numFmtId="167" fontId="2" fillId="0" borderId="153" xfId="34" quotePrefix="1" applyNumberFormat="1" applyFill="1" applyBorder="1" applyAlignment="1">
      <alignment wrapText="1"/>
    </xf>
    <xf numFmtId="167" fontId="3" fillId="0" borderId="30" xfId="0" applyNumberFormat="1" applyFont="1" applyFill="1" applyBorder="1"/>
    <xf numFmtId="165" fontId="8" fillId="0" borderId="30" xfId="0" applyNumberFormat="1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8" fillId="0" borderId="94" xfId="0" applyFont="1" applyFill="1" applyBorder="1" applyAlignment="1">
      <alignment horizontal="left"/>
    </xf>
    <xf numFmtId="0" fontId="8" fillId="0" borderId="92" xfId="0" applyFont="1" applyFill="1" applyBorder="1" applyAlignment="1">
      <alignment horizontal="left"/>
    </xf>
    <xf numFmtId="4" fontId="7" fillId="0" borderId="92" xfId="31" applyNumberFormat="1" applyFont="1" applyFill="1" applyBorder="1" applyAlignment="1"/>
    <xf numFmtId="0" fontId="7" fillId="0" borderId="92" xfId="0" applyFont="1" applyFill="1" applyBorder="1" applyAlignment="1"/>
    <xf numFmtId="4" fontId="8" fillId="0" borderId="92" xfId="31" applyNumberFormat="1" applyFont="1" applyFill="1" applyBorder="1" applyAlignment="1"/>
    <xf numFmtId="4" fontId="8" fillId="0" borderId="92" xfId="31" applyNumberFormat="1" applyFont="1" applyFill="1" applyBorder="1" applyAlignment="1">
      <alignment vertical="center" wrapText="1"/>
    </xf>
    <xf numFmtId="0" fontId="8" fillId="0" borderId="92" xfId="0" applyFont="1" applyFill="1" applyBorder="1" applyAlignment="1"/>
    <xf numFmtId="0" fontId="8" fillId="0" borderId="92" xfId="0" applyFont="1" applyFill="1" applyBorder="1"/>
    <xf numFmtId="0" fontId="7" fillId="0" borderId="92" xfId="0" applyFont="1" applyFill="1" applyBorder="1" applyAlignment="1">
      <alignment vertical="center" wrapText="1"/>
    </xf>
    <xf numFmtId="0" fontId="8" fillId="0" borderId="83" xfId="0" applyFont="1" applyFill="1" applyBorder="1"/>
    <xf numFmtId="0" fontId="6" fillId="0" borderId="92" xfId="0" applyFont="1" applyFill="1" applyBorder="1" applyAlignment="1">
      <alignment vertical="center" wrapText="1"/>
    </xf>
    <xf numFmtId="4" fontId="8" fillId="0" borderId="0" xfId="31" applyNumberFormat="1" applyFont="1" applyBorder="1"/>
    <xf numFmtId="4" fontId="7" fillId="0" borderId="92" xfId="31" applyNumberFormat="1" applyFont="1" applyFill="1" applyBorder="1"/>
    <xf numFmtId="0" fontId="7" fillId="0" borderId="96" xfId="0" applyFont="1" applyFill="1" applyBorder="1" applyAlignment="1">
      <alignment vertical="center" wrapText="1"/>
    </xf>
    <xf numFmtId="0" fontId="8" fillId="0" borderId="157" xfId="0" applyFont="1" applyFill="1" applyBorder="1" applyAlignment="1">
      <alignment horizontal="left"/>
    </xf>
    <xf numFmtId="0" fontId="8" fillId="0" borderId="152" xfId="0" applyFont="1" applyFill="1" applyBorder="1" applyAlignment="1">
      <alignment horizontal="left"/>
    </xf>
    <xf numFmtId="49" fontId="7" fillId="0" borderId="152" xfId="31" applyNumberFormat="1" applyFont="1" applyFill="1" applyBorder="1" applyAlignment="1">
      <alignment horizontal="left"/>
    </xf>
    <xf numFmtId="0" fontId="8" fillId="0" borderId="37" xfId="0" applyFont="1" applyFill="1" applyBorder="1" applyAlignment="1">
      <alignment horizontal="left"/>
    </xf>
    <xf numFmtId="0" fontId="7" fillId="0" borderId="153" xfId="0" applyFont="1" applyFill="1" applyBorder="1" applyAlignment="1">
      <alignment horizontal="left"/>
    </xf>
    <xf numFmtId="0" fontId="0" fillId="0" borderId="30" xfId="0" applyFill="1" applyBorder="1"/>
    <xf numFmtId="4" fontId="4" fillId="0" borderId="43" xfId="31" applyNumberFormat="1" applyFont="1" applyFill="1" applyBorder="1"/>
    <xf numFmtId="164" fontId="3" fillId="0" borderId="24" xfId="37" applyNumberFormat="1" applyFont="1" applyFill="1" applyBorder="1" applyAlignment="1">
      <alignment horizontal="center" wrapText="1"/>
    </xf>
    <xf numFmtId="167" fontId="3" fillId="0" borderId="24" xfId="31" applyNumberFormat="1" applyFont="1" applyFill="1" applyBorder="1" applyAlignment="1">
      <alignment horizontal="right"/>
    </xf>
    <xf numFmtId="49" fontId="4" fillId="0" borderId="24" xfId="0" applyNumberFormat="1" applyFont="1" applyFill="1" applyBorder="1" applyAlignment="1">
      <alignment horizontal="left"/>
    </xf>
    <xf numFmtId="0" fontId="3" fillId="26" borderId="56" xfId="0" applyFont="1" applyFill="1" applyBorder="1" applyAlignment="1">
      <alignment horizontal="left" vertical="center" wrapText="1"/>
    </xf>
    <xf numFmtId="164" fontId="3" fillId="26" borderId="53" xfId="37" applyNumberFormat="1" applyFont="1" applyFill="1" applyBorder="1" applyAlignment="1">
      <alignment horizontal="center" wrapText="1"/>
    </xf>
    <xf numFmtId="164" fontId="3" fillId="26" borderId="54" xfId="37" applyNumberFormat="1" applyFont="1" applyFill="1" applyBorder="1" applyAlignment="1">
      <alignment horizontal="center" wrapText="1"/>
    </xf>
    <xf numFmtId="164" fontId="3" fillId="26" borderId="55" xfId="37" applyNumberFormat="1" applyFont="1" applyFill="1" applyBorder="1" applyAlignment="1">
      <alignment horizontal="center" wrapText="1"/>
    </xf>
    <xf numFmtId="164" fontId="3" fillId="0" borderId="47" xfId="37" applyNumberFormat="1" applyFont="1" applyFill="1" applyBorder="1" applyAlignment="1">
      <alignment horizontal="center" wrapText="1"/>
    </xf>
    <xf numFmtId="4" fontId="4" fillId="0" borderId="42" xfId="31" applyNumberFormat="1" applyFont="1" applyBorder="1"/>
    <xf numFmtId="4" fontId="3" fillId="26" borderId="43" xfId="31" applyNumberFormat="1" applyFont="1" applyFill="1" applyBorder="1"/>
    <xf numFmtId="4" fontId="4" fillId="0" borderId="43" xfId="31" quotePrefix="1" applyNumberFormat="1" applyFont="1" applyFill="1" applyBorder="1"/>
    <xf numFmtId="4" fontId="4" fillId="0" borderId="43" xfId="31" applyNumberFormat="1" applyFont="1" applyFill="1" applyBorder="1" applyAlignment="1">
      <alignment vertical="center" wrapText="1"/>
    </xf>
    <xf numFmtId="4" fontId="2" fillId="0" borderId="43" xfId="31" applyNumberFormat="1" applyFont="1" applyFill="1" applyBorder="1"/>
    <xf numFmtId="4" fontId="3" fillId="0" borderId="56" xfId="31" applyNumberFormat="1" applyFont="1" applyBorder="1"/>
    <xf numFmtId="0" fontId="55" fillId="0" borderId="47" xfId="0" applyFont="1" applyBorder="1" applyAlignment="1">
      <alignment horizontal="center" wrapText="1"/>
    </xf>
    <xf numFmtId="174" fontId="4" fillId="0" borderId="148" xfId="31" applyNumberFormat="1" applyFont="1" applyBorder="1"/>
    <xf numFmtId="174" fontId="4" fillId="0" borderId="149" xfId="31" applyNumberFormat="1" applyFont="1" applyBorder="1"/>
    <xf numFmtId="174" fontId="4" fillId="0" borderId="149" xfId="31" applyNumberFormat="1" applyFont="1" applyBorder="1" applyAlignment="1">
      <alignment vertical="center"/>
    </xf>
    <xf numFmtId="174" fontId="3" fillId="0" borderId="149" xfId="37" applyNumberFormat="1" applyFont="1" applyBorder="1" applyAlignment="1">
      <alignment horizontal="center" wrapText="1"/>
    </xf>
    <xf numFmtId="174" fontId="3" fillId="0" borderId="149" xfId="31" applyNumberFormat="1" applyFont="1" applyBorder="1" applyAlignment="1">
      <alignment horizontal="right"/>
    </xf>
    <xf numFmtId="174" fontId="4" fillId="0" borderId="149" xfId="31" applyNumberFormat="1" applyFont="1" applyBorder="1" applyAlignment="1">
      <alignment horizontal="right"/>
    </xf>
    <xf numFmtId="174" fontId="3" fillId="0" borderId="99" xfId="31" applyNumberFormat="1" applyFont="1" applyBorder="1" applyAlignment="1">
      <alignment horizontal="right"/>
    </xf>
    <xf numFmtId="174" fontId="4" fillId="0" borderId="25" xfId="31" applyNumberFormat="1" applyFont="1" applyFill="1" applyBorder="1"/>
    <xf numFmtId="174" fontId="3" fillId="0" borderId="24" xfId="31" applyNumberFormat="1" applyFont="1" applyFill="1" applyBorder="1"/>
    <xf numFmtId="174" fontId="4" fillId="0" borderId="24" xfId="31" applyNumberFormat="1" applyFont="1" applyFill="1" applyBorder="1"/>
    <xf numFmtId="174" fontId="3" fillId="26" borderId="24" xfId="31" applyNumberFormat="1" applyFont="1" applyFill="1" applyBorder="1" applyAlignment="1">
      <alignment horizontal="right"/>
    </xf>
    <xf numFmtId="174" fontId="4" fillId="0" borderId="24" xfId="31" applyNumberFormat="1" applyFont="1" applyFill="1" applyBorder="1" applyAlignment="1">
      <alignment horizontal="right"/>
    </xf>
    <xf numFmtId="174" fontId="3" fillId="0" borderId="24" xfId="31" applyNumberFormat="1" applyFont="1" applyFill="1" applyBorder="1" applyAlignment="1">
      <alignment horizontal="right"/>
    </xf>
    <xf numFmtId="174" fontId="3" fillId="0" borderId="53" xfId="31" applyNumberFormat="1" applyFont="1" applyFill="1" applyBorder="1" applyAlignment="1">
      <alignment horizontal="right"/>
    </xf>
    <xf numFmtId="0" fontId="3" fillId="0" borderId="66" xfId="0" applyFont="1" applyBorder="1" applyAlignment="1">
      <alignment horizontal="left"/>
    </xf>
    <xf numFmtId="49" fontId="3" fillId="26" borderId="24" xfId="0" applyNumberFormat="1" applyFont="1" applyFill="1" applyBorder="1" applyAlignment="1">
      <alignment horizontal="left"/>
    </xf>
    <xf numFmtId="0" fontId="48" fillId="26" borderId="30" xfId="0" applyFont="1" applyFill="1" applyBorder="1" applyAlignment="1">
      <alignment horizontal="center" wrapText="1"/>
    </xf>
    <xf numFmtId="0" fontId="48" fillId="0" borderId="30" xfId="0" applyFont="1" applyBorder="1" applyAlignment="1">
      <alignment horizontal="center" wrapText="1"/>
    </xf>
    <xf numFmtId="0" fontId="48" fillId="0" borderId="53" xfId="0" applyFont="1" applyBorder="1" applyAlignment="1">
      <alignment horizontal="center" wrapText="1"/>
    </xf>
    <xf numFmtId="0" fontId="8" fillId="0" borderId="20" xfId="0" applyFont="1" applyBorder="1" applyAlignment="1">
      <alignment horizontal="left"/>
    </xf>
    <xf numFmtId="49" fontId="7" fillId="0" borderId="20" xfId="31" applyNumberFormat="1" applyFont="1" applyFill="1" applyBorder="1" applyAlignment="1">
      <alignment horizontal="left"/>
    </xf>
    <xf numFmtId="0" fontId="7" fillId="0" borderId="20" xfId="0" applyFont="1" applyBorder="1" applyAlignment="1">
      <alignment horizontal="left"/>
    </xf>
    <xf numFmtId="49" fontId="8" fillId="0" borderId="20" xfId="31" applyNumberFormat="1" applyFont="1" applyFill="1" applyBorder="1" applyAlignment="1">
      <alignment horizontal="left"/>
    </xf>
    <xf numFmtId="49" fontId="8" fillId="0" borderId="20" xfId="31" applyNumberFormat="1" applyFont="1" applyBorder="1" applyAlignment="1">
      <alignment horizontal="left"/>
    </xf>
    <xf numFmtId="49" fontId="7" fillId="0" borderId="20" xfId="31" applyNumberFormat="1" applyFont="1" applyBorder="1" applyAlignment="1">
      <alignment horizontal="left"/>
    </xf>
    <xf numFmtId="49" fontId="2" fillId="0" borderId="66" xfId="31" applyNumberForma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4" fontId="7" fillId="0" borderId="34" xfId="31" applyNumberFormat="1" applyFont="1" applyFill="1" applyBorder="1" applyAlignment="1"/>
    <xf numFmtId="4" fontId="8" fillId="0" borderId="34" xfId="31" applyNumberFormat="1" applyFont="1" applyFill="1" applyBorder="1" applyAlignment="1"/>
    <xf numFmtId="0" fontId="7" fillId="0" borderId="34" xfId="0" applyFont="1" applyBorder="1" applyAlignment="1"/>
    <xf numFmtId="0" fontId="8" fillId="0" borderId="34" xfId="0" applyFont="1" applyBorder="1" applyAlignment="1">
      <alignment vertical="justify" wrapText="1"/>
    </xf>
    <xf numFmtId="0" fontId="8" fillId="0" borderId="34" xfId="0" applyFont="1" applyBorder="1" applyAlignment="1"/>
    <xf numFmtId="0" fontId="7" fillId="0" borderId="34" xfId="0" applyFont="1" applyBorder="1"/>
    <xf numFmtId="0" fontId="8" fillId="0" borderId="34" xfId="0" applyFont="1" applyBorder="1"/>
    <xf numFmtId="0" fontId="6" fillId="0" borderId="34" xfId="0" applyFont="1" applyBorder="1"/>
    <xf numFmtId="0" fontId="8" fillId="0" borderId="34" xfId="0" applyFont="1" applyFill="1" applyBorder="1"/>
    <xf numFmtId="4" fontId="8" fillId="0" borderId="34" xfId="31" applyNumberFormat="1" applyFont="1" applyBorder="1"/>
    <xf numFmtId="4" fontId="7" fillId="0" borderId="34" xfId="31" applyNumberFormat="1" applyFont="1" applyBorder="1"/>
    <xf numFmtId="4" fontId="3" fillId="0" borderId="30" xfId="31" applyNumberFormat="1" applyFont="1" applyBorder="1" applyAlignment="1">
      <alignment horizontal="center"/>
    </xf>
    <xf numFmtId="0" fontId="7" fillId="0" borderId="50" xfId="0" applyFont="1" applyBorder="1" applyAlignment="1">
      <alignment horizontal="left"/>
    </xf>
    <xf numFmtId="0" fontId="7" fillId="0" borderId="37" xfId="0" applyFont="1" applyBorder="1"/>
    <xf numFmtId="0" fontId="2" fillId="0" borderId="0" xfId="0" applyFont="1" applyFill="1"/>
    <xf numFmtId="0" fontId="52" fillId="0" borderId="38" xfId="0" applyFont="1" applyFill="1" applyBorder="1"/>
    <xf numFmtId="0" fontId="13" fillId="0" borderId="26" xfId="0" applyFont="1" applyFill="1" applyBorder="1" applyAlignment="1">
      <alignment horizontal="center" vertical="center" wrapText="1"/>
    </xf>
    <xf numFmtId="165" fontId="0" fillId="26" borderId="0" xfId="0" applyNumberFormat="1" applyFill="1"/>
    <xf numFmtId="164" fontId="0" fillId="0" borderId="0" xfId="37" applyFont="1" applyAlignment="1">
      <alignment horizontal="left"/>
    </xf>
    <xf numFmtId="0" fontId="8" fillId="0" borderId="34" xfId="0" applyFont="1" applyBorder="1" applyAlignment="1">
      <alignment wrapText="1"/>
    </xf>
    <xf numFmtId="164" fontId="4" fillId="0" borderId="39" xfId="37" applyFont="1" applyFill="1" applyBorder="1" applyAlignment="1">
      <alignment horizontal="center"/>
    </xf>
    <xf numFmtId="164" fontId="4" fillId="26" borderId="17" xfId="37" applyFont="1" applyFill="1" applyBorder="1" applyAlignment="1">
      <alignment horizontal="center"/>
    </xf>
    <xf numFmtId="164" fontId="4" fillId="26" borderId="18" xfId="37" applyFont="1" applyFill="1" applyBorder="1" applyAlignment="1">
      <alignment horizontal="center"/>
    </xf>
    <xf numFmtId="164" fontId="4" fillId="0" borderId="19" xfId="37" applyFont="1" applyFill="1" applyBorder="1" applyAlignment="1">
      <alignment horizontal="center"/>
    </xf>
    <xf numFmtId="164" fontId="4" fillId="0" borderId="49" xfId="37" applyFont="1" applyFill="1" applyBorder="1" applyAlignment="1">
      <alignment horizontal="center"/>
    </xf>
    <xf numFmtId="164" fontId="4" fillId="0" borderId="12" xfId="37" applyFont="1" applyFill="1" applyBorder="1" applyAlignment="1">
      <alignment horizontal="center"/>
    </xf>
    <xf numFmtId="164" fontId="4" fillId="0" borderId="10" xfId="37" applyFont="1" applyFill="1" applyBorder="1" applyAlignment="1">
      <alignment horizontal="center"/>
    </xf>
    <xf numFmtId="164" fontId="4" fillId="0" borderId="13" xfId="37" applyFont="1" applyFill="1" applyBorder="1" applyAlignment="1">
      <alignment horizontal="center"/>
    </xf>
    <xf numFmtId="164" fontId="4" fillId="26" borderId="10" xfId="37" applyFont="1" applyFill="1" applyBorder="1" applyAlignment="1">
      <alignment horizontal="center"/>
    </xf>
    <xf numFmtId="164" fontId="4" fillId="0" borderId="40" xfId="37" applyFont="1" applyFill="1" applyBorder="1" applyAlignment="1">
      <alignment horizontal="center"/>
    </xf>
    <xf numFmtId="164" fontId="3" fillId="0" borderId="53" xfId="37" applyFont="1" applyFill="1" applyBorder="1" applyAlignment="1">
      <alignment horizontal="center"/>
    </xf>
    <xf numFmtId="164" fontId="3" fillId="0" borderId="54" xfId="37" applyFont="1" applyFill="1" applyBorder="1" applyAlignment="1">
      <alignment horizontal="center"/>
    </xf>
    <xf numFmtId="164" fontId="3" fillId="0" borderId="55" xfId="37" applyFont="1" applyFill="1" applyBorder="1" applyAlignment="1">
      <alignment horizontal="center"/>
    </xf>
    <xf numFmtId="164" fontId="3" fillId="0" borderId="47" xfId="37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left"/>
    </xf>
    <xf numFmtId="164" fontId="2" fillId="0" borderId="0" xfId="37" applyFont="1"/>
    <xf numFmtId="4" fontId="3" fillId="0" borderId="0" xfId="31" applyNumberFormat="1" applyFont="1" applyBorder="1" applyAlignment="1">
      <alignment horizontal="left"/>
    </xf>
    <xf numFmtId="0" fontId="58" fillId="0" borderId="121" xfId="0" applyFont="1" applyFill="1" applyBorder="1" applyAlignment="1">
      <alignment horizontal="left"/>
    </xf>
    <xf numFmtId="0" fontId="58" fillId="0" borderId="128" xfId="0" applyFont="1" applyFill="1" applyBorder="1" applyAlignment="1">
      <alignment horizontal="left"/>
    </xf>
    <xf numFmtId="0" fontId="58" fillId="0" borderId="91" xfId="0" applyFont="1" applyFill="1" applyBorder="1" applyAlignment="1">
      <alignment horizontal="left"/>
    </xf>
    <xf numFmtId="0" fontId="58" fillId="0" borderId="129" xfId="0" applyFont="1" applyFill="1" applyBorder="1" applyAlignment="1">
      <alignment horizontal="left"/>
    </xf>
    <xf numFmtId="49" fontId="59" fillId="0" borderId="91" xfId="31" applyNumberFormat="1" applyFont="1" applyFill="1" applyBorder="1" applyAlignment="1">
      <alignment horizontal="left"/>
    </xf>
    <xf numFmtId="4" fontId="59" fillId="0" borderId="129" xfId="31" applyNumberFormat="1" applyFont="1" applyFill="1" applyBorder="1" applyAlignment="1"/>
    <xf numFmtId="0" fontId="59" fillId="0" borderId="91" xfId="0" applyFont="1" applyFill="1" applyBorder="1" applyAlignment="1">
      <alignment horizontal="left"/>
    </xf>
    <xf numFmtId="0" fontId="59" fillId="0" borderId="129" xfId="0" applyFont="1" applyFill="1" applyBorder="1" applyAlignment="1"/>
    <xf numFmtId="49" fontId="58" fillId="0" borderId="91" xfId="31" applyNumberFormat="1" applyFont="1" applyFill="1" applyBorder="1" applyAlignment="1">
      <alignment horizontal="left"/>
    </xf>
    <xf numFmtId="4" fontId="58" fillId="0" borderId="129" xfId="31" applyNumberFormat="1" applyFont="1" applyFill="1" applyBorder="1" applyAlignment="1"/>
    <xf numFmtId="0" fontId="58" fillId="0" borderId="129" xfId="0" applyFont="1" applyFill="1" applyBorder="1" applyAlignment="1"/>
    <xf numFmtId="0" fontId="59" fillId="0" borderId="129" xfId="0" applyFont="1" applyFill="1" applyBorder="1"/>
    <xf numFmtId="0" fontId="58" fillId="0" borderId="129" xfId="0" applyFont="1" applyFill="1" applyBorder="1"/>
    <xf numFmtId="0" fontId="58" fillId="0" borderId="91" xfId="0" applyFont="1" applyBorder="1" applyAlignment="1">
      <alignment horizontal="left"/>
    </xf>
    <xf numFmtId="0" fontId="58" fillId="0" borderId="129" xfId="0" applyFont="1" applyBorder="1"/>
    <xf numFmtId="0" fontId="59" fillId="0" borderId="91" xfId="0" applyFont="1" applyBorder="1" applyAlignment="1">
      <alignment horizontal="left"/>
    </xf>
    <xf numFmtId="0" fontId="59" fillId="0" borderId="129" xfId="0" applyFont="1" applyBorder="1"/>
    <xf numFmtId="4" fontId="58" fillId="0" borderId="129" xfId="31" applyNumberFormat="1" applyFont="1" applyFill="1" applyBorder="1"/>
    <xf numFmtId="4" fontId="59" fillId="0" borderId="129" xfId="31" applyNumberFormat="1" applyFont="1" applyFill="1" applyBorder="1"/>
    <xf numFmtId="171" fontId="2" fillId="0" borderId="0" xfId="31" applyNumberFormat="1" applyFont="1" applyFill="1"/>
    <xf numFmtId="164" fontId="53" fillId="0" borderId="0" xfId="37" applyFont="1" applyFill="1"/>
    <xf numFmtId="164" fontId="17" fillId="0" borderId="31" xfId="37" applyFont="1" applyBorder="1" applyAlignment="1">
      <alignment horizontal="center"/>
    </xf>
    <xf numFmtId="164" fontId="21" fillId="0" borderId="30" xfId="37" applyFont="1" applyBorder="1" applyAlignment="1">
      <alignment horizontal="center" vertical="center" wrapText="1"/>
    </xf>
    <xf numFmtId="164" fontId="9" fillId="0" borderId="33" xfId="37" applyFont="1" applyFill="1" applyBorder="1"/>
    <xf numFmtId="164" fontId="3" fillId="0" borderId="33" xfId="37" applyFont="1" applyBorder="1"/>
    <xf numFmtId="164" fontId="3" fillId="0" borderId="23" xfId="37" applyFont="1" applyBorder="1"/>
    <xf numFmtId="164" fontId="2" fillId="0" borderId="34" xfId="37" applyBorder="1"/>
    <xf numFmtId="164" fontId="2" fillId="0" borderId="23" xfId="37" applyBorder="1"/>
    <xf numFmtId="164" fontId="2" fillId="0" borderId="0" xfId="37" applyBorder="1"/>
    <xf numFmtId="164" fontId="4" fillId="0" borderId="37" xfId="37" applyFont="1" applyBorder="1"/>
    <xf numFmtId="164" fontId="2" fillId="0" borderId="37" xfId="37" applyBorder="1"/>
    <xf numFmtId="164" fontId="2" fillId="0" borderId="49" xfId="37" applyBorder="1"/>
    <xf numFmtId="164" fontId="4" fillId="0" borderId="23" xfId="37" applyFont="1" applyFill="1" applyBorder="1"/>
    <xf numFmtId="164" fontId="3" fillId="0" borderId="47" xfId="37" applyFont="1" applyBorder="1"/>
    <xf numFmtId="164" fontId="2" fillId="0" borderId="0" xfId="37"/>
    <xf numFmtId="164" fontId="2" fillId="0" borderId="0" xfId="37" applyFont="1" applyBorder="1"/>
    <xf numFmtId="49" fontId="53" fillId="0" borderId="0" xfId="31" applyNumberFormat="1" applyFont="1" applyAlignment="1">
      <alignment horizontal="left"/>
    </xf>
    <xf numFmtId="4" fontId="53" fillId="0" borderId="0" xfId="31" applyNumberFormat="1" applyFont="1"/>
    <xf numFmtId="164" fontId="53" fillId="0" borderId="0" xfId="37" applyFont="1"/>
    <xf numFmtId="164" fontId="53" fillId="0" borderId="0" xfId="37" applyFont="1" applyBorder="1"/>
    <xf numFmtId="165" fontId="53" fillId="0" borderId="0" xfId="33" applyFont="1" applyFill="1"/>
    <xf numFmtId="8" fontId="4" fillId="0" borderId="12" xfId="0" applyNumberFormat="1" applyFont="1" applyFill="1" applyBorder="1" applyAlignment="1">
      <alignment horizontal="center"/>
    </xf>
    <xf numFmtId="8" fontId="3" fillId="0" borderId="12" xfId="0" applyNumberFormat="1" applyFont="1" applyFill="1" applyBorder="1" applyAlignment="1">
      <alignment horizontal="center"/>
    </xf>
    <xf numFmtId="8" fontId="3" fillId="0" borderId="14" xfId="0" applyNumberFormat="1" applyFont="1" applyFill="1" applyBorder="1" applyAlignment="1">
      <alignment horizontal="center"/>
    </xf>
    <xf numFmtId="8" fontId="3" fillId="0" borderId="15" xfId="0" applyNumberFormat="1" applyFont="1" applyFill="1" applyBorder="1" applyAlignment="1">
      <alignment horizontal="center"/>
    </xf>
    <xf numFmtId="0" fontId="60" fillId="0" borderId="0" xfId="0" applyFont="1" applyFill="1"/>
    <xf numFmtId="165" fontId="60" fillId="0" borderId="0" xfId="0" applyNumberFormat="1" applyFont="1" applyFill="1"/>
    <xf numFmtId="164" fontId="60" fillId="0" borderId="0" xfId="0" applyNumberFormat="1" applyFont="1" applyFill="1"/>
    <xf numFmtId="4" fontId="60" fillId="0" borderId="0" xfId="31" applyNumberFormat="1" applyFont="1" applyFill="1"/>
    <xf numFmtId="171" fontId="60" fillId="0" borderId="0" xfId="31" applyNumberFormat="1" applyFont="1" applyFill="1"/>
    <xf numFmtId="49" fontId="60" fillId="0" borderId="0" xfId="31" applyNumberFormat="1" applyFont="1" applyAlignment="1">
      <alignment horizontal="left"/>
    </xf>
    <xf numFmtId="4" fontId="60" fillId="0" borderId="0" xfId="31" applyNumberFormat="1" applyFont="1"/>
    <xf numFmtId="164" fontId="0" fillId="0" borderId="0" xfId="0" applyNumberFormat="1" applyFill="1"/>
    <xf numFmtId="174" fontId="0" fillId="0" borderId="0" xfId="0" applyNumberFormat="1" applyFill="1" applyAlignment="1">
      <alignment horizontal="center"/>
    </xf>
    <xf numFmtId="174" fontId="8" fillId="0" borderId="30" xfId="0" applyNumberFormat="1" applyFont="1" applyFill="1" applyBorder="1" applyAlignment="1">
      <alignment horizontal="center" wrapText="1"/>
    </xf>
    <xf numFmtId="174" fontId="3" fillId="0" borderId="17" xfId="33" applyNumberFormat="1" applyFont="1" applyFill="1" applyBorder="1" applyAlignment="1">
      <alignment vertical="center"/>
    </xf>
    <xf numFmtId="174" fontId="3" fillId="0" borderId="12" xfId="37" applyNumberFormat="1" applyFont="1" applyFill="1" applyBorder="1" applyAlignment="1">
      <alignment vertical="center"/>
    </xf>
    <xf numFmtId="174" fontId="4" fillId="0" borderId="12" xfId="37" applyNumberFormat="1" applyFont="1" applyFill="1" applyBorder="1" applyAlignment="1">
      <alignment vertical="center"/>
    </xf>
    <xf numFmtId="174" fontId="3" fillId="0" borderId="12" xfId="37" applyNumberFormat="1" applyFont="1" applyFill="1" applyBorder="1" applyAlignment="1"/>
    <xf numFmtId="174" fontId="2" fillId="0" borderId="12" xfId="37" applyNumberFormat="1" applyFill="1" applyBorder="1" applyAlignment="1"/>
    <xf numFmtId="174" fontId="3" fillId="0" borderId="67" xfId="37" applyNumberFormat="1" applyFont="1" applyFill="1" applyBorder="1" applyAlignment="1"/>
    <xf numFmtId="174" fontId="3" fillId="0" borderId="48" xfId="37" applyNumberFormat="1" applyFont="1" applyFill="1" applyBorder="1" applyAlignment="1"/>
    <xf numFmtId="174" fontId="2" fillId="0" borderId="48" xfId="37" applyNumberFormat="1" applyFill="1" applyBorder="1" applyAlignment="1"/>
    <xf numFmtId="174" fontId="4" fillId="0" borderId="12" xfId="37" applyNumberFormat="1" applyFont="1" applyFill="1" applyBorder="1" applyAlignment="1"/>
    <xf numFmtId="174" fontId="8" fillId="0" borderId="12" xfId="37" applyNumberFormat="1" applyFont="1" applyFill="1" applyBorder="1" applyAlignment="1">
      <alignment vertical="center" wrapText="1"/>
    </xf>
    <xf numFmtId="174" fontId="7" fillId="0" borderId="51" xfId="37" applyNumberFormat="1" applyFont="1" applyFill="1" applyBorder="1" applyAlignment="1">
      <alignment vertical="center" wrapText="1"/>
    </xf>
    <xf numFmtId="174" fontId="3" fillId="0" borderId="53" xfId="37" applyNumberFormat="1" applyFont="1" applyFill="1" applyBorder="1"/>
    <xf numFmtId="174" fontId="60" fillId="0" borderId="0" xfId="0" applyNumberFormat="1" applyFont="1" applyFill="1"/>
    <xf numFmtId="0" fontId="3" fillId="0" borderId="77" xfId="0" applyFont="1" applyFill="1" applyBorder="1" applyAlignment="1">
      <alignment horizontal="center" vertical="center" wrapText="1"/>
    </xf>
    <xf numFmtId="0" fontId="4" fillId="25" borderId="10" xfId="0" applyFont="1" applyFill="1" applyBorder="1" applyAlignment="1">
      <alignment vertical="center"/>
    </xf>
    <xf numFmtId="0" fontId="0" fillId="25" borderId="10" xfId="0" applyFill="1" applyBorder="1" applyAlignment="1">
      <alignment vertical="center"/>
    </xf>
    <xf numFmtId="0" fontId="3" fillId="0" borderId="48" xfId="0" applyFont="1" applyFill="1" applyBorder="1" applyAlignment="1"/>
    <xf numFmtId="0" fontId="3" fillId="0" borderId="36" xfId="0" applyFont="1" applyFill="1" applyBorder="1" applyAlignment="1"/>
    <xf numFmtId="0" fontId="3" fillId="0" borderId="97" xfId="0" applyFont="1" applyFill="1" applyBorder="1" applyAlignment="1"/>
    <xf numFmtId="0" fontId="3" fillId="0" borderId="94" xfId="0" applyFont="1" applyFill="1" applyBorder="1" applyAlignment="1"/>
    <xf numFmtId="0" fontId="3" fillId="0" borderId="92" xfId="0" applyFont="1" applyFill="1" applyBorder="1" applyAlignment="1"/>
    <xf numFmtId="0" fontId="3" fillId="0" borderId="168" xfId="0" applyFont="1" applyFill="1" applyBorder="1" applyAlignment="1">
      <alignment horizontal="center" vertical="center" wrapText="1"/>
    </xf>
    <xf numFmtId="173" fontId="3" fillId="0" borderId="92" xfId="0" applyNumberFormat="1" applyFont="1" applyFill="1" applyBorder="1"/>
    <xf numFmtId="173" fontId="3" fillId="0" borderId="157" xfId="0" applyNumberFormat="1" applyFont="1" applyFill="1" applyBorder="1"/>
    <xf numFmtId="173" fontId="4" fillId="0" borderId="77" xfId="0" applyNumberFormat="1" applyFont="1" applyFill="1" applyBorder="1"/>
    <xf numFmtId="0" fontId="4" fillId="0" borderId="92" xfId="0" applyFont="1" applyFill="1" applyBorder="1" applyAlignment="1">
      <alignment vertical="center" wrapText="1"/>
    </xf>
    <xf numFmtId="0" fontId="4" fillId="0" borderId="96" xfId="0" applyFont="1" applyFill="1" applyBorder="1" applyAlignment="1">
      <alignment vertical="center" wrapText="1"/>
    </xf>
    <xf numFmtId="164" fontId="4" fillId="0" borderId="50" xfId="37" applyFont="1" applyFill="1" applyBorder="1" applyAlignment="1">
      <alignment horizontal="center"/>
    </xf>
    <xf numFmtId="164" fontId="4" fillId="0" borderId="48" xfId="37" applyFont="1" applyFill="1" applyBorder="1" applyAlignment="1">
      <alignment horizontal="center"/>
    </xf>
    <xf numFmtId="164" fontId="4" fillId="0" borderId="95" xfId="37" applyFont="1" applyFill="1" applyBorder="1" applyAlignment="1">
      <alignment horizontal="center"/>
    </xf>
    <xf numFmtId="164" fontId="4" fillId="0" borderId="151" xfId="37" applyFont="1" applyFill="1" applyBorder="1" applyAlignment="1">
      <alignment horizontal="center"/>
    </xf>
    <xf numFmtId="164" fontId="4" fillId="0" borderId="164" xfId="37" applyFont="1" applyFill="1" applyBorder="1" applyAlignment="1">
      <alignment horizontal="center"/>
    </xf>
    <xf numFmtId="164" fontId="4" fillId="0" borderId="15" xfId="37" applyFont="1" applyFill="1" applyBorder="1" applyAlignment="1">
      <alignment horizontal="center"/>
    </xf>
    <xf numFmtId="0" fontId="2" fillId="0" borderId="83" xfId="0" applyFont="1" applyFill="1" applyBorder="1" applyAlignment="1">
      <alignment vertical="center" wrapText="1"/>
    </xf>
    <xf numFmtId="0" fontId="2" fillId="0" borderId="92" xfId="0" applyFont="1" applyFill="1" applyBorder="1" applyAlignment="1">
      <alignment vertical="center" wrapText="1"/>
    </xf>
    <xf numFmtId="0" fontId="4" fillId="0" borderId="157" xfId="0" applyFont="1" applyFill="1" applyBorder="1" applyAlignment="1">
      <alignment vertical="center" wrapText="1"/>
    </xf>
    <xf numFmtId="0" fontId="4" fillId="0" borderId="152" xfId="0" applyFont="1" applyFill="1" applyBorder="1" applyAlignment="1">
      <alignment vertical="center" wrapText="1"/>
    </xf>
    <xf numFmtId="0" fontId="2" fillId="0" borderId="152" xfId="0" applyFont="1" applyFill="1" applyBorder="1" applyAlignment="1">
      <alignment vertical="center" wrapText="1"/>
    </xf>
    <xf numFmtId="0" fontId="2" fillId="0" borderId="89" xfId="0" applyFont="1" applyFill="1" applyBorder="1" applyAlignment="1">
      <alignment vertical="center" wrapText="1"/>
    </xf>
    <xf numFmtId="164" fontId="3" fillId="0" borderId="56" xfId="37" applyFont="1" applyFill="1" applyBorder="1" applyAlignment="1">
      <alignment horizontal="center"/>
    </xf>
    <xf numFmtId="10" fontId="8" fillId="0" borderId="17" xfId="0" applyNumberFormat="1" applyFont="1" applyFill="1" applyBorder="1" applyAlignment="1">
      <alignment horizontal="center" vertical="center"/>
    </xf>
    <xf numFmtId="10" fontId="8" fillId="0" borderId="18" xfId="0" applyNumberFormat="1" applyFont="1" applyFill="1" applyBorder="1" applyAlignment="1">
      <alignment horizontal="center" vertical="center"/>
    </xf>
    <xf numFmtId="10" fontId="8" fillId="0" borderId="12" xfId="0" applyNumberFormat="1" applyFont="1" applyFill="1" applyBorder="1" applyAlignment="1">
      <alignment horizontal="center" vertical="center"/>
    </xf>
    <xf numFmtId="9" fontId="8" fillId="0" borderId="10" xfId="0" applyNumberFormat="1" applyFont="1" applyFill="1" applyBorder="1" applyAlignment="1">
      <alignment horizontal="center" vertical="center"/>
    </xf>
    <xf numFmtId="10" fontId="8" fillId="0" borderId="14" xfId="0" applyNumberFormat="1" applyFont="1" applyFill="1" applyBorder="1" applyAlignment="1">
      <alignment horizontal="center" vertical="center"/>
    </xf>
    <xf numFmtId="10" fontId="8" fillId="0" borderId="77" xfId="0" applyNumberFormat="1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4" fontId="4" fillId="0" borderId="0" xfId="0" applyNumberFormat="1" applyFont="1" applyFill="1"/>
    <xf numFmtId="164" fontId="2" fillId="0" borderId="154" xfId="37" applyFont="1" applyFill="1" applyBorder="1" applyAlignment="1">
      <alignment horizontal="center"/>
    </xf>
    <xf numFmtId="164" fontId="2" fillId="0" borderId="38" xfId="37" applyFont="1" applyFill="1" applyBorder="1" applyAlignment="1">
      <alignment horizontal="center"/>
    </xf>
    <xf numFmtId="164" fontId="2" fillId="0" borderId="76" xfId="37" applyFont="1" applyFill="1" applyBorder="1" applyAlignment="1">
      <alignment horizontal="center"/>
    </xf>
    <xf numFmtId="49" fontId="4" fillId="0" borderId="38" xfId="0" applyNumberFormat="1" applyFont="1" applyFill="1" applyBorder="1" applyAlignment="1">
      <alignment horizontal="center"/>
    </xf>
    <xf numFmtId="8" fontId="3" fillId="0" borderId="28" xfId="0" applyNumberFormat="1" applyFont="1" applyFill="1" applyBorder="1" applyAlignment="1">
      <alignment horizontal="center"/>
    </xf>
    <xf numFmtId="0" fontId="13" fillId="0" borderId="148" xfId="0" applyFont="1" applyFill="1" applyBorder="1" applyAlignment="1">
      <alignment vertical="center" wrapText="1"/>
    </xf>
    <xf numFmtId="8" fontId="3" fillId="0" borderId="94" xfId="0" applyNumberFormat="1" applyFont="1" applyFill="1" applyBorder="1" applyAlignment="1">
      <alignment horizontal="center" vertical="center"/>
    </xf>
    <xf numFmtId="8" fontId="4" fillId="0" borderId="92" xfId="0" applyNumberFormat="1" applyFont="1" applyFill="1" applyBorder="1" applyAlignment="1">
      <alignment horizontal="center"/>
    </xf>
    <xf numFmtId="8" fontId="3" fillId="0" borderId="92" xfId="0" applyNumberFormat="1" applyFont="1" applyFill="1" applyBorder="1" applyAlignment="1">
      <alignment horizontal="center"/>
    </xf>
    <xf numFmtId="8" fontId="3" fillId="0" borderId="160" xfId="0" applyNumberFormat="1" applyFont="1" applyFill="1" applyBorder="1" applyAlignment="1">
      <alignment horizontal="center"/>
    </xf>
    <xf numFmtId="8" fontId="3" fillId="0" borderId="157" xfId="0" applyNumberFormat="1" applyFont="1" applyFill="1" applyBorder="1" applyAlignment="1">
      <alignment horizontal="center"/>
    </xf>
    <xf numFmtId="8" fontId="4" fillId="0" borderId="152" xfId="0" applyNumberFormat="1" applyFont="1" applyFill="1" applyBorder="1" applyAlignment="1">
      <alignment horizontal="center"/>
    </xf>
    <xf numFmtId="8" fontId="3" fillId="0" borderId="152" xfId="0" applyNumberFormat="1" applyFont="1" applyFill="1" applyBorder="1" applyAlignment="1">
      <alignment horizontal="center"/>
    </xf>
    <xf numFmtId="8" fontId="3" fillId="0" borderId="89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left"/>
    </xf>
    <xf numFmtId="44" fontId="4" fillId="0" borderId="0" xfId="0" applyNumberFormat="1" applyFont="1" applyFill="1"/>
    <xf numFmtId="0" fontId="8" fillId="0" borderId="66" xfId="0" applyFont="1" applyFill="1" applyBorder="1" applyAlignment="1">
      <alignment horizontal="center" vertical="center"/>
    </xf>
    <xf numFmtId="165" fontId="3" fillId="0" borderId="157" xfId="33" applyNumberFormat="1" applyFont="1" applyFill="1" applyBorder="1" applyAlignment="1">
      <alignment vertical="center"/>
    </xf>
    <xf numFmtId="164" fontId="3" fillId="0" borderId="152" xfId="37" applyFont="1" applyFill="1" applyBorder="1" applyAlignment="1">
      <alignment vertical="center"/>
    </xf>
    <xf numFmtId="164" fontId="4" fillId="0" borderId="152" xfId="37" applyFont="1" applyFill="1" applyBorder="1" applyAlignment="1">
      <alignment vertical="center"/>
    </xf>
    <xf numFmtId="164" fontId="3" fillId="0" borderId="152" xfId="37" applyFont="1" applyFill="1" applyBorder="1" applyAlignment="1"/>
    <xf numFmtId="164" fontId="2" fillId="0" borderId="152" xfId="37" applyFill="1" applyBorder="1" applyAlignment="1"/>
    <xf numFmtId="164" fontId="3" fillId="0" borderId="37" xfId="37" applyFont="1" applyFill="1" applyBorder="1" applyAlignment="1"/>
    <xf numFmtId="164" fontId="4" fillId="0" borderId="152" xfId="37" applyFont="1" applyFill="1" applyBorder="1" applyAlignment="1"/>
    <xf numFmtId="164" fontId="2" fillId="0" borderId="153" xfId="37" applyFill="1" applyBorder="1" applyAlignment="1"/>
    <xf numFmtId="44" fontId="3" fillId="0" borderId="0" xfId="49" applyFont="1"/>
    <xf numFmtId="0" fontId="52" fillId="0" borderId="0" xfId="48" applyFont="1"/>
    <xf numFmtId="49" fontId="52" fillId="0" borderId="0" xfId="48" applyNumberFormat="1" applyFont="1" applyAlignment="1">
      <alignment horizontal="center"/>
    </xf>
    <xf numFmtId="44" fontId="62" fillId="0" borderId="0" xfId="49" applyFont="1"/>
    <xf numFmtId="44" fontId="62" fillId="0" borderId="0" xfId="49" applyFont="1" applyBorder="1"/>
    <xf numFmtId="44" fontId="2" fillId="0" borderId="0" xfId="49" applyFont="1"/>
    <xf numFmtId="0" fontId="52" fillId="0" borderId="10" xfId="48" applyFont="1" applyBorder="1"/>
    <xf numFmtId="49" fontId="52" fillId="0" borderId="10" xfId="48" applyNumberFormat="1" applyFont="1" applyBorder="1" applyAlignment="1">
      <alignment horizontal="center"/>
    </xf>
    <xf numFmtId="44" fontId="62" fillId="0" borderId="10" xfId="49" applyFont="1" applyBorder="1" applyAlignment="1">
      <alignment horizontal="center" vertical="center" wrapText="1"/>
    </xf>
    <xf numFmtId="44" fontId="2" fillId="0" borderId="10" xfId="49" applyFont="1" applyBorder="1"/>
    <xf numFmtId="44" fontId="2" fillId="0" borderId="22" xfId="49" applyFont="1" applyBorder="1"/>
    <xf numFmtId="44" fontId="52" fillId="0" borderId="0" xfId="48" applyNumberFormat="1" applyFont="1"/>
    <xf numFmtId="44" fontId="62" fillId="0" borderId="10" xfId="49" applyFont="1" applyBorder="1"/>
    <xf numFmtId="0" fontId="62" fillId="0" borderId="0" xfId="48" applyFont="1"/>
    <xf numFmtId="49" fontId="62" fillId="0" borderId="0" xfId="48" applyNumberFormat="1" applyFont="1" applyAlignment="1">
      <alignment horizontal="center"/>
    </xf>
    <xf numFmtId="44" fontId="2" fillId="0" borderId="0" xfId="49" applyFont="1" applyBorder="1"/>
    <xf numFmtId="44" fontId="62" fillId="0" borderId="0" xfId="49" applyFont="1" applyBorder="1" applyAlignment="1">
      <alignment horizontal="center" vertical="center" wrapText="1"/>
    </xf>
    <xf numFmtId="49" fontId="52" fillId="0" borderId="10" xfId="48" applyNumberFormat="1" applyFont="1" applyBorder="1" applyAlignment="1">
      <alignment horizontal="center"/>
    </xf>
    <xf numFmtId="0" fontId="52" fillId="0" borderId="10" xfId="48" applyFont="1" applyBorder="1" applyAlignment="1">
      <alignment wrapText="1"/>
    </xf>
    <xf numFmtId="44" fontId="62" fillId="0" borderId="10" xfId="49" applyFont="1" applyBorder="1" applyAlignment="1">
      <alignment horizontal="center" vertical="center" wrapText="1"/>
    </xf>
    <xf numFmtId="49" fontId="52" fillId="0" borderId="10" xfId="48" applyNumberFormat="1" applyFont="1" applyBorder="1" applyAlignment="1">
      <alignment horizontal="center"/>
    </xf>
    <xf numFmtId="0" fontId="5" fillId="0" borderId="0" xfId="0" applyFont="1" applyFill="1" applyAlignment="1"/>
    <xf numFmtId="0" fontId="5" fillId="0" borderId="31" xfId="0" applyFont="1" applyFill="1" applyBorder="1" applyAlignment="1"/>
    <xf numFmtId="0" fontId="3" fillId="0" borderId="32" xfId="0" applyFont="1" applyFill="1" applyBorder="1" applyAlignment="1"/>
    <xf numFmtId="0" fontId="3" fillId="0" borderId="47" xfId="0" applyFont="1" applyFill="1" applyBorder="1" applyAlignment="1"/>
    <xf numFmtId="44" fontId="3" fillId="0" borderId="10" xfId="49" applyFont="1" applyBorder="1"/>
    <xf numFmtId="44" fontId="3" fillId="0" borderId="22" xfId="49" applyFont="1" applyBorder="1"/>
    <xf numFmtId="0" fontId="2" fillId="0" borderId="0" xfId="0" applyFont="1"/>
    <xf numFmtId="0" fontId="3" fillId="0" borderId="7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74" fontId="61" fillId="0" borderId="0" xfId="37" applyNumberFormat="1" applyFont="1" applyFill="1"/>
    <xf numFmtId="173" fontId="4" fillId="0" borderId="48" xfId="0" applyNumberFormat="1" applyFont="1" applyFill="1" applyBorder="1"/>
    <xf numFmtId="173" fontId="4" fillId="0" borderId="51" xfId="0" applyNumberFormat="1" applyFont="1" applyFill="1" applyBorder="1"/>
    <xf numFmtId="173" fontId="4" fillId="0" borderId="0" xfId="0" applyNumberFormat="1" applyFont="1" applyFill="1" applyBorder="1"/>
    <xf numFmtId="1" fontId="3" fillId="0" borderId="0" xfId="0" applyNumberFormat="1" applyFont="1" applyFill="1" applyAlignment="1">
      <alignment horizontal="left"/>
    </xf>
    <xf numFmtId="0" fontId="3" fillId="0" borderId="97" xfId="0" applyFont="1" applyFill="1" applyBorder="1" applyAlignment="1">
      <alignment horizontal="center" vertical="center" wrapText="1"/>
    </xf>
    <xf numFmtId="174" fontId="3" fillId="0" borderId="152" xfId="0" applyNumberFormat="1" applyFont="1" applyFill="1" applyBorder="1"/>
    <xf numFmtId="174" fontId="4" fillId="0" borderId="36" xfId="0" applyNumberFormat="1" applyFont="1" applyFill="1" applyBorder="1"/>
    <xf numFmtId="174" fontId="4" fillId="0" borderId="92" xfId="0" applyNumberFormat="1" applyFont="1" applyFill="1" applyBorder="1"/>
    <xf numFmtId="0" fontId="2" fillId="0" borderId="33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 wrapText="1"/>
    </xf>
    <xf numFmtId="49" fontId="2" fillId="0" borderId="42" xfId="0" applyNumberFormat="1" applyFont="1" applyFill="1" applyBorder="1" applyAlignment="1">
      <alignment horizontal="center" vertical="center"/>
    </xf>
    <xf numFmtId="8" fontId="4" fillId="0" borderId="25" xfId="0" applyNumberFormat="1" applyFont="1" applyFill="1" applyBorder="1" applyAlignment="1">
      <alignment horizontal="center" vertical="center"/>
    </xf>
    <xf numFmtId="8" fontId="4" fillId="0" borderId="27" xfId="0" applyNumberFormat="1" applyFont="1" applyFill="1" applyBorder="1" applyAlignment="1">
      <alignment horizontal="center" vertical="center"/>
    </xf>
    <xf numFmtId="8" fontId="4" fillId="0" borderId="78" xfId="0" applyNumberFormat="1" applyFont="1" applyFill="1" applyBorder="1" applyAlignment="1">
      <alignment horizontal="center" vertical="center"/>
    </xf>
    <xf numFmtId="8" fontId="4" fillId="0" borderId="33" xfId="0" applyNumberFormat="1" applyFont="1" applyFill="1" applyBorder="1" applyAlignment="1">
      <alignment horizontal="center" vertical="center"/>
    </xf>
    <xf numFmtId="0" fontId="2" fillId="0" borderId="89" xfId="0" applyFont="1" applyFill="1" applyBorder="1" applyAlignment="1">
      <alignment horizontal="center" vertical="center" wrapText="1"/>
    </xf>
    <xf numFmtId="0" fontId="13" fillId="0" borderId="168" xfId="0" applyFont="1" applyFill="1" applyBorder="1" applyAlignment="1">
      <alignment vertical="center" wrapText="1"/>
    </xf>
    <xf numFmtId="0" fontId="13" fillId="0" borderId="77" xfId="0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vertical="center" wrapText="1"/>
    </xf>
    <xf numFmtId="49" fontId="2" fillId="0" borderId="16" xfId="0" applyNumberFormat="1" applyFont="1" applyFill="1" applyBorder="1" applyAlignment="1">
      <alignment horizontal="center" vertical="center"/>
    </xf>
    <xf numFmtId="8" fontId="4" fillId="0" borderId="14" xfId="0" applyNumberFormat="1" applyFont="1" applyFill="1" applyBorder="1" applyAlignment="1">
      <alignment horizontal="center" vertical="center"/>
    </xf>
    <xf numFmtId="8" fontId="4" fillId="0" borderId="15" xfId="0" applyNumberFormat="1" applyFont="1" applyFill="1" applyBorder="1" applyAlignment="1">
      <alignment horizontal="center" vertical="center"/>
    </xf>
    <xf numFmtId="8" fontId="4" fillId="0" borderId="160" xfId="0" applyNumberFormat="1" applyFont="1" applyFill="1" applyBorder="1" applyAlignment="1">
      <alignment horizontal="center" vertical="center"/>
    </xf>
    <xf numFmtId="8" fontId="4" fillId="0" borderId="89" xfId="0" applyNumberFormat="1" applyFont="1" applyFill="1" applyBorder="1" applyAlignment="1">
      <alignment horizontal="center" vertical="center"/>
    </xf>
    <xf numFmtId="164" fontId="4" fillId="0" borderId="0" xfId="37" applyFont="1" applyFill="1"/>
    <xf numFmtId="164" fontId="39" fillId="0" borderId="0" xfId="37" applyFont="1"/>
    <xf numFmtId="164" fontId="39" fillId="0" borderId="0" xfId="37" applyFont="1" applyFill="1"/>
    <xf numFmtId="164" fontId="39" fillId="0" borderId="0" xfId="37" applyFont="1" applyFill="1" applyBorder="1"/>
    <xf numFmtId="174" fontId="4" fillId="0" borderId="21" xfId="31" applyNumberFormat="1" applyFont="1" applyFill="1" applyBorder="1" applyAlignment="1">
      <alignment horizontal="right"/>
    </xf>
    <xf numFmtId="173" fontId="4" fillId="0" borderId="69" xfId="0" applyNumberFormat="1" applyFont="1" applyFill="1" applyBorder="1"/>
    <xf numFmtId="174" fontId="3" fillId="0" borderId="0" xfId="37" applyNumberFormat="1" applyFont="1" applyBorder="1" applyAlignment="1">
      <alignment horizontal="left"/>
    </xf>
    <xf numFmtId="174" fontId="3" fillId="0" borderId="0" xfId="31" applyNumberFormat="1" applyFont="1" applyBorder="1" applyAlignment="1">
      <alignment horizontal="left"/>
    </xf>
    <xf numFmtId="174" fontId="58" fillId="0" borderId="121" xfId="37" applyNumberFormat="1" applyFont="1" applyBorder="1" applyAlignment="1"/>
    <xf numFmtId="174" fontId="58" fillId="0" borderId="136" xfId="37" applyNumberFormat="1" applyFont="1" applyBorder="1" applyAlignment="1"/>
    <xf numFmtId="164" fontId="58" fillId="0" borderId="136" xfId="37" applyFont="1" applyBorder="1" applyAlignment="1"/>
    <xf numFmtId="164" fontId="58" fillId="0" borderId="112" xfId="37" applyFont="1" applyBorder="1" applyAlignment="1"/>
    <xf numFmtId="171" fontId="59" fillId="0" borderId="0" xfId="31" applyNumberFormat="1" applyFont="1" applyFill="1"/>
    <xf numFmtId="4" fontId="59" fillId="0" borderId="0" xfId="31" applyNumberFormat="1" applyFont="1"/>
    <xf numFmtId="4" fontId="58" fillId="0" borderId="32" xfId="31" applyNumberFormat="1" applyFont="1" applyBorder="1" applyAlignment="1">
      <alignment horizontal="center"/>
    </xf>
    <xf numFmtId="4" fontId="58" fillId="0" borderId="0" xfId="31" applyNumberFormat="1" applyFont="1" applyBorder="1" applyAlignment="1">
      <alignment horizontal="center"/>
    </xf>
    <xf numFmtId="4" fontId="58" fillId="0" borderId="10" xfId="31" applyNumberFormat="1" applyFont="1" applyBorder="1" applyAlignment="1">
      <alignment horizontal="center"/>
    </xf>
    <xf numFmtId="4" fontId="58" fillId="0" borderId="84" xfId="31" applyNumberFormat="1" applyFont="1" applyBorder="1" applyAlignment="1">
      <alignment horizontal="center"/>
    </xf>
    <xf numFmtId="4" fontId="58" fillId="0" borderId="33" xfId="31" applyNumberFormat="1" applyFont="1" applyBorder="1" applyAlignment="1">
      <alignment horizontal="center"/>
    </xf>
    <xf numFmtId="4" fontId="58" fillId="0" borderId="23" xfId="31" applyNumberFormat="1" applyFont="1" applyBorder="1" applyAlignment="1">
      <alignment horizontal="center"/>
    </xf>
    <xf numFmtId="4" fontId="58" fillId="0" borderId="34" xfId="31" applyNumberFormat="1" applyFont="1" applyBorder="1" applyAlignment="1">
      <alignment horizontal="center"/>
    </xf>
    <xf numFmtId="49" fontId="58" fillId="0" borderId="81" xfId="31" applyNumberFormat="1" applyFont="1" applyBorder="1" applyAlignment="1">
      <alignment horizontal="center"/>
    </xf>
    <xf numFmtId="49" fontId="58" fillId="0" borderId="52" xfId="31" applyNumberFormat="1" applyFont="1" applyBorder="1" applyAlignment="1">
      <alignment horizontal="center"/>
    </xf>
    <xf numFmtId="49" fontId="58" fillId="0" borderId="0" xfId="31" applyNumberFormat="1" applyFont="1" applyBorder="1" applyAlignment="1">
      <alignment horizontal="center"/>
    </xf>
    <xf numFmtId="49" fontId="58" fillId="0" borderId="62" xfId="31" applyNumberFormat="1" applyFont="1" applyBorder="1" applyAlignment="1">
      <alignment horizontal="center"/>
    </xf>
    <xf numFmtId="49" fontId="58" fillId="0" borderId="10" xfId="31" applyNumberFormat="1" applyFont="1" applyBorder="1" applyAlignment="1">
      <alignment horizontal="center"/>
    </xf>
    <xf numFmtId="49" fontId="58" fillId="0" borderId="84" xfId="31" applyNumberFormat="1" applyFont="1" applyBorder="1" applyAlignment="1">
      <alignment horizontal="center"/>
    </xf>
    <xf numFmtId="49" fontId="58" fillId="0" borderId="33" xfId="31" applyNumberFormat="1" applyFont="1" applyBorder="1" applyAlignment="1">
      <alignment horizontal="center"/>
    </xf>
    <xf numFmtId="4" fontId="58" fillId="0" borderId="137" xfId="31" applyNumberFormat="1" applyFont="1" applyBorder="1" applyAlignment="1">
      <alignment horizontal="center" vertical="center" wrapText="1"/>
    </xf>
    <xf numFmtId="4" fontId="58" fillId="0" borderId="82" xfId="31" applyNumberFormat="1" applyFont="1" applyBorder="1" applyAlignment="1">
      <alignment horizontal="center" vertical="center" wrapText="1"/>
    </xf>
    <xf numFmtId="4" fontId="58" fillId="0" borderId="142" xfId="31" applyNumberFormat="1" applyFont="1" applyBorder="1" applyAlignment="1">
      <alignment horizontal="center" vertical="center" wrapText="1"/>
    </xf>
    <xf numFmtId="4" fontId="58" fillId="0" borderId="65" xfId="31" applyNumberFormat="1" applyFont="1" applyBorder="1" applyAlignment="1">
      <alignment horizontal="center" vertical="center" wrapText="1"/>
    </xf>
    <xf numFmtId="4" fontId="58" fillId="0" borderId="86" xfId="31" applyNumberFormat="1" applyFont="1" applyBorder="1" applyAlignment="1">
      <alignment horizontal="center" vertical="center" wrapText="1"/>
    </xf>
    <xf numFmtId="4" fontId="58" fillId="0" borderId="124" xfId="31" applyNumberFormat="1" applyFont="1" applyBorder="1" applyAlignment="1">
      <alignment horizontal="center" vertical="center" wrapText="1"/>
    </xf>
    <xf numFmtId="4" fontId="58" fillId="0" borderId="106" xfId="31" applyNumberFormat="1" applyFont="1" applyBorder="1" applyAlignment="1">
      <alignment horizontal="center"/>
    </xf>
    <xf numFmtId="174" fontId="58" fillId="0" borderId="107" xfId="37" applyNumberFormat="1" applyFont="1" applyFill="1" applyBorder="1"/>
    <xf numFmtId="174" fontId="58" fillId="0" borderId="110" xfId="37" applyNumberFormat="1" applyFont="1" applyFill="1" applyBorder="1"/>
    <xf numFmtId="174" fontId="58" fillId="0" borderId="132" xfId="37" applyNumberFormat="1" applyFont="1" applyFill="1" applyBorder="1"/>
    <xf numFmtId="174" fontId="58" fillId="0" borderId="107" xfId="31" applyNumberFormat="1" applyFont="1" applyFill="1" applyBorder="1"/>
    <xf numFmtId="174" fontId="58" fillId="0" borderId="110" xfId="31" applyNumberFormat="1" applyFont="1" applyFill="1" applyBorder="1"/>
    <xf numFmtId="174" fontId="58" fillId="0" borderId="132" xfId="31" applyNumberFormat="1" applyFont="1" applyFill="1" applyBorder="1"/>
    <xf numFmtId="167" fontId="58" fillId="0" borderId="112" xfId="31" applyNumberFormat="1" applyFont="1" applyFill="1" applyBorder="1"/>
    <xf numFmtId="167" fontId="58" fillId="0" borderId="110" xfId="31" applyNumberFormat="1" applyFont="1" applyFill="1" applyBorder="1"/>
    <xf numFmtId="167" fontId="58" fillId="0" borderId="132" xfId="31" applyNumberFormat="1" applyFont="1" applyFill="1" applyBorder="1"/>
    <xf numFmtId="167" fontId="58" fillId="0" borderId="136" xfId="31" applyNumberFormat="1" applyFont="1" applyFill="1" applyBorder="1"/>
    <xf numFmtId="167" fontId="58" fillId="0" borderId="121" xfId="31" applyNumberFormat="1" applyFont="1" applyFill="1" applyBorder="1"/>
    <xf numFmtId="167" fontId="58" fillId="0" borderId="165" xfId="31" applyNumberFormat="1" applyFont="1" applyFill="1" applyBorder="1"/>
    <xf numFmtId="167" fontId="58" fillId="0" borderId="109" xfId="31" applyNumberFormat="1" applyFont="1" applyFill="1" applyBorder="1"/>
    <xf numFmtId="167" fontId="58" fillId="0" borderId="111" xfId="31" applyNumberFormat="1" applyFont="1" applyFill="1" applyBorder="1"/>
    <xf numFmtId="167" fontId="58" fillId="0" borderId="108" xfId="31" applyNumberFormat="1" applyFont="1" applyFill="1" applyBorder="1"/>
    <xf numFmtId="171" fontId="58" fillId="0" borderId="0" xfId="31" applyNumberFormat="1" applyFont="1" applyFill="1"/>
    <xf numFmtId="4" fontId="58" fillId="0" borderId="0" xfId="31" applyNumberFormat="1" applyFont="1" applyFill="1"/>
    <xf numFmtId="174" fontId="58" fillId="0" borderId="133" xfId="37" applyNumberFormat="1" applyFont="1" applyFill="1" applyBorder="1"/>
    <xf numFmtId="174" fontId="58" fillId="0" borderId="10" xfId="37" applyNumberFormat="1" applyFont="1" applyFill="1" applyBorder="1"/>
    <xf numFmtId="174" fontId="58" fillId="0" borderId="61" xfId="37" applyNumberFormat="1" applyFont="1" applyFill="1" applyBorder="1"/>
    <xf numFmtId="174" fontId="58" fillId="0" borderId="91" xfId="31" applyNumberFormat="1" applyFont="1" applyFill="1" applyBorder="1"/>
    <xf numFmtId="174" fontId="58" fillId="0" borderId="10" xfId="31" applyNumberFormat="1" applyFont="1" applyFill="1" applyBorder="1"/>
    <xf numFmtId="174" fontId="58" fillId="0" borderId="36" xfId="31" applyNumberFormat="1" applyFont="1" applyFill="1" applyBorder="1"/>
    <xf numFmtId="174" fontId="58" fillId="0" borderId="63" xfId="31" applyNumberFormat="1" applyFont="1" applyFill="1" applyBorder="1"/>
    <xf numFmtId="167" fontId="58" fillId="0" borderId="36" xfId="31" applyNumberFormat="1" applyFont="1" applyFill="1" applyBorder="1"/>
    <xf numFmtId="167" fontId="58" fillId="0" borderId="10" xfId="31" applyNumberFormat="1" applyFont="1" applyFill="1" applyBorder="1"/>
    <xf numFmtId="167" fontId="59" fillId="0" borderId="63" xfId="31" applyNumberFormat="1" applyFont="1" applyFill="1" applyBorder="1"/>
    <xf numFmtId="167" fontId="58" fillId="0" borderId="92" xfId="31" applyNumberFormat="1" applyFont="1" applyFill="1" applyBorder="1"/>
    <xf numFmtId="167" fontId="58" fillId="0" borderId="91" xfId="31" applyNumberFormat="1" applyFont="1" applyFill="1" applyBorder="1"/>
    <xf numFmtId="167" fontId="58" fillId="0" borderId="135" xfId="31" applyNumberFormat="1" applyFont="1" applyFill="1" applyBorder="1"/>
    <xf numFmtId="167" fontId="58" fillId="0" borderId="12" xfId="31" applyNumberFormat="1" applyFont="1" applyFill="1" applyBorder="1"/>
    <xf numFmtId="167" fontId="59" fillId="0" borderId="13" xfId="31" applyNumberFormat="1" applyFont="1" applyFill="1" applyBorder="1"/>
    <xf numFmtId="167" fontId="59" fillId="0" borderId="38" xfId="31" applyNumberFormat="1" applyFont="1" applyFill="1" applyBorder="1"/>
    <xf numFmtId="174" fontId="59" fillId="0" borderId="62" xfId="37" applyNumberFormat="1" applyFont="1" applyFill="1" applyBorder="1"/>
    <xf numFmtId="174" fontId="59" fillId="0" borderId="46" xfId="37" applyNumberFormat="1" applyFont="1" applyFill="1" applyBorder="1"/>
    <xf numFmtId="174" fontId="59" fillId="0" borderId="10" xfId="37" applyNumberFormat="1" applyFont="1" applyFill="1" applyBorder="1"/>
    <xf numFmtId="174" fontId="59" fillId="0" borderId="61" xfId="37" applyNumberFormat="1" applyFont="1" applyFill="1" applyBorder="1"/>
    <xf numFmtId="174" fontId="59" fillId="0" borderId="91" xfId="31" applyNumberFormat="1" applyFont="1" applyFill="1" applyBorder="1"/>
    <xf numFmtId="174" fontId="59" fillId="0" borderId="10" xfId="31" applyNumberFormat="1" applyFont="1" applyFill="1" applyBorder="1"/>
    <xf numFmtId="174" fontId="59" fillId="0" borderId="36" xfId="31" applyNumberFormat="1" applyFont="1" applyFill="1" applyBorder="1"/>
    <xf numFmtId="174" fontId="59" fillId="0" borderId="63" xfId="31" applyNumberFormat="1" applyFont="1" applyFill="1" applyBorder="1"/>
    <xf numFmtId="167" fontId="59" fillId="0" borderId="36" xfId="31" applyNumberFormat="1" applyFont="1" applyFill="1" applyBorder="1"/>
    <xf numFmtId="167" fontId="59" fillId="0" borderId="10" xfId="31" applyNumberFormat="1" applyFont="1" applyFill="1" applyBorder="1"/>
    <xf numFmtId="167" fontId="59" fillId="0" borderId="92" xfId="31" applyNumberFormat="1" applyFont="1" applyFill="1" applyBorder="1"/>
    <xf numFmtId="167" fontId="59" fillId="0" borderId="91" xfId="31" applyNumberFormat="1" applyFont="1" applyFill="1" applyBorder="1"/>
    <xf numFmtId="167" fontId="59" fillId="0" borderId="135" xfId="31" applyNumberFormat="1" applyFont="1" applyFill="1" applyBorder="1"/>
    <xf numFmtId="167" fontId="59" fillId="0" borderId="12" xfId="31" applyNumberFormat="1" applyFont="1" applyFill="1" applyBorder="1"/>
    <xf numFmtId="4" fontId="59" fillId="0" borderId="0" xfId="31" applyNumberFormat="1" applyFont="1" applyFill="1"/>
    <xf numFmtId="174" fontId="58" fillId="0" borderId="134" xfId="37" applyNumberFormat="1" applyFont="1" applyFill="1" applyBorder="1"/>
    <xf numFmtId="174" fontId="58" fillId="0" borderId="62" xfId="31" applyNumberFormat="1" applyFont="1" applyFill="1" applyBorder="1"/>
    <xf numFmtId="174" fontId="59" fillId="0" borderId="62" xfId="31" applyNumberFormat="1" applyFont="1" applyFill="1" applyBorder="1"/>
    <xf numFmtId="174" fontId="59" fillId="0" borderId="133" xfId="37" applyNumberFormat="1" applyFont="1" applyFill="1" applyBorder="1"/>
    <xf numFmtId="174" fontId="59" fillId="0" borderId="135" xfId="37" applyNumberFormat="1" applyFont="1" applyFill="1" applyBorder="1"/>
    <xf numFmtId="174" fontId="58" fillId="0" borderId="46" xfId="37" applyNumberFormat="1" applyFont="1" applyFill="1" applyBorder="1"/>
    <xf numFmtId="174" fontId="58" fillId="0" borderId="135" xfId="37" applyNumberFormat="1" applyFont="1" applyFill="1" applyBorder="1"/>
    <xf numFmtId="167" fontId="58" fillId="0" borderId="63" xfId="31" applyNumberFormat="1" applyFont="1" applyFill="1" applyBorder="1"/>
    <xf numFmtId="167" fontId="59" fillId="0" borderId="36" xfId="0" applyNumberFormat="1" applyFont="1" applyFill="1" applyBorder="1"/>
    <xf numFmtId="167" fontId="59" fillId="0" borderId="10" xfId="0" applyNumberFormat="1" applyFont="1" applyFill="1" applyBorder="1"/>
    <xf numFmtId="167" fontId="59" fillId="0" borderId="92" xfId="0" applyNumberFormat="1" applyFont="1" applyFill="1" applyBorder="1"/>
    <xf numFmtId="167" fontId="59" fillId="0" borderId="91" xfId="0" applyNumberFormat="1" applyFont="1" applyFill="1" applyBorder="1"/>
    <xf numFmtId="167" fontId="58" fillId="0" borderId="36" xfId="0" applyNumberFormat="1" applyFont="1" applyFill="1" applyBorder="1"/>
    <xf numFmtId="167" fontId="59" fillId="0" borderId="83" xfId="31" applyNumberFormat="1" applyFont="1" applyFill="1" applyBorder="1"/>
    <xf numFmtId="167" fontId="59" fillId="0" borderId="46" xfId="31" applyNumberFormat="1" applyFont="1" applyFill="1" applyBorder="1"/>
    <xf numFmtId="174" fontId="59" fillId="0" borderId="73" xfId="37" applyNumberFormat="1" applyFont="1" applyFill="1" applyBorder="1"/>
    <xf numFmtId="174" fontId="59" fillId="0" borderId="63" xfId="37" applyNumberFormat="1" applyFont="1" applyFill="1" applyBorder="1"/>
    <xf numFmtId="174" fontId="58" fillId="0" borderId="38" xfId="37" applyNumberFormat="1" applyFont="1" applyFill="1" applyBorder="1"/>
    <xf numFmtId="174" fontId="58" fillId="0" borderId="73" xfId="37" applyNumberFormat="1" applyFont="1" applyFill="1" applyBorder="1"/>
    <xf numFmtId="167" fontId="58" fillId="0" borderId="13" xfId="31" applyNumberFormat="1" applyFont="1" applyFill="1" applyBorder="1"/>
    <xf numFmtId="167" fontId="58" fillId="0" borderId="38" xfId="31" applyNumberFormat="1" applyFont="1" applyFill="1" applyBorder="1"/>
    <xf numFmtId="174" fontId="58" fillId="0" borderId="91" xfId="37" applyNumberFormat="1" applyFont="1" applyFill="1" applyBorder="1"/>
    <xf numFmtId="174" fontId="59" fillId="0" borderId="91" xfId="37" applyNumberFormat="1" applyFont="1" applyFill="1" applyBorder="1"/>
    <xf numFmtId="174" fontId="59" fillId="0" borderId="93" xfId="37" applyNumberFormat="1" applyFont="1" applyFill="1" applyBorder="1"/>
    <xf numFmtId="174" fontId="58" fillId="0" borderId="93" xfId="37" applyNumberFormat="1" applyFont="1" applyFill="1" applyBorder="1"/>
    <xf numFmtId="174" fontId="59" fillId="0" borderId="38" xfId="31" applyNumberFormat="1" applyFont="1" applyFill="1" applyBorder="1"/>
    <xf numFmtId="174" fontId="58" fillId="0" borderId="135" xfId="31" applyNumberFormat="1" applyFont="1" applyFill="1" applyBorder="1"/>
    <xf numFmtId="167" fontId="59" fillId="0" borderId="93" xfId="31" applyNumberFormat="1" applyFont="1" applyFill="1" applyBorder="1"/>
    <xf numFmtId="0" fontId="58" fillId="0" borderId="129" xfId="0" applyFont="1" applyFill="1" applyBorder="1" applyAlignment="1">
      <alignment vertical="justify" wrapText="1"/>
    </xf>
    <xf numFmtId="167" fontId="58" fillId="0" borderId="144" xfId="31" applyNumberFormat="1" applyFont="1" applyFill="1" applyBorder="1"/>
    <xf numFmtId="174" fontId="59" fillId="0" borderId="38" xfId="37" applyNumberFormat="1" applyFont="1" applyFill="1" applyBorder="1"/>
    <xf numFmtId="0" fontId="59" fillId="0" borderId="122" xfId="0" applyFont="1" applyFill="1" applyBorder="1" applyAlignment="1">
      <alignment horizontal="left"/>
    </xf>
    <xf numFmtId="0" fontId="59" fillId="0" borderId="130" xfId="0" applyFont="1" applyFill="1" applyBorder="1"/>
    <xf numFmtId="174" fontId="59" fillId="0" borderId="81" xfId="37" applyNumberFormat="1" applyFont="1" applyFill="1" applyBorder="1"/>
    <xf numFmtId="174" fontId="59" fillId="0" borderId="52" xfId="37" applyNumberFormat="1" applyFont="1" applyFill="1" applyBorder="1"/>
    <xf numFmtId="174" fontId="59" fillId="0" borderId="76" xfId="37" applyNumberFormat="1" applyFont="1" applyFill="1" applyBorder="1"/>
    <xf numFmtId="174" fontId="59" fillId="0" borderId="64" xfId="37" applyNumberFormat="1" applyFont="1" applyFill="1" applyBorder="1"/>
    <xf numFmtId="174" fontId="59" fillId="0" borderId="81" xfId="31" applyNumberFormat="1" applyFont="1" applyFill="1" applyBorder="1"/>
    <xf numFmtId="174" fontId="59" fillId="0" borderId="69" xfId="31" applyNumberFormat="1" applyFont="1" applyFill="1" applyBorder="1"/>
    <xf numFmtId="174" fontId="59" fillId="0" borderId="52" xfId="31" applyNumberFormat="1" applyFont="1" applyFill="1" applyBorder="1"/>
    <xf numFmtId="174" fontId="58" fillId="0" borderId="139" xfId="31" applyNumberFormat="1" applyFont="1" applyFill="1" applyBorder="1"/>
    <xf numFmtId="167" fontId="59" fillId="0" borderId="69" xfId="31" applyNumberFormat="1" applyFont="1" applyFill="1" applyBorder="1"/>
    <xf numFmtId="167" fontId="59" fillId="0" borderId="52" xfId="31" applyNumberFormat="1" applyFont="1" applyFill="1" applyBorder="1"/>
    <xf numFmtId="167" fontId="59" fillId="0" borderId="76" xfId="31" applyNumberFormat="1" applyFont="1" applyFill="1" applyBorder="1"/>
    <xf numFmtId="167" fontId="59" fillId="0" borderId="64" xfId="31" applyNumberFormat="1" applyFont="1" applyFill="1" applyBorder="1"/>
    <xf numFmtId="167" fontId="59" fillId="0" borderId="96" xfId="31" applyNumberFormat="1" applyFont="1" applyFill="1" applyBorder="1"/>
    <xf numFmtId="167" fontId="59" fillId="0" borderId="122" xfId="31" applyNumberFormat="1" applyFont="1" applyFill="1" applyBorder="1"/>
    <xf numFmtId="167" fontId="59" fillId="0" borderId="166" xfId="31" applyNumberFormat="1" applyFont="1" applyFill="1" applyBorder="1"/>
    <xf numFmtId="167" fontId="59" fillId="0" borderId="51" xfId="31" applyNumberFormat="1" applyFont="1" applyFill="1" applyBorder="1"/>
    <xf numFmtId="167" fontId="59" fillId="0" borderId="40" xfId="31" applyNumberFormat="1" applyFont="1" applyFill="1" applyBorder="1"/>
    <xf numFmtId="167" fontId="58" fillId="0" borderId="126" xfId="31" applyNumberFormat="1" applyFont="1" applyFill="1" applyBorder="1"/>
    <xf numFmtId="49" fontId="59" fillId="26" borderId="123" xfId="31" applyNumberFormat="1" applyFont="1" applyFill="1" applyBorder="1" applyAlignment="1">
      <alignment horizontal="left"/>
    </xf>
    <xf numFmtId="4" fontId="58" fillId="26" borderId="100" xfId="31" applyNumberFormat="1" applyFont="1" applyFill="1" applyBorder="1" applyAlignment="1">
      <alignment horizontal="center"/>
    </xf>
    <xf numFmtId="174" fontId="58" fillId="26" borderId="113" xfId="37" applyNumberFormat="1" applyFont="1" applyFill="1" applyBorder="1"/>
    <xf numFmtId="174" fontId="58" fillId="26" borderId="163" xfId="37" applyNumberFormat="1" applyFont="1" applyFill="1" applyBorder="1"/>
    <xf numFmtId="174" fontId="58" fillId="26" borderId="140" xfId="37" applyNumberFormat="1" applyFont="1" applyFill="1" applyBorder="1"/>
    <xf numFmtId="174" fontId="58" fillId="26" borderId="113" xfId="31" applyNumberFormat="1" applyFont="1" applyFill="1" applyBorder="1"/>
    <xf numFmtId="174" fontId="58" fillId="26" borderId="163" xfId="31" applyNumberFormat="1" applyFont="1" applyFill="1" applyBorder="1"/>
    <xf numFmtId="174" fontId="58" fillId="26" borderId="140" xfId="31" applyNumberFormat="1" applyFont="1" applyFill="1" applyBorder="1"/>
    <xf numFmtId="167" fontId="58" fillId="0" borderId="143" xfId="31" applyNumberFormat="1" applyFont="1" applyFill="1" applyBorder="1"/>
    <xf numFmtId="167" fontId="58" fillId="0" borderId="100" xfId="31" applyNumberFormat="1" applyFont="1" applyFill="1" applyBorder="1"/>
    <xf numFmtId="167" fontId="58" fillId="26" borderId="143" xfId="31" applyNumberFormat="1" applyFont="1" applyFill="1" applyBorder="1"/>
    <xf numFmtId="167" fontId="58" fillId="26" borderId="123" xfId="31" applyNumberFormat="1" applyFont="1" applyFill="1" applyBorder="1"/>
    <xf numFmtId="167" fontId="58" fillId="26" borderId="100" xfId="31" applyNumberFormat="1" applyFont="1" applyFill="1" applyBorder="1"/>
    <xf numFmtId="167" fontId="58" fillId="26" borderId="167" xfId="31" applyNumberFormat="1" applyFont="1" applyFill="1" applyBorder="1"/>
    <xf numFmtId="167" fontId="58" fillId="26" borderId="117" xfId="31" applyNumberFormat="1" applyFont="1" applyFill="1" applyBorder="1"/>
    <xf numFmtId="167" fontId="59" fillId="26" borderId="117" xfId="31" applyNumberFormat="1" applyFont="1" applyFill="1" applyBorder="1"/>
    <xf numFmtId="167" fontId="59" fillId="26" borderId="116" xfId="31" applyNumberFormat="1" applyFont="1" applyFill="1" applyBorder="1"/>
    <xf numFmtId="167" fontId="58" fillId="26" borderId="115" xfId="31" applyNumberFormat="1" applyFont="1" applyFill="1" applyBorder="1"/>
    <xf numFmtId="167" fontId="59" fillId="26" borderId="114" xfId="31" applyNumberFormat="1" applyFont="1" applyFill="1" applyBorder="1"/>
    <xf numFmtId="4" fontId="59" fillId="26" borderId="0" xfId="31" applyNumberFormat="1" applyFont="1" applyFill="1"/>
    <xf numFmtId="174" fontId="60" fillId="0" borderId="0" xfId="37" applyNumberFormat="1" applyFont="1"/>
    <xf numFmtId="174" fontId="60" fillId="0" borderId="0" xfId="31" applyNumberFormat="1" applyFont="1"/>
    <xf numFmtId="174" fontId="2" fillId="0" borderId="0" xfId="37" applyNumberFormat="1" applyFont="1"/>
    <xf numFmtId="174" fontId="2" fillId="0" borderId="0" xfId="31" applyNumberFormat="1" applyFont="1"/>
    <xf numFmtId="49" fontId="61" fillId="0" borderId="0" xfId="31" applyNumberFormat="1" applyFont="1" applyFill="1" applyAlignment="1">
      <alignment horizontal="left"/>
    </xf>
    <xf numFmtId="4" fontId="61" fillId="0" borderId="0" xfId="31" applyNumberFormat="1" applyFont="1" applyFill="1"/>
    <xf numFmtId="174" fontId="61" fillId="0" borderId="0" xfId="31" applyNumberFormat="1" applyFont="1" applyFill="1"/>
    <xf numFmtId="174" fontId="63" fillId="0" borderId="0" xfId="31" applyNumberFormat="1" applyFont="1" applyFill="1"/>
    <xf numFmtId="4" fontId="63" fillId="0" borderId="0" xfId="31" applyNumberFormat="1" applyFont="1" applyFill="1"/>
    <xf numFmtId="164" fontId="63" fillId="0" borderId="0" xfId="37" applyFont="1" applyFill="1"/>
    <xf numFmtId="171" fontId="63" fillId="0" borderId="0" xfId="31" applyNumberFormat="1" applyFont="1" applyFill="1"/>
    <xf numFmtId="164" fontId="61" fillId="0" borderId="0" xfId="37" applyFont="1" applyFill="1"/>
    <xf numFmtId="171" fontId="61" fillId="0" borderId="0" xfId="31" applyNumberFormat="1" applyFont="1" applyFill="1"/>
    <xf numFmtId="4" fontId="64" fillId="0" borderId="0" xfId="31" applyNumberFormat="1" applyFont="1" applyFill="1"/>
    <xf numFmtId="164" fontId="3" fillId="0" borderId="0" xfId="37" applyFont="1"/>
    <xf numFmtId="44" fontId="0" fillId="0" borderId="0" xfId="0" applyNumberFormat="1" applyFill="1"/>
    <xf numFmtId="0" fontId="20" fillId="0" borderId="0" xfId="0" applyFont="1" applyFill="1" applyAlignment="1">
      <alignment horizontal="left"/>
    </xf>
    <xf numFmtId="8" fontId="3" fillId="0" borderId="98" xfId="0" applyNumberFormat="1" applyFont="1" applyFill="1" applyBorder="1" applyAlignment="1">
      <alignment horizontal="center"/>
    </xf>
    <xf numFmtId="167" fontId="58" fillId="0" borderId="128" xfId="31" applyNumberFormat="1" applyFont="1" applyFill="1" applyBorder="1"/>
    <xf numFmtId="167" fontId="59" fillId="0" borderId="144" xfId="31" applyNumberFormat="1" applyFont="1" applyFill="1" applyBorder="1"/>
    <xf numFmtId="0" fontId="20" fillId="0" borderId="0" xfId="0" applyFont="1" applyAlignment="1">
      <alignment horizontal="left"/>
    </xf>
    <xf numFmtId="164" fontId="2" fillId="0" borderId="24" xfId="37" applyNumberFormat="1" applyFont="1" applyFill="1" applyBorder="1" applyAlignment="1">
      <alignment horizontal="center" wrapText="1"/>
    </xf>
    <xf numFmtId="164" fontId="3" fillId="0" borderId="22" xfId="37" applyNumberFormat="1" applyFont="1" applyFill="1" applyBorder="1" applyAlignment="1">
      <alignment horizontal="center" wrapText="1"/>
    </xf>
    <xf numFmtId="164" fontId="3" fillId="0" borderId="21" xfId="37" applyNumberFormat="1" applyFont="1" applyFill="1" applyBorder="1" applyAlignment="1">
      <alignment horizontal="center" wrapText="1"/>
    </xf>
    <xf numFmtId="167" fontId="3" fillId="0" borderId="22" xfId="31" applyNumberFormat="1" applyFont="1" applyFill="1" applyBorder="1" applyAlignment="1">
      <alignment horizontal="right"/>
    </xf>
    <xf numFmtId="167" fontId="3" fillId="0" borderId="21" xfId="31" applyNumberFormat="1" applyFont="1" applyFill="1" applyBorder="1" applyAlignment="1">
      <alignment horizontal="right"/>
    </xf>
    <xf numFmtId="0" fontId="2" fillId="0" borderId="43" xfId="0" applyFont="1" applyFill="1" applyBorder="1"/>
    <xf numFmtId="0" fontId="2" fillId="26" borderId="20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/>
    </xf>
    <xf numFmtId="0" fontId="2" fillId="26" borderId="66" xfId="0" applyFont="1" applyFill="1" applyBorder="1" applyAlignment="1">
      <alignment horizontal="left" vertical="center" wrapText="1"/>
    </xf>
    <xf numFmtId="0" fontId="2" fillId="26" borderId="0" xfId="0" applyFont="1" applyFill="1" applyAlignment="1">
      <alignment horizontal="left"/>
    </xf>
    <xf numFmtId="174" fontId="3" fillId="0" borderId="22" xfId="31" applyNumberFormat="1" applyFont="1" applyFill="1" applyBorder="1" applyAlignment="1">
      <alignment horizontal="right"/>
    </xf>
    <xf numFmtId="174" fontId="2" fillId="0" borderId="21" xfId="31" applyNumberFormat="1" applyFont="1" applyFill="1" applyBorder="1" applyAlignment="1">
      <alignment horizontal="right"/>
    </xf>
    <xf numFmtId="4" fontId="2" fillId="0" borderId="43" xfId="31" applyNumberFormat="1" applyFont="1" applyFill="1" applyBorder="1" applyAlignment="1">
      <alignment vertical="center" wrapText="1"/>
    </xf>
    <xf numFmtId="174" fontId="4" fillId="0" borderId="22" xfId="3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49" fontId="3" fillId="0" borderId="24" xfId="0" applyNumberFormat="1" applyFont="1" applyFill="1" applyBorder="1" applyAlignment="1">
      <alignment horizontal="left"/>
    </xf>
    <xf numFmtId="4" fontId="3" fillId="0" borderId="0" xfId="31" applyNumberFormat="1" applyFont="1" applyFill="1" applyBorder="1" applyAlignment="1">
      <alignment wrapText="1"/>
    </xf>
    <xf numFmtId="174" fontId="3" fillId="0" borderId="24" xfId="37" applyNumberFormat="1" applyFont="1" applyFill="1" applyBorder="1" applyAlignment="1">
      <alignment horizontal="center" wrapText="1"/>
    </xf>
    <xf numFmtId="174" fontId="3" fillId="0" borderId="21" xfId="31" applyNumberFormat="1" applyFont="1" applyFill="1" applyBorder="1" applyAlignment="1">
      <alignment horizontal="right"/>
    </xf>
    <xf numFmtId="167" fontId="3" fillId="0" borderId="0" xfId="0" applyNumberFormat="1" applyFont="1"/>
    <xf numFmtId="164" fontId="2" fillId="0" borderId="22" xfId="37" applyNumberFormat="1" applyFont="1" applyFill="1" applyBorder="1" applyAlignment="1">
      <alignment horizontal="center" wrapText="1"/>
    </xf>
    <xf numFmtId="164" fontId="2" fillId="0" borderId="21" xfId="37" applyNumberFormat="1" applyFont="1" applyFill="1" applyBorder="1" applyAlignment="1">
      <alignment horizontal="center" wrapText="1"/>
    </xf>
    <xf numFmtId="167" fontId="2" fillId="0" borderId="23" xfId="31" applyNumberFormat="1" applyFont="1" applyBorder="1" applyAlignment="1">
      <alignment horizontal="right"/>
    </xf>
    <xf numFmtId="164" fontId="2" fillId="0" borderId="0" xfId="0" applyNumberFormat="1" applyFont="1"/>
    <xf numFmtId="164" fontId="3" fillId="0" borderId="0" xfId="0" applyNumberFormat="1" applyFont="1"/>
    <xf numFmtId="164" fontId="3" fillId="0" borderId="24" xfId="37" applyNumberFormat="1" applyFont="1" applyFill="1" applyBorder="1" applyAlignment="1">
      <alignment horizontal="center" vertical="center" wrapText="1"/>
    </xf>
    <xf numFmtId="164" fontId="3" fillId="0" borderId="22" xfId="37" applyNumberFormat="1" applyFont="1" applyFill="1" applyBorder="1" applyAlignment="1">
      <alignment horizontal="center" vertical="center" wrapText="1"/>
    </xf>
    <xf numFmtId="164" fontId="3" fillId="0" borderId="21" xfId="37" applyNumberFormat="1" applyFont="1" applyFill="1" applyBorder="1" applyAlignment="1">
      <alignment horizontal="center" vertical="center" wrapText="1"/>
    </xf>
    <xf numFmtId="167" fontId="3" fillId="0" borderId="23" xfId="31" applyNumberFormat="1" applyFont="1" applyBorder="1" applyAlignment="1">
      <alignment horizontal="right" vertical="center"/>
    </xf>
    <xf numFmtId="167" fontId="2" fillId="0" borderId="24" xfId="31" applyNumberFormat="1" applyFont="1" applyFill="1" applyBorder="1" applyAlignment="1">
      <alignment horizontal="right"/>
    </xf>
    <xf numFmtId="167" fontId="2" fillId="0" borderId="22" xfId="31" applyNumberFormat="1" applyFont="1" applyFill="1" applyBorder="1" applyAlignment="1">
      <alignment horizontal="right"/>
    </xf>
    <xf numFmtId="167" fontId="2" fillId="0" borderId="21" xfId="31" applyNumberFormat="1" applyFont="1" applyFill="1" applyBorder="1" applyAlignment="1">
      <alignment horizontal="right"/>
    </xf>
    <xf numFmtId="44" fontId="0" fillId="26" borderId="0" xfId="0" applyNumberFormat="1" applyFill="1"/>
    <xf numFmtId="0" fontId="53" fillId="26" borderId="20" xfId="0" applyFont="1" applyFill="1" applyBorder="1" applyAlignment="1">
      <alignment horizontal="left" vertical="center" wrapText="1"/>
    </xf>
    <xf numFmtId="0" fontId="2" fillId="26" borderId="0" xfId="0" applyFont="1" applyFill="1" applyBorder="1" applyAlignment="1">
      <alignment horizontal="left" vertical="center" wrapText="1"/>
    </xf>
    <xf numFmtId="164" fontId="2" fillId="26" borderId="25" xfId="37" applyNumberFormat="1" applyFont="1" applyFill="1" applyBorder="1" applyAlignment="1">
      <alignment horizontal="center" wrapText="1"/>
    </xf>
    <xf numFmtId="164" fontId="2" fillId="26" borderId="26" xfId="37" applyNumberFormat="1" applyFont="1" applyFill="1" applyBorder="1" applyAlignment="1">
      <alignment horizontal="center" wrapText="1"/>
    </xf>
    <xf numFmtId="164" fontId="2" fillId="26" borderId="27" xfId="37" applyNumberFormat="1" applyFont="1" applyFill="1" applyBorder="1" applyAlignment="1">
      <alignment horizontal="center" wrapText="1"/>
    </xf>
    <xf numFmtId="164" fontId="2" fillId="26" borderId="22" xfId="37" applyNumberFormat="1" applyFont="1" applyFill="1" applyBorder="1" applyAlignment="1">
      <alignment horizontal="center" wrapText="1"/>
    </xf>
    <xf numFmtId="4" fontId="2" fillId="0" borderId="0" xfId="31" applyNumberFormat="1" applyFont="1" applyFill="1" applyBorder="1"/>
    <xf numFmtId="164" fontId="2" fillId="26" borderId="21" xfId="37" applyNumberFormat="1" applyFont="1" applyFill="1" applyBorder="1" applyAlignment="1">
      <alignment horizontal="center" wrapText="1"/>
    </xf>
    <xf numFmtId="174" fontId="2" fillId="0" borderId="22" xfId="31" applyNumberFormat="1" applyFont="1" applyFill="1" applyBorder="1" applyAlignment="1">
      <alignment horizontal="right"/>
    </xf>
    <xf numFmtId="167" fontId="2" fillId="0" borderId="23" xfId="31" applyNumberFormat="1" applyFont="1" applyFill="1" applyBorder="1" applyAlignment="1">
      <alignment horizontal="right"/>
    </xf>
    <xf numFmtId="164" fontId="2" fillId="26" borderId="24" xfId="37" applyNumberFormat="1" applyFont="1" applyFill="1" applyBorder="1" applyAlignment="1">
      <alignment horizontal="center" wrapText="1"/>
    </xf>
    <xf numFmtId="0" fontId="3" fillId="26" borderId="66" xfId="0" applyFont="1" applyFill="1" applyBorder="1" applyAlignment="1">
      <alignment horizontal="center" vertical="center" wrapText="1"/>
    </xf>
    <xf numFmtId="0" fontId="3" fillId="26" borderId="56" xfId="0" applyFont="1" applyFill="1" applyBorder="1" applyAlignment="1">
      <alignment horizontal="center" vertical="center" wrapText="1"/>
    </xf>
    <xf numFmtId="49" fontId="2" fillId="26" borderId="25" xfId="0" applyNumberFormat="1" applyFont="1" applyFill="1" applyBorder="1" applyAlignment="1">
      <alignment horizontal="center" vertical="center" wrapText="1"/>
    </xf>
    <xf numFmtId="49" fontId="2" fillId="26" borderId="24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left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left" vertical="center" wrapText="1"/>
    </xf>
    <xf numFmtId="49" fontId="3" fillId="0" borderId="24" xfId="0" applyNumberFormat="1" applyFont="1" applyFill="1" applyBorder="1" applyAlignment="1">
      <alignment vertical="center" wrapText="1"/>
    </xf>
    <xf numFmtId="49" fontId="2" fillId="0" borderId="24" xfId="0" applyNumberFormat="1" applyFont="1" applyFill="1" applyBorder="1" applyAlignment="1">
      <alignment vertical="center" wrapText="1"/>
    </xf>
    <xf numFmtId="49" fontId="2" fillId="26" borderId="53" xfId="0" applyNumberFormat="1" applyFont="1" applyFill="1" applyBorder="1" applyAlignment="1">
      <alignment horizontal="center" vertical="center" wrapText="1"/>
    </xf>
    <xf numFmtId="4" fontId="3" fillId="0" borderId="43" xfId="31" applyNumberFormat="1" applyFont="1" applyFill="1" applyBorder="1" applyAlignment="1">
      <alignment vertical="center" wrapText="1"/>
    </xf>
    <xf numFmtId="174" fontId="3" fillId="0" borderId="0" xfId="0" applyNumberFormat="1" applyFont="1"/>
    <xf numFmtId="4" fontId="6" fillId="0" borderId="0" xfId="31" applyNumberFormat="1" applyFont="1" applyFill="1"/>
    <xf numFmtId="0" fontId="3" fillId="0" borderId="2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53" fillId="0" borderId="20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/>
    </xf>
    <xf numFmtId="0" fontId="51" fillId="0" borderId="20" xfId="0" applyFont="1" applyFill="1" applyBorder="1" applyAlignment="1">
      <alignment horizontal="left" vertical="center" wrapText="1"/>
    </xf>
    <xf numFmtId="174" fontId="2" fillId="0" borderId="24" xfId="31" applyNumberFormat="1" applyFont="1" applyFill="1" applyBorder="1" applyAlignment="1">
      <alignment horizontal="right"/>
    </xf>
    <xf numFmtId="174" fontId="2" fillId="0" borderId="149" xfId="31" applyNumberFormat="1" applyFont="1" applyFill="1" applyBorder="1" applyAlignment="1">
      <alignment horizontal="right"/>
    </xf>
    <xf numFmtId="0" fontId="51" fillId="0" borderId="20" xfId="0" applyFont="1" applyFill="1" applyBorder="1" applyAlignment="1">
      <alignment horizontal="left"/>
    </xf>
    <xf numFmtId="0" fontId="53" fillId="0" borderId="20" xfId="0" applyFont="1" applyFill="1" applyBorder="1" applyAlignment="1">
      <alignment horizontal="left"/>
    </xf>
    <xf numFmtId="49" fontId="0" fillId="0" borderId="24" xfId="0" applyNumberFormat="1" applyFill="1" applyBorder="1" applyAlignment="1">
      <alignment horizontal="left"/>
    </xf>
    <xf numFmtId="174" fontId="4" fillId="0" borderId="22" xfId="31" applyNumberFormat="1" applyFont="1" applyFill="1" applyBorder="1"/>
    <xf numFmtId="174" fontId="3" fillId="0" borderId="22" xfId="31" applyNumberFormat="1" applyFont="1" applyFill="1" applyBorder="1"/>
    <xf numFmtId="174" fontId="3" fillId="0" borderId="21" xfId="31" applyNumberFormat="1" applyFont="1" applyFill="1" applyBorder="1"/>
    <xf numFmtId="174" fontId="4" fillId="0" borderId="21" xfId="31" applyNumberFormat="1" applyFont="1" applyFill="1" applyBorder="1"/>
    <xf numFmtId="49" fontId="2" fillId="0" borderId="24" xfId="0" applyNumberFormat="1" applyFont="1" applyFill="1" applyBorder="1" applyAlignment="1">
      <alignment horizontal="left" vertical="center"/>
    </xf>
    <xf numFmtId="4" fontId="4" fillId="0" borderId="0" xfId="31" applyNumberFormat="1" applyFont="1" applyFill="1" applyBorder="1" applyAlignment="1">
      <alignment vertical="center" wrapText="1"/>
    </xf>
    <xf numFmtId="174" fontId="4" fillId="0" borderId="24" xfId="31" applyNumberFormat="1" applyFont="1" applyFill="1" applyBorder="1" applyAlignment="1">
      <alignment vertical="center"/>
    </xf>
    <xf numFmtId="174" fontId="4" fillId="0" borderId="22" xfId="31" applyNumberFormat="1" applyFont="1" applyFill="1" applyBorder="1" applyAlignment="1">
      <alignment vertical="center"/>
    </xf>
    <xf numFmtId="174" fontId="4" fillId="0" borderId="22" xfId="37" applyNumberFormat="1" applyFont="1" applyFill="1" applyBorder="1" applyAlignment="1">
      <alignment horizontal="center" vertical="center" wrapText="1"/>
    </xf>
    <xf numFmtId="174" fontId="4" fillId="0" borderId="21" xfId="31" applyNumberFormat="1" applyFont="1" applyFill="1" applyBorder="1" applyAlignment="1">
      <alignment vertical="center"/>
    </xf>
    <xf numFmtId="49" fontId="7" fillId="0" borderId="24" xfId="0" applyNumberFormat="1" applyFont="1" applyFill="1" applyBorder="1" applyAlignment="1">
      <alignment horizontal="center" vertical="center" wrapText="1"/>
    </xf>
    <xf numFmtId="174" fontId="3" fillId="0" borderId="22" xfId="37" applyNumberFormat="1" applyFont="1" applyFill="1" applyBorder="1" applyAlignment="1">
      <alignment horizontal="center" wrapText="1"/>
    </xf>
    <xf numFmtId="174" fontId="3" fillId="0" borderId="21" xfId="37" applyNumberFormat="1" applyFont="1" applyFill="1" applyBorder="1" applyAlignment="1">
      <alignment horizontal="center" wrapText="1"/>
    </xf>
    <xf numFmtId="4" fontId="3" fillId="0" borderId="43" xfId="31" applyNumberFormat="1" applyFont="1" applyFill="1" applyBorder="1"/>
    <xf numFmtId="164" fontId="3" fillId="0" borderId="23" xfId="37" applyNumberFormat="1" applyFont="1" applyFill="1" applyBorder="1"/>
    <xf numFmtId="175" fontId="0" fillId="0" borderId="0" xfId="0" applyNumberFormat="1"/>
    <xf numFmtId="49" fontId="2" fillId="0" borderId="0" xfId="0" applyNumberFormat="1" applyFont="1" applyFill="1" applyBorder="1"/>
    <xf numFmtId="164" fontId="3" fillId="0" borderId="33" xfId="37" applyNumberFormat="1" applyFont="1" applyFill="1" applyBorder="1" applyAlignment="1">
      <alignment horizontal="right"/>
    </xf>
    <xf numFmtId="164" fontId="4" fillId="0" borderId="34" xfId="37" applyNumberFormat="1" applyFont="1" applyFill="1" applyBorder="1" applyAlignment="1">
      <alignment horizontal="right"/>
    </xf>
    <xf numFmtId="164" fontId="3" fillId="0" borderId="34" xfId="37" applyNumberFormat="1" applyFont="1" applyFill="1" applyBorder="1" applyAlignment="1">
      <alignment horizontal="right"/>
    </xf>
    <xf numFmtId="164" fontId="4" fillId="0" borderId="35" xfId="37" applyNumberFormat="1" applyFont="1" applyFill="1" applyBorder="1" applyAlignment="1">
      <alignment horizontal="right"/>
    </xf>
    <xf numFmtId="164" fontId="3" fillId="0" borderId="35" xfId="37" applyNumberFormat="1" applyFont="1" applyFill="1" applyBorder="1" applyAlignment="1">
      <alignment horizontal="right"/>
    </xf>
    <xf numFmtId="164" fontId="4" fillId="0" borderId="34" xfId="37" applyNumberFormat="1" applyFont="1" applyFill="1" applyBorder="1"/>
    <xf numFmtId="164" fontId="4" fillId="0" borderId="35" xfId="37" applyNumberFormat="1" applyFont="1" applyFill="1" applyBorder="1"/>
    <xf numFmtId="164" fontId="3" fillId="0" borderId="30" xfId="37" applyNumberFormat="1" applyFont="1" applyFill="1" applyBorder="1" applyAlignment="1">
      <alignment horizontal="right"/>
    </xf>
    <xf numFmtId="164" fontId="3" fillId="0" borderId="34" xfId="37" applyNumberFormat="1" applyFont="1" applyFill="1" applyBorder="1"/>
    <xf numFmtId="49" fontId="2" fillId="0" borderId="20" xfId="0" applyNumberFormat="1" applyFont="1" applyFill="1" applyBorder="1" applyAlignment="1">
      <alignment horizontal="center"/>
    </xf>
    <xf numFmtId="164" fontId="2" fillId="0" borderId="34" xfId="37" applyFont="1" applyFill="1" applyBorder="1" applyAlignment="1">
      <alignment horizontal="right"/>
    </xf>
    <xf numFmtId="164" fontId="2" fillId="0" borderId="35" xfId="37" applyFont="1" applyFill="1" applyBorder="1" applyAlignment="1">
      <alignment horizontal="right"/>
    </xf>
    <xf numFmtId="164" fontId="4" fillId="0" borderId="37" xfId="37" applyFont="1" applyFill="1" applyBorder="1"/>
    <xf numFmtId="0" fontId="53" fillId="26" borderId="20" xfId="0" applyFont="1" applyFill="1" applyBorder="1" applyAlignment="1">
      <alignment horizontal="left"/>
    </xf>
    <xf numFmtId="0" fontId="51" fillId="26" borderId="20" xfId="0" applyFont="1" applyFill="1" applyBorder="1" applyAlignment="1">
      <alignment horizontal="left"/>
    </xf>
    <xf numFmtId="0" fontId="53" fillId="0" borderId="41" xfId="0" applyFont="1" applyBorder="1" applyAlignment="1">
      <alignment horizontal="left"/>
    </xf>
    <xf numFmtId="49" fontId="0" fillId="0" borderId="25" xfId="0" applyNumberFormat="1" applyBorder="1" applyAlignment="1">
      <alignment horizontal="left"/>
    </xf>
    <xf numFmtId="164" fontId="52" fillId="0" borderId="0" xfId="37" applyFont="1" applyBorder="1"/>
    <xf numFmtId="49" fontId="6" fillId="0" borderId="20" xfId="31" applyNumberFormat="1" applyFont="1" applyFill="1" applyBorder="1" applyAlignment="1">
      <alignment horizontal="left"/>
    </xf>
    <xf numFmtId="4" fontId="6" fillId="0" borderId="34" xfId="31" applyNumberFormat="1" applyFont="1" applyFill="1" applyBorder="1" applyAlignment="1"/>
    <xf numFmtId="176" fontId="6" fillId="0" borderId="0" xfId="31" applyNumberFormat="1" applyFont="1"/>
    <xf numFmtId="173" fontId="2" fillId="0" borderId="38" xfId="0" applyNumberFormat="1" applyFont="1" applyFill="1" applyBorder="1"/>
    <xf numFmtId="173" fontId="2" fillId="0" borderId="152" xfId="0" applyNumberFormat="1" applyFont="1" applyFill="1" applyBorder="1"/>
    <xf numFmtId="0" fontId="3" fillId="26" borderId="47" xfId="0" applyFont="1" applyFill="1" applyBorder="1" applyAlignment="1">
      <alignment horizontal="center" vertical="center" wrapText="1"/>
    </xf>
    <xf numFmtId="0" fontId="3" fillId="26" borderId="54" xfId="0" applyFont="1" applyFill="1" applyBorder="1" applyAlignment="1">
      <alignment horizontal="center" vertical="center" wrapText="1"/>
    </xf>
    <xf numFmtId="0" fontId="53" fillId="0" borderId="0" xfId="0" applyFont="1" applyFill="1"/>
    <xf numFmtId="174" fontId="53" fillId="0" borderId="0" xfId="0" applyNumberFormat="1" applyFont="1" applyFill="1"/>
    <xf numFmtId="165" fontId="53" fillId="0" borderId="0" xfId="0" applyNumberFormat="1" applyFont="1" applyFill="1"/>
    <xf numFmtId="0" fontId="53" fillId="0" borderId="0" xfId="0" applyFont="1" applyFill="1" applyAlignment="1">
      <alignment horizontal="right"/>
    </xf>
    <xf numFmtId="0" fontId="2" fillId="0" borderId="83" xfId="0" applyFont="1" applyFill="1" applyBorder="1" applyAlignment="1">
      <alignment horizontal="left" vertical="center" wrapText="1"/>
    </xf>
    <xf numFmtId="164" fontId="2" fillId="0" borderId="67" xfId="37" applyNumberFormat="1" applyFont="1" applyFill="1" applyBorder="1" applyAlignment="1">
      <alignment horizontal="center" wrapText="1"/>
    </xf>
    <xf numFmtId="164" fontId="2" fillId="0" borderId="46" xfId="37" applyNumberFormat="1" applyFont="1" applyFill="1" applyBorder="1" applyAlignment="1">
      <alignment horizontal="center" wrapText="1"/>
    </xf>
    <xf numFmtId="164" fontId="2" fillId="0" borderId="39" xfId="37" applyNumberFormat="1" applyFont="1" applyFill="1" applyBorder="1" applyAlignment="1">
      <alignment horizontal="center" wrapText="1"/>
    </xf>
    <xf numFmtId="167" fontId="2" fillId="0" borderId="49" xfId="31" applyNumberFormat="1" applyFont="1" applyBorder="1" applyAlignment="1">
      <alignment horizontal="right"/>
    </xf>
    <xf numFmtId="0" fontId="53" fillId="0" borderId="50" xfId="0" applyFont="1" applyFill="1" applyBorder="1" applyAlignment="1">
      <alignment horizontal="left" vertical="center" wrapText="1"/>
    </xf>
    <xf numFmtId="49" fontId="2" fillId="0" borderId="67" xfId="0" applyNumberFormat="1" applyFont="1" applyFill="1" applyBorder="1" applyAlignment="1">
      <alignment horizontal="left" vertical="center" wrapText="1"/>
    </xf>
    <xf numFmtId="0" fontId="13" fillId="25" borderId="64" xfId="0" applyFont="1" applyFill="1" applyBorder="1" applyAlignment="1">
      <alignment horizontal="justify" vertical="top" wrapText="1"/>
    </xf>
    <xf numFmtId="0" fontId="13" fillId="25" borderId="90" xfId="0" applyFont="1" applyFill="1" applyBorder="1" applyAlignment="1">
      <alignment horizontal="justify" vertical="top" wrapText="1"/>
    </xf>
    <xf numFmtId="0" fontId="18" fillId="25" borderId="0" xfId="0" applyFont="1" applyFill="1" applyAlignment="1">
      <alignment horizontal="center"/>
    </xf>
    <xf numFmtId="49" fontId="3" fillId="25" borderId="91" xfId="0" applyNumberFormat="1" applyFont="1" applyFill="1" applyBorder="1" applyAlignment="1">
      <alignment horizontal="center"/>
    </xf>
    <xf numFmtId="49" fontId="3" fillId="25" borderId="92" xfId="0" applyNumberFormat="1" applyFont="1" applyFill="1" applyBorder="1" applyAlignment="1">
      <alignment horizontal="center"/>
    </xf>
    <xf numFmtId="49" fontId="3" fillId="25" borderId="93" xfId="0" applyNumberFormat="1" applyFont="1" applyFill="1" applyBorder="1" applyAlignment="1">
      <alignment horizontal="center"/>
    </xf>
    <xf numFmtId="0" fontId="13" fillId="25" borderId="61" xfId="0" applyFont="1" applyFill="1" applyBorder="1" applyAlignment="1">
      <alignment horizontal="justify" vertical="top" wrapText="1"/>
    </xf>
    <xf numFmtId="170" fontId="4" fillId="0" borderId="0" xfId="0" applyNumberFormat="1" applyFont="1" applyFill="1" applyAlignment="1">
      <alignment horizontal="center"/>
    </xf>
    <xf numFmtId="0" fontId="3" fillId="0" borderId="48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/>
    </xf>
    <xf numFmtId="0" fontId="3" fillId="0" borderId="66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26" borderId="84" xfId="0" applyFont="1" applyFill="1" applyBorder="1" applyAlignment="1">
      <alignment horizontal="center" vertical="center" wrapText="1"/>
    </xf>
    <xf numFmtId="0" fontId="3" fillId="26" borderId="23" xfId="0" applyFont="1" applyFill="1" applyBorder="1" applyAlignment="1">
      <alignment horizontal="center" vertical="center" wrapText="1"/>
    </xf>
    <xf numFmtId="0" fontId="3" fillId="26" borderId="85" xfId="0" applyFont="1" applyFill="1" applyBorder="1" applyAlignment="1">
      <alignment horizontal="center" vertical="center" wrapText="1"/>
    </xf>
    <xf numFmtId="0" fontId="3" fillId="0" borderId="148" xfId="0" applyFont="1" applyFill="1" applyBorder="1" applyAlignment="1">
      <alignment horizontal="center" vertical="center" wrapText="1"/>
    </xf>
    <xf numFmtId="0" fontId="3" fillId="0" borderId="149" xfId="0" applyFont="1" applyFill="1" applyBorder="1" applyAlignment="1">
      <alignment horizontal="center" vertical="center" wrapText="1"/>
    </xf>
    <xf numFmtId="0" fontId="3" fillId="0" borderId="15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/>
    </xf>
    <xf numFmtId="0" fontId="3" fillId="0" borderId="78" xfId="0" applyFont="1" applyFill="1" applyBorder="1" applyAlignment="1">
      <alignment horizontal="center"/>
    </xf>
    <xf numFmtId="0" fontId="3" fillId="0" borderId="84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 vertical="center" wrapText="1"/>
    </xf>
    <xf numFmtId="0" fontId="3" fillId="0" borderId="8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97" xfId="0" applyFont="1" applyFill="1" applyBorder="1" applyAlignment="1">
      <alignment horizontal="center" vertical="center" wrapText="1"/>
    </xf>
    <xf numFmtId="0" fontId="3" fillId="0" borderId="94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9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95" xfId="0" applyFont="1" applyFill="1" applyBorder="1" applyAlignment="1">
      <alignment horizontal="center" vertical="center" wrapText="1"/>
    </xf>
    <xf numFmtId="0" fontId="3" fillId="0" borderId="9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9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53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 wrapText="1"/>
    </xf>
    <xf numFmtId="9" fontId="8" fillId="0" borderId="19" xfId="0" applyNumberFormat="1" applyFont="1" applyFill="1" applyBorder="1" applyAlignment="1">
      <alignment horizontal="center" vertical="center" wrapText="1"/>
    </xf>
    <xf numFmtId="9" fontId="8" fillId="0" borderId="13" xfId="0" applyNumberFormat="1" applyFont="1" applyFill="1" applyBorder="1" applyAlignment="1">
      <alignment horizontal="center" vertical="center" wrapText="1"/>
    </xf>
    <xf numFmtId="9" fontId="8" fillId="0" borderId="15" xfId="0" applyNumberFormat="1" applyFont="1" applyFill="1" applyBorder="1" applyAlignment="1">
      <alignment horizontal="center" vertical="center" wrapText="1"/>
    </xf>
    <xf numFmtId="9" fontId="8" fillId="0" borderId="26" xfId="0" applyNumberFormat="1" applyFont="1" applyFill="1" applyBorder="1" applyAlignment="1">
      <alignment horizontal="center" vertical="center"/>
    </xf>
    <xf numFmtId="9" fontId="8" fillId="0" borderId="4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74" fontId="3" fillId="0" borderId="33" xfId="31" applyNumberFormat="1" applyFont="1" applyFill="1" applyBorder="1" applyAlignment="1">
      <alignment horizontal="center" vertical="center" wrapText="1"/>
    </xf>
    <xf numFmtId="174" fontId="3" fillId="0" borderId="35" xfId="0" applyNumberFormat="1" applyFont="1" applyFill="1" applyBorder="1" applyAlignment="1">
      <alignment horizontal="center" vertical="center" wrapText="1"/>
    </xf>
    <xf numFmtId="4" fontId="3" fillId="0" borderId="33" xfId="31" applyNumberFormat="1" applyFont="1" applyFill="1" applyBorder="1" applyAlignment="1">
      <alignment horizontal="center" vertical="center" wrapText="1"/>
    </xf>
    <xf numFmtId="4" fontId="3" fillId="0" borderId="34" xfId="31" applyNumberFormat="1" applyFont="1" applyFill="1" applyBorder="1" applyAlignment="1">
      <alignment horizontal="center" vertical="center" wrapText="1"/>
    </xf>
    <xf numFmtId="4" fontId="3" fillId="0" borderId="35" xfId="31" applyNumberFormat="1" applyFont="1" applyFill="1" applyBorder="1" applyAlignment="1">
      <alignment horizontal="center" vertical="center" wrapText="1"/>
    </xf>
    <xf numFmtId="174" fontId="3" fillId="0" borderId="41" xfId="31" applyNumberFormat="1" applyFont="1" applyFill="1" applyBorder="1" applyAlignment="1">
      <alignment horizontal="center"/>
    </xf>
    <xf numFmtId="174" fontId="3" fillId="0" borderId="78" xfId="31" applyNumberFormat="1" applyFont="1" applyFill="1" applyBorder="1" applyAlignment="1">
      <alignment horizontal="center"/>
    </xf>
    <xf numFmtId="174" fontId="3" fillId="0" borderId="84" xfId="31" applyNumberFormat="1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 vertical="center"/>
    </xf>
    <xf numFmtId="0" fontId="0" fillId="0" borderId="35" xfId="0" applyFill="1" applyBorder="1" applyAlignment="1"/>
    <xf numFmtId="0" fontId="3" fillId="0" borderId="3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3" fillId="26" borderId="33" xfId="0" applyFont="1" applyFill="1" applyBorder="1" applyAlignment="1">
      <alignment horizontal="center" vertical="center" wrapText="1"/>
    </xf>
    <xf numFmtId="0" fontId="3" fillId="26" borderId="35" xfId="0" applyFont="1" applyFill="1" applyBorder="1" applyAlignment="1">
      <alignment horizontal="center" vertical="center" wrapText="1"/>
    </xf>
    <xf numFmtId="49" fontId="3" fillId="26" borderId="33" xfId="0" applyNumberFormat="1" applyFont="1" applyFill="1" applyBorder="1" applyAlignment="1">
      <alignment horizontal="center" vertical="center" wrapText="1"/>
    </xf>
    <xf numFmtId="49" fontId="3" fillId="26" borderId="35" xfId="0" applyNumberFormat="1" applyFont="1" applyFill="1" applyBorder="1" applyAlignment="1">
      <alignment horizontal="center" vertical="center" wrapText="1"/>
    </xf>
    <xf numFmtId="4" fontId="3" fillId="26" borderId="33" xfId="31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26" borderId="41" xfId="0" applyFont="1" applyFill="1" applyBorder="1" applyAlignment="1">
      <alignment horizontal="center" vertical="center" wrapText="1"/>
    </xf>
    <xf numFmtId="0" fontId="3" fillId="26" borderId="78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55" fillId="0" borderId="33" xfId="0" applyFont="1" applyBorder="1" applyAlignment="1">
      <alignment horizontal="center" vertical="center" wrapText="1"/>
    </xf>
    <xf numFmtId="0" fontId="55" fillId="0" borderId="35" xfId="0" applyFont="1" applyBorder="1" applyAlignment="1">
      <alignment horizontal="center" vertical="center" wrapText="1"/>
    </xf>
    <xf numFmtId="4" fontId="55" fillId="0" borderId="33" xfId="31" applyNumberFormat="1" applyFont="1" applyBorder="1" applyAlignment="1">
      <alignment horizontal="center" vertical="center" wrapText="1"/>
    </xf>
    <xf numFmtId="0" fontId="55" fillId="0" borderId="44" xfId="0" applyFont="1" applyBorder="1" applyAlignment="1">
      <alignment horizontal="center" vertical="center" wrapText="1"/>
    </xf>
    <xf numFmtId="0" fontId="55" fillId="0" borderId="41" xfId="0" applyFont="1" applyBorder="1" applyAlignment="1">
      <alignment horizontal="center" vertical="center" wrapText="1"/>
    </xf>
    <xf numFmtId="0" fontId="55" fillId="0" borderId="78" xfId="0" applyFont="1" applyBorder="1" applyAlignment="1">
      <alignment horizontal="center" vertical="center" wrapText="1"/>
    </xf>
    <xf numFmtId="0" fontId="55" fillId="0" borderId="84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center" wrapText="1"/>
    </xf>
    <xf numFmtId="0" fontId="46" fillId="0" borderId="78" xfId="0" applyFont="1" applyBorder="1" applyAlignment="1">
      <alignment horizontal="center" vertical="center" wrapText="1"/>
    </xf>
    <xf numFmtId="0" fontId="46" fillId="0" borderId="84" xfId="0" applyFont="1" applyBorder="1" applyAlignment="1">
      <alignment horizontal="center" vertical="center" wrapText="1"/>
    </xf>
    <xf numFmtId="0" fontId="46" fillId="0" borderId="33" xfId="0" applyFont="1" applyBorder="1" applyAlignment="1">
      <alignment horizontal="center" vertical="center" wrapText="1"/>
    </xf>
    <xf numFmtId="0" fontId="46" fillId="0" borderId="35" xfId="0" applyFont="1" applyBorder="1" applyAlignment="1">
      <alignment horizontal="center" vertical="center" wrapText="1"/>
    </xf>
    <xf numFmtId="4" fontId="46" fillId="0" borderId="33" xfId="31" applyNumberFormat="1" applyFont="1" applyBorder="1" applyAlignment="1">
      <alignment horizontal="center" vertical="center" wrapText="1"/>
    </xf>
    <xf numFmtId="4" fontId="46" fillId="0" borderId="35" xfId="31" applyNumberFormat="1" applyFont="1" applyBorder="1" applyAlignment="1">
      <alignment horizontal="center" vertical="center" wrapText="1"/>
    </xf>
    <xf numFmtId="0" fontId="46" fillId="0" borderId="0" xfId="0" applyFont="1" applyAlignment="1">
      <alignment horizontal="left"/>
    </xf>
    <xf numFmtId="4" fontId="61" fillId="0" borderId="0" xfId="31" applyNumberFormat="1" applyFont="1" applyFill="1" applyAlignment="1">
      <alignment horizontal="center"/>
    </xf>
    <xf numFmtId="49" fontId="58" fillId="0" borderId="118" xfId="31" applyNumberFormat="1" applyFont="1" applyBorder="1" applyAlignment="1">
      <alignment horizontal="center" vertical="center" textRotation="90" wrapText="1"/>
    </xf>
    <xf numFmtId="0" fontId="58" fillId="0" borderId="119" xfId="0" applyFont="1" applyBorder="1" applyAlignment="1">
      <alignment horizontal="center" vertical="center" textRotation="90" wrapText="1"/>
    </xf>
    <xf numFmtId="0" fontId="58" fillId="0" borderId="120" xfId="0" applyFont="1" applyBorder="1" applyAlignment="1">
      <alignment horizontal="center" vertical="center" textRotation="90" wrapText="1"/>
    </xf>
    <xf numFmtId="4" fontId="58" fillId="0" borderId="125" xfId="31" applyNumberFormat="1" applyFont="1" applyBorder="1" applyAlignment="1">
      <alignment horizontal="center" vertical="center" wrapText="1"/>
    </xf>
    <xf numFmtId="0" fontId="58" fillId="0" borderId="126" xfId="0" applyFont="1" applyBorder="1" applyAlignment="1">
      <alignment horizontal="center" vertical="center" wrapText="1"/>
    </xf>
    <xf numFmtId="0" fontId="58" fillId="0" borderId="127" xfId="0" applyFont="1" applyBorder="1" applyAlignment="1">
      <alignment horizontal="center" vertical="center" wrapText="1"/>
    </xf>
    <xf numFmtId="174" fontId="58" fillId="0" borderId="119" xfId="31" applyNumberFormat="1" applyFont="1" applyBorder="1" applyAlignment="1">
      <alignment horizontal="center"/>
    </xf>
    <xf numFmtId="174" fontId="58" fillId="0" borderId="0" xfId="31" applyNumberFormat="1" applyFont="1" applyBorder="1" applyAlignment="1">
      <alignment horizontal="center"/>
    </xf>
    <xf numFmtId="174" fontId="58" fillId="0" borderId="131" xfId="31" applyNumberFormat="1" applyFont="1" applyBorder="1" applyAlignment="1">
      <alignment horizontal="center"/>
    </xf>
    <xf numFmtId="4" fontId="58" fillId="0" borderId="10" xfId="31" applyNumberFormat="1" applyFont="1" applyBorder="1" applyAlignment="1">
      <alignment horizontal="center"/>
    </xf>
    <xf numFmtId="174" fontId="58" fillId="0" borderId="52" xfId="37" applyNumberFormat="1" applyFont="1" applyBorder="1" applyAlignment="1">
      <alignment horizontal="center" vertical="center" wrapText="1"/>
    </xf>
    <xf numFmtId="174" fontId="58" fillId="0" borderId="82" xfId="37" applyNumberFormat="1" applyFont="1" applyBorder="1" applyAlignment="1">
      <alignment horizontal="center" vertical="center" wrapText="1"/>
    </xf>
    <xf numFmtId="4" fontId="58" fillId="0" borderId="62" xfId="31" applyNumberFormat="1" applyFont="1" applyBorder="1" applyAlignment="1">
      <alignment horizontal="center"/>
    </xf>
    <xf numFmtId="174" fontId="58" fillId="0" borderId="91" xfId="31" applyNumberFormat="1" applyFont="1" applyBorder="1" applyAlignment="1">
      <alignment horizontal="center"/>
    </xf>
    <xf numFmtId="174" fontId="58" fillId="0" borderId="92" xfId="31" applyNumberFormat="1" applyFont="1" applyBorder="1" applyAlignment="1">
      <alignment horizontal="center"/>
    </xf>
    <xf numFmtId="174" fontId="58" fillId="0" borderId="93" xfId="31" applyNumberFormat="1" applyFont="1" applyBorder="1" applyAlignment="1">
      <alignment horizontal="center"/>
    </xf>
    <xf numFmtId="4" fontId="58" fillId="0" borderId="91" xfId="31" applyNumberFormat="1" applyFont="1" applyBorder="1" applyAlignment="1">
      <alignment horizontal="center"/>
    </xf>
    <xf numFmtId="4" fontId="58" fillId="0" borderId="92" xfId="31" applyNumberFormat="1" applyFont="1" applyBorder="1" applyAlignment="1">
      <alignment horizontal="center"/>
    </xf>
    <xf numFmtId="4" fontId="58" fillId="0" borderId="36" xfId="31" applyNumberFormat="1" applyFont="1" applyBorder="1" applyAlignment="1">
      <alignment horizontal="center"/>
    </xf>
    <xf numFmtId="174" fontId="58" fillId="0" borderId="119" xfId="37" applyNumberFormat="1" applyFont="1" applyBorder="1" applyAlignment="1">
      <alignment horizontal="center"/>
    </xf>
    <xf numFmtId="174" fontId="58" fillId="0" borderId="0" xfId="37" applyNumberFormat="1" applyFont="1" applyBorder="1" applyAlignment="1">
      <alignment horizontal="center"/>
    </xf>
    <xf numFmtId="174" fontId="58" fillId="0" borderId="131" xfId="37" applyNumberFormat="1" applyFont="1" applyBorder="1" applyAlignment="1">
      <alignment horizontal="center"/>
    </xf>
    <xf numFmtId="174" fontId="58" fillId="0" borderId="81" xfId="37" applyNumberFormat="1" applyFont="1" applyBorder="1" applyAlignment="1">
      <alignment horizontal="center" vertical="center" wrapText="1"/>
    </xf>
    <xf numFmtId="174" fontId="58" fillId="0" borderId="137" xfId="37" applyNumberFormat="1" applyFont="1" applyBorder="1" applyAlignment="1">
      <alignment horizontal="center" vertical="center" wrapText="1"/>
    </xf>
    <xf numFmtId="174" fontId="58" fillId="0" borderId="118" xfId="37" applyNumberFormat="1" applyFont="1" applyBorder="1" applyAlignment="1">
      <alignment horizontal="center" vertical="center"/>
    </xf>
    <xf numFmtId="174" fontId="58" fillId="0" borderId="104" xfId="37" applyNumberFormat="1" applyFont="1" applyBorder="1" applyAlignment="1">
      <alignment horizontal="center" vertical="center"/>
    </xf>
    <xf numFmtId="174" fontId="58" fillId="0" borderId="138" xfId="37" applyNumberFormat="1" applyFont="1" applyBorder="1" applyAlignment="1">
      <alignment horizontal="center" vertical="center"/>
    </xf>
    <xf numFmtId="174" fontId="58" fillId="0" borderId="133" xfId="37" applyNumberFormat="1" applyFont="1" applyBorder="1" applyAlignment="1">
      <alignment horizontal="center" vertical="center"/>
    </xf>
    <xf numFmtId="174" fontId="58" fillId="0" borderId="83" xfId="37" applyNumberFormat="1" applyFont="1" applyBorder="1" applyAlignment="1">
      <alignment horizontal="center" vertical="center"/>
    </xf>
    <xf numFmtId="174" fontId="58" fillId="0" borderId="135" xfId="37" applyNumberFormat="1" applyFont="1" applyBorder="1" applyAlignment="1">
      <alignment horizontal="center" vertical="center"/>
    </xf>
    <xf numFmtId="4" fontId="58" fillId="0" borderId="126" xfId="31" applyNumberFormat="1" applyFont="1" applyBorder="1" applyAlignment="1">
      <alignment horizontal="center" vertical="center" wrapText="1"/>
    </xf>
    <xf numFmtId="174" fontId="58" fillId="0" borderId="64" xfId="37" applyNumberFormat="1" applyFont="1" applyBorder="1" applyAlignment="1">
      <alignment horizontal="center" vertical="center" wrapText="1"/>
    </xf>
    <xf numFmtId="174" fontId="58" fillId="0" borderId="90" xfId="37" applyNumberFormat="1" applyFont="1" applyBorder="1" applyAlignment="1">
      <alignment horizontal="center" vertical="center" wrapText="1"/>
    </xf>
    <xf numFmtId="174" fontId="58" fillId="0" borderId="52" xfId="31" applyNumberFormat="1" applyFont="1" applyBorder="1" applyAlignment="1">
      <alignment horizontal="center" vertical="center" wrapText="1"/>
    </xf>
    <xf numFmtId="174" fontId="58" fillId="0" borderId="82" xfId="31" applyNumberFormat="1" applyFont="1" applyBorder="1" applyAlignment="1">
      <alignment horizontal="center" vertical="center" wrapText="1"/>
    </xf>
    <xf numFmtId="4" fontId="58" fillId="0" borderId="138" xfId="31" applyNumberFormat="1" applyFont="1" applyBorder="1" applyAlignment="1">
      <alignment horizontal="center" vertical="center" wrapText="1"/>
    </xf>
    <xf numFmtId="4" fontId="58" fillId="0" borderId="131" xfId="31" applyNumberFormat="1" applyFont="1" applyBorder="1" applyAlignment="1">
      <alignment horizontal="center" vertical="center" wrapText="1"/>
    </xf>
    <xf numFmtId="4" fontId="58" fillId="0" borderId="141" xfId="31" applyNumberFormat="1" applyFont="1" applyBorder="1" applyAlignment="1">
      <alignment horizontal="center" vertical="center" wrapText="1"/>
    </xf>
    <xf numFmtId="4" fontId="58" fillId="0" borderId="144" xfId="31" applyNumberFormat="1" applyFont="1" applyBorder="1" applyAlignment="1">
      <alignment horizontal="center" vertical="center" wrapText="1"/>
    </xf>
    <xf numFmtId="174" fontId="58" fillId="0" borderId="81" xfId="31" applyNumberFormat="1" applyFont="1" applyBorder="1" applyAlignment="1">
      <alignment horizontal="center" vertical="center" wrapText="1"/>
    </xf>
    <xf numFmtId="174" fontId="58" fillId="0" borderId="137" xfId="31" applyNumberFormat="1" applyFont="1" applyBorder="1" applyAlignment="1">
      <alignment horizontal="center" vertical="center" wrapText="1"/>
    </xf>
    <xf numFmtId="4" fontId="58" fillId="0" borderId="69" xfId="31" applyNumberFormat="1" applyFont="1" applyBorder="1" applyAlignment="1">
      <alignment horizontal="center"/>
    </xf>
    <xf numFmtId="4" fontId="58" fillId="0" borderId="68" xfId="31" applyNumberFormat="1" applyFont="1" applyBorder="1" applyAlignment="1">
      <alignment horizontal="center"/>
    </xf>
    <xf numFmtId="4" fontId="58" fillId="0" borderId="52" xfId="31" applyNumberFormat="1" applyFont="1" applyBorder="1" applyAlignment="1">
      <alignment horizontal="center"/>
    </xf>
    <xf numFmtId="4" fontId="58" fillId="0" borderId="46" xfId="31" applyNumberFormat="1" applyFont="1" applyBorder="1" applyAlignment="1">
      <alignment horizontal="center"/>
    </xf>
    <xf numFmtId="4" fontId="58" fillId="0" borderId="64" xfId="31" applyNumberFormat="1" applyFont="1" applyBorder="1" applyAlignment="1">
      <alignment horizontal="center" vertical="center" wrapText="1"/>
    </xf>
    <xf numFmtId="4" fontId="58" fillId="0" borderId="139" xfId="31" applyNumberFormat="1" applyFont="1" applyBorder="1" applyAlignment="1">
      <alignment horizontal="center" vertical="center" wrapText="1"/>
    </xf>
    <xf numFmtId="4" fontId="58" fillId="0" borderId="90" xfId="31" applyNumberFormat="1" applyFont="1" applyBorder="1" applyAlignment="1">
      <alignment horizontal="center" vertical="center" wrapText="1"/>
    </xf>
    <xf numFmtId="4" fontId="58" fillId="0" borderId="125" xfId="31" applyNumberFormat="1" applyFont="1" applyBorder="1" applyAlignment="1">
      <alignment horizontal="center" vertical="center"/>
    </xf>
    <xf numFmtId="4" fontId="58" fillId="0" borderId="126" xfId="31" applyNumberFormat="1" applyFont="1" applyBorder="1" applyAlignment="1">
      <alignment horizontal="center" vertical="center"/>
    </xf>
    <xf numFmtId="4" fontId="58" fillId="0" borderId="127" xfId="31" applyNumberFormat="1" applyFont="1" applyBorder="1" applyAlignment="1">
      <alignment horizontal="center" vertical="center"/>
    </xf>
    <xf numFmtId="4" fontId="58" fillId="0" borderId="41" xfId="31" applyNumberFormat="1" applyFont="1" applyBorder="1" applyAlignment="1">
      <alignment horizontal="center"/>
    </xf>
    <xf numFmtId="4" fontId="58" fillId="0" borderId="20" xfId="31" applyNumberFormat="1" applyFont="1" applyBorder="1" applyAlignment="1">
      <alignment horizontal="center"/>
    </xf>
    <xf numFmtId="4" fontId="58" fillId="0" borderId="145" xfId="31" applyNumberFormat="1" applyFont="1" applyBorder="1" applyAlignment="1">
      <alignment horizontal="center"/>
    </xf>
    <xf numFmtId="4" fontId="58" fillId="0" borderId="44" xfId="31" applyNumberFormat="1" applyFont="1" applyBorder="1" applyAlignment="1">
      <alignment horizontal="center"/>
    </xf>
    <xf numFmtId="4" fontId="58" fillId="0" borderId="31" xfId="31" applyNumberFormat="1" applyFont="1" applyBorder="1" applyAlignment="1">
      <alignment horizontal="center"/>
    </xf>
    <xf numFmtId="4" fontId="58" fillId="0" borderId="66" xfId="31" applyNumberFormat="1" applyFont="1" applyBorder="1" applyAlignment="1">
      <alignment horizontal="center"/>
    </xf>
    <xf numFmtId="4" fontId="58" fillId="0" borderId="32" xfId="31" applyNumberFormat="1" applyFont="1" applyBorder="1" applyAlignment="1">
      <alignment horizontal="center"/>
    </xf>
    <xf numFmtId="4" fontId="58" fillId="0" borderId="101" xfId="31" applyNumberFormat="1" applyFont="1" applyBorder="1" applyAlignment="1">
      <alignment horizontal="center"/>
    </xf>
    <xf numFmtId="4" fontId="58" fillId="0" borderId="102" xfId="31" applyNumberFormat="1" applyFont="1" applyBorder="1" applyAlignment="1">
      <alignment horizontal="center"/>
    </xf>
    <xf numFmtId="4" fontId="58" fillId="0" borderId="33" xfId="31" applyNumberFormat="1" applyFont="1" applyBorder="1" applyAlignment="1">
      <alignment horizontal="center"/>
    </xf>
    <xf numFmtId="4" fontId="58" fillId="0" borderId="34" xfId="31" applyNumberFormat="1" applyFont="1" applyBorder="1" applyAlignment="1">
      <alignment horizontal="center"/>
    </xf>
    <xf numFmtId="4" fontId="58" fillId="0" borderId="106" xfId="31" applyNumberFormat="1" applyFont="1" applyBorder="1" applyAlignment="1">
      <alignment horizontal="center"/>
    </xf>
    <xf numFmtId="4" fontId="58" fillId="0" borderId="103" xfId="31" applyNumberFormat="1" applyFont="1" applyBorder="1" applyAlignment="1">
      <alignment horizontal="center"/>
    </xf>
    <xf numFmtId="4" fontId="58" fillId="0" borderId="104" xfId="31" applyNumberFormat="1" applyFont="1" applyBorder="1" applyAlignment="1">
      <alignment horizontal="center" vertical="center" wrapText="1"/>
    </xf>
    <xf numFmtId="4" fontId="58" fillId="0" borderId="105" xfId="31" applyNumberFormat="1" applyFont="1" applyBorder="1" applyAlignment="1">
      <alignment horizontal="center" vertical="center" wrapText="1"/>
    </xf>
    <xf numFmtId="4" fontId="58" fillId="0" borderId="85" xfId="31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40" fillId="0" borderId="0" xfId="0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0" fontId="41" fillId="0" borderId="41" xfId="0" applyFont="1" applyFill="1" applyBorder="1" applyAlignment="1">
      <alignment horizontal="center"/>
    </xf>
    <xf numFmtId="0" fontId="41" fillId="0" borderId="78" xfId="0" applyFont="1" applyFill="1" applyBorder="1" applyAlignment="1">
      <alignment horizontal="center"/>
    </xf>
    <xf numFmtId="0" fontId="41" fillId="0" borderId="84" xfId="0" applyFont="1" applyFill="1" applyBorder="1" applyAlignment="1">
      <alignment horizontal="center"/>
    </xf>
    <xf numFmtId="49" fontId="41" fillId="0" borderId="20" xfId="0" applyNumberFormat="1" applyFont="1" applyFill="1" applyBorder="1" applyAlignment="1">
      <alignment horizontal="center"/>
    </xf>
    <xf numFmtId="49" fontId="41" fillId="0" borderId="0" xfId="0" applyNumberFormat="1" applyFont="1" applyFill="1" applyBorder="1" applyAlignment="1">
      <alignment horizontal="center"/>
    </xf>
    <xf numFmtId="49" fontId="41" fillId="0" borderId="23" xfId="0" applyNumberFormat="1" applyFont="1" applyFill="1" applyBorder="1" applyAlignment="1">
      <alignment horizontal="center"/>
    </xf>
    <xf numFmtId="0" fontId="41" fillId="0" borderId="2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41" fillId="0" borderId="23" xfId="0" applyFont="1" applyFill="1" applyBorder="1" applyAlignment="1">
      <alignment horizontal="center"/>
    </xf>
    <xf numFmtId="0" fontId="43" fillId="0" borderId="44" xfId="0" applyFont="1" applyFill="1" applyBorder="1" applyAlignment="1">
      <alignment horizontal="center"/>
    </xf>
    <xf numFmtId="0" fontId="43" fillId="0" borderId="31" xfId="0" applyFont="1" applyFill="1" applyBorder="1" applyAlignment="1">
      <alignment horizontal="center"/>
    </xf>
    <xf numFmtId="0" fontId="43" fillId="0" borderId="85" xfId="0" applyFont="1" applyFill="1" applyBorder="1" applyAlignment="1">
      <alignment horizontal="center"/>
    </xf>
    <xf numFmtId="49" fontId="40" fillId="0" borderId="0" xfId="0" applyNumberFormat="1" applyFont="1" applyFill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40" fillId="0" borderId="0" xfId="0" applyFont="1" applyFill="1" applyAlignment="1">
      <alignment horizontal="center" vertical="center" wrapText="1"/>
    </xf>
    <xf numFmtId="49" fontId="40" fillId="0" borderId="31" xfId="0" applyNumberFormat="1" applyFont="1" applyFill="1" applyBorder="1" applyAlignment="1">
      <alignment horizontal="center"/>
    </xf>
    <xf numFmtId="0" fontId="44" fillId="0" borderId="33" xfId="0" applyFont="1" applyFill="1" applyBorder="1" applyAlignment="1">
      <alignment horizontal="center" vertical="center" wrapText="1"/>
    </xf>
    <xf numFmtId="0" fontId="45" fillId="0" borderId="35" xfId="0" applyFont="1" applyFill="1" applyBorder="1" applyAlignment="1">
      <alignment vertical="center" wrapText="1"/>
    </xf>
    <xf numFmtId="0" fontId="44" fillId="0" borderId="27" xfId="0" applyFont="1" applyFill="1" applyBorder="1" applyAlignment="1">
      <alignment horizontal="center" vertical="center" wrapText="1"/>
    </xf>
    <xf numFmtId="0" fontId="45" fillId="0" borderId="87" xfId="0" applyFont="1" applyFill="1" applyBorder="1" applyAlignment="1">
      <alignment vertical="center" wrapText="1"/>
    </xf>
    <xf numFmtId="164" fontId="40" fillId="0" borderId="0" xfId="37" applyFont="1" applyFill="1" applyAlignment="1">
      <alignment horizontal="center"/>
    </xf>
    <xf numFmtId="0" fontId="47" fillId="0" borderId="0" xfId="0" applyFont="1" applyFill="1" applyAlignment="1">
      <alignment horizontal="center"/>
    </xf>
    <xf numFmtId="49" fontId="47" fillId="0" borderId="0" xfId="0" applyNumberFormat="1" applyFont="1" applyFill="1" applyAlignment="1">
      <alignment horizontal="center"/>
    </xf>
    <xf numFmtId="49" fontId="56" fillId="0" borderId="33" xfId="0" applyNumberFormat="1" applyFont="1" applyFill="1" applyBorder="1" applyAlignment="1">
      <alignment horizontal="center" vertical="center" wrapText="1"/>
    </xf>
    <xf numFmtId="49" fontId="56" fillId="0" borderId="35" xfId="0" applyNumberFormat="1" applyFont="1" applyFill="1" applyBorder="1" applyAlignment="1">
      <alignment horizontal="center" vertical="center" wrapText="1"/>
    </xf>
    <xf numFmtId="49" fontId="47" fillId="0" borderId="0" xfId="0" applyNumberFormat="1" applyFont="1" applyFill="1" applyBorder="1" applyAlignment="1">
      <alignment horizontal="center"/>
    </xf>
    <xf numFmtId="0" fontId="56" fillId="0" borderId="33" xfId="0" applyFont="1" applyFill="1" applyBorder="1" applyAlignment="1">
      <alignment horizontal="center" vertical="center" wrapText="1"/>
    </xf>
    <xf numFmtId="0" fontId="57" fillId="0" borderId="35" xfId="0" applyFont="1" applyFill="1" applyBorder="1" applyAlignment="1">
      <alignment vertical="center" wrapText="1"/>
    </xf>
    <xf numFmtId="0" fontId="56" fillId="0" borderId="27" xfId="0" applyFont="1" applyFill="1" applyBorder="1" applyAlignment="1">
      <alignment horizontal="center" vertical="center" wrapText="1"/>
    </xf>
    <xf numFmtId="0" fontId="57" fillId="0" borderId="87" xfId="0" applyFont="1" applyFill="1" applyBorder="1" applyAlignment="1">
      <alignment vertical="center" wrapText="1"/>
    </xf>
    <xf numFmtId="44" fontId="62" fillId="0" borderId="10" xfId="49" applyFont="1" applyBorder="1" applyAlignment="1">
      <alignment horizontal="center" vertical="center" wrapText="1"/>
    </xf>
    <xf numFmtId="44" fontId="3" fillId="0" borderId="10" xfId="49" applyFont="1" applyBorder="1" applyAlignment="1">
      <alignment horizontal="center"/>
    </xf>
    <xf numFmtId="49" fontId="52" fillId="0" borderId="10" xfId="48" applyNumberFormat="1" applyFont="1" applyBorder="1" applyAlignment="1">
      <alignment horizontal="center"/>
    </xf>
    <xf numFmtId="0" fontId="52" fillId="0" borderId="10" xfId="48" applyFont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0" fontId="66" fillId="0" borderId="0" xfId="0" applyFont="1" applyFill="1"/>
    <xf numFmtId="0" fontId="65" fillId="0" borderId="0" xfId="0" applyFont="1" applyFill="1" applyAlignment="1">
      <alignment horizontal="center"/>
    </xf>
    <xf numFmtId="0" fontId="65" fillId="0" borderId="0" xfId="0" applyFont="1" applyFill="1" applyAlignment="1">
      <alignment horizontal="center"/>
    </xf>
    <xf numFmtId="0" fontId="67" fillId="0" borderId="0" xfId="0" applyFont="1" applyFill="1" applyAlignment="1">
      <alignment horizontal="center"/>
    </xf>
    <xf numFmtId="0" fontId="68" fillId="0" borderId="41" xfId="0" applyFont="1" applyFill="1" applyBorder="1" applyAlignment="1">
      <alignment horizontal="center" vertical="center"/>
    </xf>
    <xf numFmtId="0" fontId="68" fillId="0" borderId="33" xfId="0" applyFont="1" applyFill="1" applyBorder="1" applyAlignment="1">
      <alignment horizontal="center" vertical="center" wrapText="1"/>
    </xf>
    <xf numFmtId="0" fontId="68" fillId="0" borderId="33" xfId="0" applyFont="1" applyFill="1" applyBorder="1" applyAlignment="1">
      <alignment horizontal="center" vertical="center"/>
    </xf>
    <xf numFmtId="0" fontId="68" fillId="0" borderId="41" xfId="0" applyFont="1" applyFill="1" applyBorder="1" applyAlignment="1">
      <alignment horizontal="center" vertical="center" wrapText="1"/>
    </xf>
    <xf numFmtId="0" fontId="68" fillId="0" borderId="78" xfId="0" applyFont="1" applyFill="1" applyBorder="1" applyAlignment="1">
      <alignment horizontal="center" vertical="center" wrapText="1"/>
    </xf>
    <xf numFmtId="0" fontId="68" fillId="0" borderId="84" xfId="0" applyFont="1" applyFill="1" applyBorder="1" applyAlignment="1">
      <alignment horizontal="center" vertical="center" wrapText="1"/>
    </xf>
    <xf numFmtId="0" fontId="68" fillId="0" borderId="32" xfId="0" applyFont="1" applyFill="1" applyBorder="1" applyAlignment="1">
      <alignment horizontal="center" vertical="center"/>
    </xf>
    <xf numFmtId="0" fontId="68" fillId="0" borderId="47" xfId="0" applyFont="1" applyFill="1" applyBorder="1" applyAlignment="1">
      <alignment horizontal="center" vertical="center"/>
    </xf>
    <xf numFmtId="0" fontId="68" fillId="0" borderId="20" xfId="0" applyFont="1" applyFill="1" applyBorder="1" applyAlignment="1">
      <alignment horizontal="center" vertical="center"/>
    </xf>
    <xf numFmtId="0" fontId="69" fillId="0" borderId="34" xfId="0" applyFont="1" applyFill="1" applyBorder="1" applyAlignment="1">
      <alignment horizontal="center" vertical="center" wrapText="1"/>
    </xf>
    <xf numFmtId="0" fontId="69" fillId="0" borderId="34" xfId="0" applyFont="1" applyFill="1" applyBorder="1" applyAlignment="1">
      <alignment horizontal="center" vertical="center"/>
    </xf>
    <xf numFmtId="0" fontId="68" fillId="0" borderId="20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 wrapText="1"/>
    </xf>
    <xf numFmtId="0" fontId="68" fillId="0" borderId="23" xfId="0" applyFont="1" applyFill="1" applyBorder="1" applyAlignment="1">
      <alignment horizontal="center" vertical="center" wrapText="1"/>
    </xf>
    <xf numFmtId="0" fontId="68" fillId="0" borderId="44" xfId="0" applyFont="1" applyFill="1" applyBorder="1" applyAlignment="1">
      <alignment horizontal="center" vertical="center" wrapText="1"/>
    </xf>
    <xf numFmtId="0" fontId="68" fillId="0" borderId="31" xfId="0" applyFont="1" applyFill="1" applyBorder="1" applyAlignment="1">
      <alignment horizontal="center" vertical="center" wrapText="1"/>
    </xf>
    <xf numFmtId="0" fontId="68" fillId="0" borderId="85" xfId="0" applyFont="1" applyFill="1" applyBorder="1" applyAlignment="1">
      <alignment horizontal="center" vertical="center" wrapText="1"/>
    </xf>
    <xf numFmtId="10" fontId="68" fillId="0" borderId="66" xfId="0" applyNumberFormat="1" applyFont="1" applyFill="1" applyBorder="1" applyAlignment="1">
      <alignment vertical="center"/>
    </xf>
    <xf numFmtId="9" fontId="68" fillId="0" borderId="66" xfId="0" applyNumberFormat="1" applyFont="1" applyFill="1" applyBorder="1" applyAlignment="1">
      <alignment horizontal="center" vertical="center"/>
    </xf>
    <xf numFmtId="9" fontId="68" fillId="0" borderId="47" xfId="0" applyNumberFormat="1" applyFont="1" applyFill="1" applyBorder="1" applyAlignment="1">
      <alignment horizontal="center" vertical="center"/>
    </xf>
    <xf numFmtId="9" fontId="68" fillId="0" borderId="33" xfId="0" applyNumberFormat="1" applyFont="1" applyFill="1" applyBorder="1" applyAlignment="1">
      <alignment vertical="center"/>
    </xf>
    <xf numFmtId="9" fontId="68" fillId="0" borderId="84" xfId="0" applyNumberFormat="1" applyFont="1" applyFill="1" applyBorder="1" applyAlignment="1">
      <alignment vertical="center"/>
    </xf>
    <xf numFmtId="0" fontId="68" fillId="0" borderId="34" xfId="0" applyFont="1" applyFill="1" applyBorder="1" applyAlignment="1">
      <alignment horizontal="center" vertical="center"/>
    </xf>
    <xf numFmtId="0" fontId="68" fillId="26" borderId="33" xfId="0" applyFont="1" applyFill="1" applyBorder="1" applyAlignment="1">
      <alignment horizontal="center" vertical="center"/>
    </xf>
    <xf numFmtId="10" fontId="68" fillId="0" borderId="33" xfId="0" applyNumberFormat="1" applyFont="1" applyFill="1" applyBorder="1" applyAlignment="1">
      <alignment horizontal="center" vertical="center"/>
    </xf>
    <xf numFmtId="9" fontId="68" fillId="0" borderId="33" xfId="0" applyNumberFormat="1" applyFont="1" applyFill="1" applyBorder="1" applyAlignment="1">
      <alignment horizontal="center" vertical="center"/>
    </xf>
    <xf numFmtId="9" fontId="68" fillId="0" borderId="23" xfId="0" applyNumberFormat="1" applyFont="1" applyFill="1" applyBorder="1" applyAlignment="1">
      <alignment horizontal="center" vertical="center"/>
    </xf>
    <xf numFmtId="0" fontId="68" fillId="0" borderId="44" xfId="0" applyFont="1" applyFill="1" applyBorder="1" applyAlignment="1">
      <alignment horizontal="center" vertical="center"/>
    </xf>
    <xf numFmtId="0" fontId="69" fillId="0" borderId="35" xfId="0" applyFont="1" applyFill="1" applyBorder="1" applyAlignment="1">
      <alignment horizontal="center" vertical="center" wrapText="1"/>
    </xf>
    <xf numFmtId="0" fontId="69" fillId="0" borderId="35" xfId="0" applyFont="1" applyFill="1" applyBorder="1" applyAlignment="1">
      <alignment horizontal="center" vertical="center"/>
    </xf>
    <xf numFmtId="0" fontId="68" fillId="26" borderId="35" xfId="0" applyFont="1" applyFill="1" applyBorder="1" applyAlignment="1">
      <alignment horizontal="center" vertical="center"/>
    </xf>
    <xf numFmtId="0" fontId="68" fillId="0" borderId="35" xfId="0" applyFont="1" applyFill="1" applyBorder="1" applyAlignment="1">
      <alignment horizontal="center" vertical="center"/>
    </xf>
    <xf numFmtId="0" fontId="68" fillId="0" borderId="35" xfId="0" applyFont="1" applyFill="1" applyBorder="1" applyAlignment="1">
      <alignment horizontal="center" vertical="center" wrapText="1"/>
    </xf>
    <xf numFmtId="10" fontId="68" fillId="0" borderId="35" xfId="0" applyNumberFormat="1" applyFont="1" applyFill="1" applyBorder="1" applyAlignment="1">
      <alignment horizontal="center" vertical="center"/>
    </xf>
    <xf numFmtId="10" fontId="68" fillId="0" borderId="35" xfId="0" applyNumberFormat="1" applyFont="1" applyFill="1" applyBorder="1" applyAlignment="1">
      <alignment horizontal="center" vertical="center" wrapText="1"/>
    </xf>
    <xf numFmtId="0" fontId="68" fillId="0" borderId="35" xfId="0" applyFont="1" applyFill="1" applyBorder="1" applyAlignment="1">
      <alignment horizontal="center" vertical="center"/>
    </xf>
    <xf numFmtId="0" fontId="70" fillId="0" borderId="43" xfId="0" applyFont="1" applyFill="1" applyBorder="1" applyAlignment="1">
      <alignment horizontal="center"/>
    </xf>
    <xf numFmtId="0" fontId="70" fillId="0" borderId="20" xfId="0" applyFont="1" applyFill="1" applyBorder="1"/>
    <xf numFmtId="0" fontId="70" fillId="0" borderId="33" xfId="0" applyFont="1" applyFill="1" applyBorder="1"/>
    <xf numFmtId="0" fontId="70" fillId="0" borderId="33" xfId="0" applyFont="1" applyFill="1" applyBorder="1" applyAlignment="1">
      <alignment horizontal="center"/>
    </xf>
    <xf numFmtId="49" fontId="70" fillId="0" borderId="33" xfId="0" applyNumberFormat="1" applyFont="1" applyFill="1" applyBorder="1" applyAlignment="1">
      <alignment horizontal="center"/>
    </xf>
    <xf numFmtId="164" fontId="70" fillId="0" borderId="33" xfId="37" applyFont="1" applyFill="1" applyBorder="1" applyAlignment="1">
      <alignment horizontal="center"/>
    </xf>
    <xf numFmtId="167" fontId="70" fillId="0" borderId="33" xfId="35" applyNumberFormat="1" applyFont="1" applyFill="1" applyBorder="1" applyAlignment="1">
      <alignment horizontal="center"/>
    </xf>
    <xf numFmtId="167" fontId="70" fillId="0" borderId="33" xfId="35" applyNumberFormat="1" applyFont="1" applyFill="1" applyBorder="1"/>
    <xf numFmtId="167" fontId="70" fillId="0" borderId="23" xfId="35" applyNumberFormat="1" applyFont="1" applyFill="1" applyBorder="1"/>
    <xf numFmtId="4" fontId="66" fillId="0" borderId="0" xfId="0" applyNumberFormat="1" applyFont="1" applyFill="1"/>
    <xf numFmtId="0" fontId="70" fillId="0" borderId="20" xfId="0" applyFont="1" applyFill="1" applyBorder="1" applyAlignment="1">
      <alignment wrapText="1"/>
    </xf>
    <xf numFmtId="0" fontId="70" fillId="0" borderId="34" xfId="0" applyFont="1" applyFill="1" applyBorder="1"/>
    <xf numFmtId="0" fontId="70" fillId="0" borderId="34" xfId="0" applyFont="1" applyFill="1" applyBorder="1" applyAlignment="1">
      <alignment horizontal="center"/>
    </xf>
    <xf numFmtId="49" fontId="70" fillId="0" borderId="34" xfId="0" applyNumberFormat="1" applyFont="1" applyFill="1" applyBorder="1" applyAlignment="1">
      <alignment horizontal="center"/>
    </xf>
    <xf numFmtId="164" fontId="70" fillId="0" borderId="34" xfId="37" applyFont="1" applyFill="1" applyBorder="1" applyAlignment="1">
      <alignment horizontal="center"/>
    </xf>
    <xf numFmtId="167" fontId="70" fillId="0" borderId="34" xfId="35" applyNumberFormat="1" applyFont="1" applyFill="1" applyBorder="1" applyAlignment="1">
      <alignment horizontal="center"/>
    </xf>
    <xf numFmtId="167" fontId="70" fillId="26" borderId="34" xfId="35" applyNumberFormat="1" applyFont="1" applyFill="1" applyBorder="1" applyAlignment="1">
      <alignment horizontal="center"/>
    </xf>
    <xf numFmtId="167" fontId="70" fillId="0" borderId="34" xfId="35" applyNumberFormat="1" applyFont="1" applyFill="1" applyBorder="1"/>
    <xf numFmtId="167" fontId="71" fillId="0" borderId="34" xfId="35" applyNumberFormat="1" applyFont="1" applyFill="1" applyBorder="1"/>
    <xf numFmtId="4" fontId="65" fillId="0" borderId="0" xfId="0" applyNumberFormat="1" applyFont="1" applyFill="1"/>
    <xf numFmtId="0" fontId="65" fillId="0" borderId="0" xfId="0" applyFont="1" applyFill="1"/>
    <xf numFmtId="167" fontId="70" fillId="0" borderId="37" xfId="35" applyNumberFormat="1" applyFont="1" applyFill="1" applyBorder="1"/>
    <xf numFmtId="0" fontId="70" fillId="0" borderId="70" xfId="0" applyFont="1" applyFill="1" applyBorder="1" applyAlignment="1">
      <alignment horizontal="center"/>
    </xf>
    <xf numFmtId="0" fontId="71" fillId="0" borderId="71" xfId="0" applyFont="1" applyFill="1" applyBorder="1"/>
    <xf numFmtId="0" fontId="70" fillId="0" borderId="88" xfId="0" applyFont="1" applyFill="1" applyBorder="1"/>
    <xf numFmtId="0" fontId="71" fillId="0" borderId="88" xfId="0" applyFont="1" applyFill="1" applyBorder="1" applyAlignment="1">
      <alignment horizontal="center"/>
    </xf>
    <xf numFmtId="49" fontId="70" fillId="0" borderId="88" xfId="0" applyNumberFormat="1" applyFont="1" applyFill="1" applyBorder="1" applyAlignment="1">
      <alignment horizontal="center"/>
    </xf>
    <xf numFmtId="167" fontId="71" fillId="0" borderId="88" xfId="35" applyNumberFormat="1" applyFont="1" applyFill="1" applyBorder="1" applyAlignment="1">
      <alignment horizontal="center"/>
    </xf>
    <xf numFmtId="167" fontId="71" fillId="0" borderId="72" xfId="35" applyNumberFormat="1" applyFont="1" applyFill="1" applyBorder="1" applyAlignment="1">
      <alignment horizontal="center"/>
    </xf>
    <xf numFmtId="0" fontId="70" fillId="0" borderId="20" xfId="0" applyFont="1" applyFill="1" applyBorder="1" applyAlignment="1">
      <alignment horizontal="left" vertical="center" wrapText="1"/>
    </xf>
    <xf numFmtId="0" fontId="70" fillId="0" borderId="34" xfId="0" applyFont="1" applyFill="1" applyBorder="1" applyAlignment="1">
      <alignment vertical="center"/>
    </xf>
    <xf numFmtId="0" fontId="70" fillId="0" borderId="34" xfId="0" applyFont="1" applyFill="1" applyBorder="1" applyAlignment="1">
      <alignment horizontal="center" vertical="center"/>
    </xf>
    <xf numFmtId="49" fontId="70" fillId="0" borderId="34" xfId="0" applyNumberFormat="1" applyFont="1" applyFill="1" applyBorder="1" applyAlignment="1">
      <alignment horizontal="center" vertical="center"/>
    </xf>
    <xf numFmtId="164" fontId="70" fillId="0" borderId="34" xfId="37" applyFont="1" applyFill="1" applyBorder="1" applyAlignment="1">
      <alignment horizontal="center" vertical="center"/>
    </xf>
    <xf numFmtId="167" fontId="70" fillId="0" borderId="34" xfId="35" applyNumberFormat="1" applyFont="1" applyFill="1" applyBorder="1" applyAlignment="1">
      <alignment horizontal="center" vertical="center"/>
    </xf>
    <xf numFmtId="167" fontId="70" fillId="0" borderId="34" xfId="35" applyNumberFormat="1" applyFont="1" applyFill="1" applyBorder="1" applyAlignment="1">
      <alignment vertical="center"/>
    </xf>
    <xf numFmtId="167" fontId="70" fillId="0" borderId="23" xfId="35" applyNumberFormat="1" applyFont="1" applyFill="1" applyBorder="1" applyAlignment="1">
      <alignment vertical="center"/>
    </xf>
    <xf numFmtId="4" fontId="70" fillId="0" borderId="0" xfId="0" applyNumberFormat="1" applyFont="1" applyFill="1"/>
    <xf numFmtId="0" fontId="70" fillId="0" borderId="0" xfId="0" applyFont="1" applyFill="1"/>
    <xf numFmtId="0" fontId="70" fillId="0" borderId="20" xfId="0" applyFont="1" applyFill="1" applyBorder="1" applyAlignment="1">
      <alignment vertical="center" wrapText="1"/>
    </xf>
    <xf numFmtId="167" fontId="71" fillId="0" borderId="88" xfId="35" applyNumberFormat="1" applyFont="1" applyFill="1" applyBorder="1"/>
    <xf numFmtId="167" fontId="71" fillId="0" borderId="72" xfId="35" applyNumberFormat="1" applyFont="1" applyFill="1" applyBorder="1"/>
    <xf numFmtId="0" fontId="72" fillId="0" borderId="20" xfId="0" applyFont="1" applyFill="1" applyBorder="1"/>
    <xf numFmtId="0" fontId="70" fillId="0" borderId="71" xfId="0" applyFont="1" applyFill="1" applyBorder="1"/>
    <xf numFmtId="0" fontId="70" fillId="0" borderId="88" xfId="0" applyFont="1" applyFill="1" applyBorder="1" applyAlignment="1">
      <alignment horizontal="center"/>
    </xf>
    <xf numFmtId="167" fontId="70" fillId="0" borderId="88" xfId="35" applyNumberFormat="1" applyFont="1" applyFill="1" applyBorder="1" applyAlignment="1">
      <alignment horizontal="center"/>
    </xf>
    <xf numFmtId="167" fontId="70" fillId="0" borderId="72" xfId="35" applyNumberFormat="1" applyFont="1" applyFill="1" applyBorder="1"/>
    <xf numFmtId="0" fontId="70" fillId="0" borderId="73" xfId="0" applyFont="1" applyFill="1" applyBorder="1" applyAlignment="1">
      <alignment horizontal="center"/>
    </xf>
    <xf numFmtId="0" fontId="70" fillId="0" borderId="50" xfId="0" applyFont="1" applyFill="1" applyBorder="1"/>
    <xf numFmtId="0" fontId="70" fillId="0" borderId="37" xfId="0" applyFont="1" applyFill="1" applyBorder="1"/>
    <xf numFmtId="0" fontId="70" fillId="0" borderId="37" xfId="0" applyFont="1" applyFill="1" applyBorder="1" applyAlignment="1">
      <alignment horizontal="center"/>
    </xf>
    <xf numFmtId="49" fontId="70" fillId="0" borderId="37" xfId="0" applyNumberFormat="1" applyFont="1" applyFill="1" applyBorder="1" applyAlignment="1">
      <alignment horizontal="center"/>
    </xf>
    <xf numFmtId="167" fontId="70" fillId="0" borderId="37" xfId="35" applyNumberFormat="1" applyFont="1" applyFill="1" applyBorder="1" applyAlignment="1">
      <alignment horizontal="center"/>
    </xf>
    <xf numFmtId="167" fontId="70" fillId="0" borderId="49" xfId="35" applyNumberFormat="1" applyFont="1" applyFill="1" applyBorder="1"/>
    <xf numFmtId="0" fontId="70" fillId="0" borderId="16" xfId="0" applyFont="1" applyFill="1" applyBorder="1" applyAlignment="1">
      <alignment horizontal="center"/>
    </xf>
    <xf numFmtId="0" fontId="71" fillId="0" borderId="74" xfId="0" applyFont="1" applyFill="1" applyBorder="1"/>
    <xf numFmtId="0" fontId="70" fillId="0" borderId="89" xfId="0" applyFont="1" applyFill="1" applyBorder="1"/>
    <xf numFmtId="0" fontId="71" fillId="0" borderId="89" xfId="0" applyFont="1" applyFill="1" applyBorder="1" applyAlignment="1">
      <alignment horizontal="center"/>
    </xf>
    <xf numFmtId="49" fontId="70" fillId="0" borderId="89" xfId="0" applyNumberFormat="1" applyFont="1" applyFill="1" applyBorder="1" applyAlignment="1">
      <alignment horizontal="center"/>
    </xf>
    <xf numFmtId="167" fontId="71" fillId="0" borderId="89" xfId="35" applyNumberFormat="1" applyFont="1" applyFill="1" applyBorder="1" applyAlignment="1">
      <alignment horizontal="center"/>
    </xf>
    <xf numFmtId="167" fontId="71" fillId="0" borderId="75" xfId="35" applyNumberFormat="1" applyFont="1" applyFill="1" applyBorder="1" applyAlignment="1">
      <alignment horizontal="center"/>
    </xf>
    <xf numFmtId="167" fontId="70" fillId="0" borderId="72" xfId="35" applyNumberFormat="1" applyFont="1" applyFill="1" applyBorder="1" applyAlignment="1">
      <alignment horizontal="center"/>
    </xf>
    <xf numFmtId="171" fontId="66" fillId="0" borderId="0" xfId="0" applyNumberFormat="1" applyFont="1" applyFill="1"/>
    <xf numFmtId="0" fontId="71" fillId="0" borderId="89" xfId="0" applyFont="1" applyFill="1" applyBorder="1"/>
    <xf numFmtId="49" fontId="71" fillId="0" borderId="89" xfId="0" applyNumberFormat="1" applyFont="1" applyFill="1" applyBorder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34" xfId="0" applyFont="1" applyFill="1" applyBorder="1"/>
    <xf numFmtId="167" fontId="71" fillId="0" borderId="34" xfId="35" applyNumberFormat="1" applyFont="1" applyFill="1" applyBorder="1" applyAlignment="1">
      <alignment horizontal="center"/>
    </xf>
    <xf numFmtId="167" fontId="71" fillId="0" borderId="35" xfId="35" applyNumberFormat="1" applyFont="1" applyFill="1" applyBorder="1" applyAlignment="1">
      <alignment horizontal="center"/>
    </xf>
    <xf numFmtId="167" fontId="71" fillId="0" borderId="23" xfId="35" applyNumberFormat="1" applyFont="1" applyFill="1" applyBorder="1" applyAlignment="1">
      <alignment horizontal="center"/>
    </xf>
    <xf numFmtId="0" fontId="71" fillId="0" borderId="66" xfId="0" applyFont="1" applyFill="1" applyBorder="1" applyAlignment="1">
      <alignment horizontal="center"/>
    </xf>
    <xf numFmtId="0" fontId="71" fillId="0" borderId="66" xfId="0" applyFont="1" applyFill="1" applyBorder="1"/>
    <xf numFmtId="0" fontId="71" fillId="0" borderId="30" xfId="0" applyFont="1" applyFill="1" applyBorder="1"/>
    <xf numFmtId="49" fontId="71" fillId="0" borderId="30" xfId="0" applyNumberFormat="1" applyFont="1" applyFill="1" applyBorder="1" applyAlignment="1">
      <alignment horizontal="center"/>
    </xf>
    <xf numFmtId="167" fontId="71" fillId="0" borderId="30" xfId="35" applyNumberFormat="1" applyFont="1" applyFill="1" applyBorder="1" applyAlignment="1">
      <alignment horizontal="center"/>
    </xf>
    <xf numFmtId="167" fontId="71" fillId="0" borderId="47" xfId="35" applyNumberFormat="1" applyFont="1" applyFill="1" applyBorder="1" applyAlignment="1">
      <alignment horizontal="center"/>
    </xf>
    <xf numFmtId="4" fontId="69" fillId="0" borderId="0" xfId="0" applyNumberFormat="1" applyFont="1" applyFill="1"/>
    <xf numFmtId="0" fontId="70" fillId="0" borderId="66" xfId="0" applyFont="1" applyFill="1" applyBorder="1"/>
    <xf numFmtId="0" fontId="70" fillId="0" borderId="30" xfId="0" applyFont="1" applyFill="1" applyBorder="1"/>
    <xf numFmtId="49" fontId="70" fillId="0" borderId="30" xfId="0" applyNumberFormat="1" applyFont="1" applyFill="1" applyBorder="1" applyAlignment="1">
      <alignment horizontal="center"/>
    </xf>
    <xf numFmtId="167" fontId="70" fillId="0" borderId="30" xfId="35" applyNumberFormat="1" applyFont="1" applyFill="1" applyBorder="1" applyAlignment="1">
      <alignment horizontal="center"/>
    </xf>
    <xf numFmtId="167" fontId="71" fillId="0" borderId="30" xfId="35" applyNumberFormat="1" applyFont="1" applyFill="1" applyBorder="1"/>
    <xf numFmtId="167" fontId="73" fillId="0" borderId="30" xfId="35" applyNumberFormat="1" applyFont="1" applyFill="1" applyBorder="1"/>
    <xf numFmtId="167" fontId="71" fillId="0" borderId="47" xfId="35" applyNumberFormat="1" applyFont="1" applyFill="1" applyBorder="1"/>
    <xf numFmtId="0" fontId="66" fillId="0" borderId="0" xfId="0" applyFont="1" applyBorder="1"/>
    <xf numFmtId="0" fontId="66" fillId="0" borderId="0" xfId="0" applyFont="1"/>
    <xf numFmtId="0" fontId="66" fillId="0" borderId="0" xfId="0" applyFont="1" applyAlignment="1">
      <alignment horizontal="center"/>
    </xf>
    <xf numFmtId="0" fontId="74" fillId="0" borderId="0" xfId="0" applyFont="1" applyFill="1" applyAlignment="1">
      <alignment horizontal="center"/>
    </xf>
    <xf numFmtId="167" fontId="74" fillId="0" borderId="0" xfId="0" applyNumberFormat="1" applyFont="1"/>
    <xf numFmtId="167" fontId="69" fillId="0" borderId="0" xfId="0" applyNumberFormat="1" applyFont="1"/>
    <xf numFmtId="0" fontId="74" fillId="0" borderId="0" xfId="0" applyFont="1"/>
    <xf numFmtId="4" fontId="74" fillId="0" borderId="0" xfId="0" applyNumberFormat="1" applyFont="1"/>
    <xf numFmtId="4" fontId="66" fillId="0" borderId="0" xfId="0" applyNumberFormat="1" applyFont="1"/>
    <xf numFmtId="167" fontId="74" fillId="0" borderId="0" xfId="0" applyNumberFormat="1" applyFont="1" applyFill="1" applyAlignment="1">
      <alignment horizontal="center"/>
    </xf>
    <xf numFmtId="168" fontId="74" fillId="0" borderId="0" xfId="0" applyNumberFormat="1" applyFont="1"/>
    <xf numFmtId="168" fontId="69" fillId="0" borderId="0" xfId="0" applyNumberFormat="1" applyFont="1"/>
    <xf numFmtId="164" fontId="74" fillId="0" borderId="0" xfId="37" applyFont="1"/>
    <xf numFmtId="164" fontId="75" fillId="0" borderId="0" xfId="37" applyFont="1"/>
    <xf numFmtId="0" fontId="69" fillId="0" borderId="0" xfId="0" applyFont="1" applyBorder="1"/>
    <xf numFmtId="164" fontId="74" fillId="0" borderId="0" xfId="37" applyFont="1" applyFill="1" applyAlignment="1">
      <alignment horizontal="center"/>
    </xf>
    <xf numFmtId="164" fontId="74" fillId="0" borderId="0" xfId="37" applyFont="1" applyAlignment="1">
      <alignment horizontal="center"/>
    </xf>
    <xf numFmtId="164" fontId="69" fillId="0" borderId="0" xfId="37" applyFont="1" applyAlignment="1">
      <alignment horizontal="center"/>
    </xf>
    <xf numFmtId="164" fontId="74" fillId="0" borderId="0" xfId="0" applyNumberFormat="1" applyFont="1"/>
    <xf numFmtId="0" fontId="69" fillId="0" borderId="0" xfId="0" applyFont="1" applyFill="1" applyBorder="1"/>
    <xf numFmtId="0" fontId="69" fillId="0" borderId="0" xfId="0" applyFont="1"/>
    <xf numFmtId="164" fontId="74" fillId="0" borderId="83" xfId="0" applyNumberFormat="1" applyFont="1" applyBorder="1"/>
    <xf numFmtId="164" fontId="74" fillId="0" borderId="0" xfId="0" applyNumberFormat="1" applyFont="1" applyFill="1" applyAlignment="1">
      <alignment horizontal="center"/>
    </xf>
    <xf numFmtId="167" fontId="66" fillId="0" borderId="0" xfId="0" applyNumberFormat="1" applyFont="1" applyFill="1" applyAlignment="1">
      <alignment horizontal="center"/>
    </xf>
    <xf numFmtId="167" fontId="66" fillId="0" borderId="0" xfId="0" applyNumberFormat="1" applyFont="1"/>
    <xf numFmtId="0" fontId="66" fillId="0" borderId="0" xfId="0" applyFont="1" applyFill="1" applyAlignment="1">
      <alignment horizontal="center"/>
    </xf>
    <xf numFmtId="167" fontId="66" fillId="0" borderId="0" xfId="0" applyNumberFormat="1" applyFont="1" applyAlignment="1">
      <alignment horizontal="center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4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Millares_bienes y servicios 2003 juayua" xfId="34"/>
    <cellStyle name="Millares_FORMATOS" xfId="35"/>
    <cellStyle name="Millares_Presupuesto_Ingresos2003" xfId="36"/>
    <cellStyle name="Moneda" xfId="37" builtinId="4"/>
    <cellStyle name="Moneda 2" xfId="49"/>
    <cellStyle name="Neutral" xfId="38" builtinId="28" customBuiltin="1"/>
    <cellStyle name="Normal" xfId="0" builtinId="0"/>
    <cellStyle name="Normal 2" xfId="48"/>
    <cellStyle name="Normal 3" xfId="50"/>
    <cellStyle name="Notas" xfId="39" builtinId="10" customBuiltin="1"/>
    <cellStyle name="Notas 2" xfId="51"/>
    <cellStyle name="Salida" xfId="40" builtinId="21" customBuiltin="1"/>
    <cellStyle name="Texto de advertencia" xfId="41" builtinId="11" customBuiltin="1"/>
    <cellStyle name="Texto explicativo" xfId="42" builtinId="53" customBuiltin="1"/>
    <cellStyle name="Título" xfId="43" builtinId="15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E23"/>
  <sheetViews>
    <sheetView topLeftCell="A22" zoomScale="115" zoomScaleNormal="115" workbookViewId="0">
      <selection activeCell="D9" sqref="D9"/>
    </sheetView>
  </sheetViews>
  <sheetFormatPr baseColWidth="10" defaultRowHeight="12.75" x14ac:dyDescent="0.2"/>
  <cols>
    <col min="1" max="1" width="2.85546875" style="79" customWidth="1"/>
    <col min="2" max="2" width="8.7109375" style="79" customWidth="1"/>
    <col min="3" max="3" width="8.42578125" style="79" customWidth="1"/>
    <col min="4" max="4" width="40.85546875" style="79" customWidth="1"/>
    <col min="5" max="5" width="35.85546875" style="79" customWidth="1"/>
    <col min="6" max="16384" width="11.42578125" style="79"/>
  </cols>
  <sheetData>
    <row r="1" spans="2:5" x14ac:dyDescent="0.2">
      <c r="B1" s="1033" t="s">
        <v>305</v>
      </c>
      <c r="C1" s="1033"/>
      <c r="D1" s="1033"/>
      <c r="E1" s="1033"/>
    </row>
    <row r="2" spans="2:5" x14ac:dyDescent="0.2">
      <c r="B2" s="1033" t="s">
        <v>449</v>
      </c>
      <c r="C2" s="1033"/>
      <c r="D2" s="1033"/>
      <c r="E2" s="1033"/>
    </row>
    <row r="3" spans="2:5" ht="13.5" thickBot="1" x14ac:dyDescent="0.25">
      <c r="B3" s="1033" t="s">
        <v>643</v>
      </c>
      <c r="C3" s="1033"/>
      <c r="D3" s="1033"/>
      <c r="E3" s="1033"/>
    </row>
    <row r="4" spans="2:5" ht="39.75" thickTop="1" thickBot="1" x14ac:dyDescent="0.25">
      <c r="B4" s="91" t="s">
        <v>598</v>
      </c>
      <c r="C4" s="92" t="s">
        <v>597</v>
      </c>
      <c r="D4" s="92" t="s">
        <v>103</v>
      </c>
      <c r="E4" s="93" t="s">
        <v>596</v>
      </c>
    </row>
    <row r="5" spans="2:5" x14ac:dyDescent="0.2">
      <c r="B5" s="94" t="s">
        <v>276</v>
      </c>
      <c r="C5" s="80"/>
      <c r="D5" s="80" t="s">
        <v>317</v>
      </c>
      <c r="E5" s="95"/>
    </row>
    <row r="6" spans="2:5" ht="73.5" customHeight="1" x14ac:dyDescent="0.2">
      <c r="B6" s="96"/>
      <c r="C6" s="81" t="s">
        <v>20</v>
      </c>
      <c r="D6" s="619" t="s">
        <v>462</v>
      </c>
      <c r="E6" s="358" t="s">
        <v>623</v>
      </c>
    </row>
    <row r="7" spans="2:5" ht="42" customHeight="1" x14ac:dyDescent="0.2">
      <c r="B7" s="96"/>
      <c r="C7" s="81" t="s">
        <v>21</v>
      </c>
      <c r="D7" s="619" t="s">
        <v>463</v>
      </c>
      <c r="E7" s="358" t="s">
        <v>620</v>
      </c>
    </row>
    <row r="8" spans="2:5" x14ac:dyDescent="0.2">
      <c r="B8" s="97" t="s">
        <v>280</v>
      </c>
      <c r="C8" s="83"/>
      <c r="D8" s="84" t="s">
        <v>281</v>
      </c>
      <c r="E8" s="98"/>
    </row>
    <row r="9" spans="2:5" ht="77.25" customHeight="1" x14ac:dyDescent="0.2">
      <c r="B9" s="96"/>
      <c r="C9" s="81" t="s">
        <v>24</v>
      </c>
      <c r="D9" s="618" t="s">
        <v>318</v>
      </c>
      <c r="E9" s="320" t="s">
        <v>644</v>
      </c>
    </row>
    <row r="10" spans="2:5" ht="51" x14ac:dyDescent="0.2">
      <c r="B10" s="96"/>
      <c r="C10" s="81" t="s">
        <v>255</v>
      </c>
      <c r="D10" s="619" t="s">
        <v>319</v>
      </c>
      <c r="E10" s="358" t="s">
        <v>710</v>
      </c>
    </row>
    <row r="11" spans="2:5" x14ac:dyDescent="0.2">
      <c r="B11" s="1034" t="s">
        <v>320</v>
      </c>
      <c r="C11" s="1035"/>
      <c r="D11" s="1035"/>
      <c r="E11" s="1036"/>
    </row>
    <row r="12" spans="2:5" x14ac:dyDescent="0.2">
      <c r="B12" s="97" t="s">
        <v>283</v>
      </c>
      <c r="C12" s="83"/>
      <c r="D12" s="84" t="s">
        <v>321</v>
      </c>
      <c r="E12" s="98"/>
    </row>
    <row r="13" spans="2:5" ht="45" customHeight="1" x14ac:dyDescent="0.2">
      <c r="B13" s="96"/>
      <c r="C13" s="201" t="s">
        <v>233</v>
      </c>
      <c r="D13" s="85" t="s">
        <v>322</v>
      </c>
      <c r="E13" s="1031" t="s">
        <v>529</v>
      </c>
    </row>
    <row r="14" spans="2:5" ht="63.75" customHeight="1" x14ac:dyDescent="0.2">
      <c r="B14" s="96"/>
      <c r="C14" s="201" t="s">
        <v>234</v>
      </c>
      <c r="D14" s="85" t="s">
        <v>323</v>
      </c>
      <c r="E14" s="1037"/>
    </row>
    <row r="15" spans="2:5" x14ac:dyDescent="0.2">
      <c r="B15" s="1034" t="s">
        <v>324</v>
      </c>
      <c r="C15" s="1035"/>
      <c r="D15" s="1035"/>
      <c r="E15" s="1036"/>
    </row>
    <row r="16" spans="2:5" x14ac:dyDescent="0.2">
      <c r="B16" s="97" t="s">
        <v>288</v>
      </c>
      <c r="C16" s="82"/>
      <c r="D16" s="84" t="s">
        <v>325</v>
      </c>
      <c r="E16" s="99"/>
    </row>
    <row r="17" spans="2:5" ht="83.25" customHeight="1" x14ac:dyDescent="0.2">
      <c r="B17" s="96"/>
      <c r="C17" s="85" t="s">
        <v>235</v>
      </c>
      <c r="D17" s="85" t="s">
        <v>461</v>
      </c>
      <c r="E17" s="1031" t="s">
        <v>464</v>
      </c>
    </row>
    <row r="18" spans="2:5" ht="22.5" customHeight="1" x14ac:dyDescent="0.2">
      <c r="B18" s="96"/>
      <c r="C18" s="172" t="s">
        <v>458</v>
      </c>
      <c r="D18" s="173" t="s">
        <v>459</v>
      </c>
      <c r="E18" s="1037"/>
    </row>
    <row r="19" spans="2:5" x14ac:dyDescent="0.2">
      <c r="B19" s="1034" t="s">
        <v>326</v>
      </c>
      <c r="C19" s="1035"/>
      <c r="D19" s="1035"/>
      <c r="E19" s="1036"/>
    </row>
    <row r="20" spans="2:5" x14ac:dyDescent="0.2">
      <c r="B20" s="97" t="s">
        <v>292</v>
      </c>
      <c r="C20" s="82"/>
      <c r="D20" s="84" t="s">
        <v>293</v>
      </c>
      <c r="E20" s="100"/>
    </row>
    <row r="21" spans="2:5" ht="60" customHeight="1" x14ac:dyDescent="0.2">
      <c r="B21" s="175"/>
      <c r="C21" s="85" t="s">
        <v>236</v>
      </c>
      <c r="D21" s="173" t="s">
        <v>471</v>
      </c>
      <c r="E21" s="1031" t="s">
        <v>469</v>
      </c>
    </row>
    <row r="22" spans="2:5" ht="13.5" thickBot="1" x14ac:dyDescent="0.25">
      <c r="B22" s="101"/>
      <c r="C22" s="204" t="s">
        <v>470</v>
      </c>
      <c r="D22" s="176" t="s">
        <v>215</v>
      </c>
      <c r="E22" s="1032"/>
    </row>
    <row r="23" spans="2:5" ht="13.5" thickTop="1" x14ac:dyDescent="0.2"/>
  </sheetData>
  <mergeCells count="9">
    <mergeCell ref="E21:E22"/>
    <mergeCell ref="B2:E2"/>
    <mergeCell ref="B1:E1"/>
    <mergeCell ref="B3:E3"/>
    <mergeCell ref="B19:E19"/>
    <mergeCell ref="B11:E11"/>
    <mergeCell ref="E13:E14"/>
    <mergeCell ref="B15:E15"/>
    <mergeCell ref="E17:E18"/>
  </mergeCells>
  <phoneticPr fontId="6" type="noConversion"/>
  <printOptions horizontalCentered="1"/>
  <pageMargins left="0.55118110236220474" right="0.31496062992125984" top="0.44" bottom="0.35" header="0" footer="0"/>
  <pageSetup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J61"/>
  <sheetViews>
    <sheetView showGridLines="0" zoomScale="115" zoomScaleNormal="115" workbookViewId="0">
      <selection activeCell="C24" sqref="C24"/>
    </sheetView>
  </sheetViews>
  <sheetFormatPr baseColWidth="10" defaultRowHeight="12.75" x14ac:dyDescent="0.2"/>
  <cols>
    <col min="1" max="1" width="8.28515625" style="924" customWidth="1"/>
    <col min="2" max="2" width="9.42578125" style="21" customWidth="1"/>
    <col min="3" max="3" width="52.5703125" style="31" customWidth="1"/>
    <col min="4" max="4" width="18.28515625" style="2" customWidth="1"/>
    <col min="5" max="5" width="16.7109375" hidden="1" customWidth="1"/>
    <col min="6" max="7" width="18.42578125" customWidth="1"/>
    <col min="8" max="8" width="18.140625" hidden="1" customWidth="1"/>
    <col min="9" max="9" width="19.42578125" customWidth="1"/>
    <col min="10" max="10" width="12.28515625" bestFit="1" customWidth="1"/>
  </cols>
  <sheetData>
    <row r="1" spans="1:9" ht="15.75" x14ac:dyDescent="0.25">
      <c r="A1" s="1124" t="s">
        <v>209</v>
      </c>
      <c r="B1" s="1124"/>
      <c r="C1" s="1124"/>
      <c r="D1" s="1124"/>
      <c r="E1" s="1124"/>
      <c r="F1" s="1124"/>
      <c r="G1" s="1124"/>
      <c r="H1" s="1124"/>
      <c r="I1" s="1124"/>
    </row>
    <row r="2" spans="1:9" x14ac:dyDescent="0.2">
      <c r="A2" s="1126" t="s">
        <v>632</v>
      </c>
      <c r="B2" s="1126"/>
      <c r="C2" s="1126"/>
      <c r="D2" s="1126"/>
      <c r="E2" s="1126"/>
      <c r="F2" s="1126"/>
      <c r="G2" s="1126"/>
      <c r="H2" s="1126"/>
      <c r="I2" s="1126"/>
    </row>
    <row r="3" spans="1:9" ht="7.5" customHeight="1" x14ac:dyDescent="0.3">
      <c r="A3" s="271"/>
      <c r="B3" s="271"/>
      <c r="C3" s="271"/>
      <c r="D3" s="271"/>
      <c r="E3" s="271"/>
      <c r="F3" s="271"/>
      <c r="G3" s="271"/>
      <c r="H3" s="271"/>
      <c r="I3" s="271"/>
    </row>
    <row r="4" spans="1:9" ht="18" customHeight="1" x14ac:dyDescent="0.3">
      <c r="A4" s="1113" t="s">
        <v>455</v>
      </c>
      <c r="B4" s="1113"/>
      <c r="C4" s="1113"/>
      <c r="D4" s="1113"/>
      <c r="E4" s="1113"/>
      <c r="F4" s="1113"/>
      <c r="G4" s="1113"/>
      <c r="H4" s="1113"/>
      <c r="I4" s="1113"/>
    </row>
    <row r="5" spans="1:9" ht="18" customHeight="1" x14ac:dyDescent="0.3">
      <c r="A5" s="1113" t="s">
        <v>683</v>
      </c>
      <c r="B5" s="1113"/>
      <c r="C5" s="1113"/>
      <c r="D5" s="1113"/>
      <c r="E5" s="1113"/>
      <c r="F5" s="1113"/>
      <c r="G5" s="1113"/>
      <c r="H5" s="1113"/>
      <c r="I5" s="1113"/>
    </row>
    <row r="6" spans="1:9" ht="18" customHeight="1" x14ac:dyDescent="0.3">
      <c r="A6" s="1113" t="s">
        <v>331</v>
      </c>
      <c r="B6" s="1113"/>
      <c r="C6" s="1113"/>
      <c r="D6" s="1113"/>
      <c r="E6" s="1113"/>
      <c r="F6" s="1113"/>
      <c r="G6" s="1113"/>
      <c r="H6" s="1113"/>
      <c r="I6" s="1113"/>
    </row>
    <row r="7" spans="1:9" ht="18" customHeight="1" x14ac:dyDescent="0.3">
      <c r="A7" s="1113" t="s">
        <v>332</v>
      </c>
      <c r="B7" s="1113"/>
      <c r="C7" s="1113"/>
      <c r="D7" s="1113"/>
      <c r="E7" s="1113"/>
      <c r="F7" s="1113"/>
      <c r="G7" s="1113"/>
      <c r="H7" s="1113"/>
      <c r="I7" s="1113"/>
    </row>
    <row r="8" spans="1:9" ht="18" customHeight="1" x14ac:dyDescent="0.3">
      <c r="A8" s="1113" t="s">
        <v>333</v>
      </c>
      <c r="B8" s="1113"/>
      <c r="C8" s="1113"/>
      <c r="D8" s="1113"/>
      <c r="E8" s="1113"/>
      <c r="F8" s="1113"/>
      <c r="G8" s="1113"/>
      <c r="H8" s="1113"/>
      <c r="I8" s="1113"/>
    </row>
    <row r="9" spans="1:9" ht="3.75" customHeight="1" thickBot="1" x14ac:dyDescent="0.35">
      <c r="A9" s="909"/>
      <c r="B9" s="269"/>
      <c r="C9" s="269"/>
      <c r="D9" s="269"/>
      <c r="E9" s="269"/>
      <c r="F9" s="269"/>
      <c r="G9" s="269"/>
      <c r="H9" s="269"/>
      <c r="I9" s="269"/>
    </row>
    <row r="10" spans="1:9" ht="13.5" thickBot="1" x14ac:dyDescent="0.25">
      <c r="A10" s="1127" t="s">
        <v>188</v>
      </c>
      <c r="B10" s="1127" t="s">
        <v>189</v>
      </c>
      <c r="C10" s="1129" t="s">
        <v>616</v>
      </c>
      <c r="D10" s="1131" t="s">
        <v>116</v>
      </c>
      <c r="E10" s="1132"/>
      <c r="F10" s="1132"/>
      <c r="G10" s="1132"/>
      <c r="H10" s="1133"/>
      <c r="I10" s="1127" t="s">
        <v>618</v>
      </c>
    </row>
    <row r="11" spans="1:9" ht="25.5" customHeight="1" thickBot="1" x14ac:dyDescent="0.25">
      <c r="A11" s="1128"/>
      <c r="B11" s="1128"/>
      <c r="C11" s="1130"/>
      <c r="D11" s="324" t="s">
        <v>192</v>
      </c>
      <c r="E11" s="325" t="s">
        <v>1</v>
      </c>
      <c r="F11" s="325" t="s">
        <v>445</v>
      </c>
      <c r="G11" s="326" t="s">
        <v>3</v>
      </c>
      <c r="H11" s="483" t="s">
        <v>121</v>
      </c>
      <c r="I11" s="1128"/>
    </row>
    <row r="12" spans="1:9" hidden="1" x14ac:dyDescent="0.2">
      <c r="A12" s="1010" t="s">
        <v>484</v>
      </c>
      <c r="B12" s="1011"/>
      <c r="C12" s="477"/>
      <c r="D12" s="491"/>
      <c r="E12" s="279"/>
      <c r="F12" s="279"/>
      <c r="G12" s="280"/>
      <c r="H12" s="484"/>
      <c r="I12" s="280"/>
    </row>
    <row r="13" spans="1:9" x14ac:dyDescent="0.2">
      <c r="A13" s="968">
        <v>61</v>
      </c>
      <c r="B13" s="958"/>
      <c r="C13" s="318" t="s">
        <v>519</v>
      </c>
      <c r="D13" s="492">
        <v>0</v>
      </c>
      <c r="E13" s="186"/>
      <c r="F13" s="185">
        <f>F14</f>
        <v>22906.04</v>
      </c>
      <c r="G13" s="281">
        <v>0</v>
      </c>
      <c r="H13" s="485"/>
      <c r="I13" s="281">
        <f>SUM(F13:H13)</f>
        <v>22906.04</v>
      </c>
    </row>
    <row r="14" spans="1:9" x14ac:dyDescent="0.2">
      <c r="A14" s="968">
        <v>611</v>
      </c>
      <c r="B14" s="958"/>
      <c r="C14" s="317" t="s">
        <v>527</v>
      </c>
      <c r="D14" s="492">
        <v>0</v>
      </c>
      <c r="E14" s="978"/>
      <c r="F14" s="979">
        <f>F15</f>
        <v>22906.04</v>
      </c>
      <c r="G14" s="980">
        <v>0</v>
      </c>
      <c r="H14" s="485"/>
      <c r="I14" s="281">
        <f>SUM(F14:H14)</f>
        <v>22906.04</v>
      </c>
    </row>
    <row r="15" spans="1:9" x14ac:dyDescent="0.2">
      <c r="A15" s="969">
        <v>61105</v>
      </c>
      <c r="B15" s="959"/>
      <c r="C15" s="319" t="s">
        <v>634</v>
      </c>
      <c r="D15" s="493">
        <v>0</v>
      </c>
      <c r="E15" s="978"/>
      <c r="F15" s="930">
        <v>22906.04</v>
      </c>
      <c r="G15" s="981">
        <v>0</v>
      </c>
      <c r="H15" s="485"/>
      <c r="I15" s="286">
        <f>SUM(D15:H15)</f>
        <v>22906.04</v>
      </c>
    </row>
    <row r="16" spans="1:9" ht="9" customHeight="1" x14ac:dyDescent="0.2">
      <c r="A16" s="917"/>
      <c r="B16" s="982"/>
      <c r="C16" s="983"/>
      <c r="D16" s="984"/>
      <c r="E16" s="985"/>
      <c r="F16" s="986"/>
      <c r="G16" s="987"/>
      <c r="H16" s="486"/>
      <c r="I16" s="321"/>
    </row>
    <row r="17" spans="1:10" hidden="1" x14ac:dyDescent="0.2">
      <c r="A17" s="968">
        <v>61</v>
      </c>
      <c r="B17" s="988"/>
      <c r="C17" s="317" t="s">
        <v>519</v>
      </c>
      <c r="D17" s="927">
        <v>0</v>
      </c>
      <c r="E17" s="989">
        <v>0</v>
      </c>
      <c r="F17" s="989">
        <v>0</v>
      </c>
      <c r="G17" s="990">
        <v>0</v>
      </c>
      <c r="H17" s="487"/>
      <c r="I17" s="282">
        <f>SUM(D17:H17)</f>
        <v>0</v>
      </c>
    </row>
    <row r="18" spans="1:10" hidden="1" x14ac:dyDescent="0.2">
      <c r="A18" s="971">
        <v>615</v>
      </c>
      <c r="B18" s="925"/>
      <c r="C18" s="991" t="s">
        <v>520</v>
      </c>
      <c r="D18" s="496">
        <v>0</v>
      </c>
      <c r="E18" s="920">
        <f>SUM(E19:E21)</f>
        <v>0</v>
      </c>
      <c r="F18" s="920">
        <f>SUM(F19:F21)</f>
        <v>0</v>
      </c>
      <c r="G18" s="928">
        <f>SUM(G19:G21)</f>
        <v>0</v>
      </c>
      <c r="H18" s="488">
        <f>SUM(H19:H21)</f>
        <v>0</v>
      </c>
      <c r="I18" s="284">
        <f>SUM(D18:H18)</f>
        <v>0</v>
      </c>
    </row>
    <row r="19" spans="1:10" hidden="1" x14ac:dyDescent="0.2">
      <c r="A19" s="917">
        <v>61501</v>
      </c>
      <c r="B19" s="471"/>
      <c r="C19" s="468" t="s">
        <v>521</v>
      </c>
      <c r="D19" s="495">
        <v>0</v>
      </c>
      <c r="E19" s="923">
        <v>0</v>
      </c>
      <c r="F19" s="923">
        <v>0</v>
      </c>
      <c r="G19" s="739">
        <v>0</v>
      </c>
      <c r="H19" s="489">
        <v>0</v>
      </c>
      <c r="I19" s="286">
        <f>SUM(D19:H19)</f>
        <v>0</v>
      </c>
    </row>
    <row r="20" spans="1:10" hidden="1" x14ac:dyDescent="0.2">
      <c r="A20" s="917">
        <v>61502</v>
      </c>
      <c r="B20" s="471"/>
      <c r="C20" s="468" t="s">
        <v>522</v>
      </c>
      <c r="D20" s="495">
        <v>0</v>
      </c>
      <c r="E20" s="923">
        <v>0</v>
      </c>
      <c r="F20" s="923">
        <v>0</v>
      </c>
      <c r="G20" s="739">
        <v>0</v>
      </c>
      <c r="H20" s="489">
        <v>0</v>
      </c>
      <c r="I20" s="286">
        <f>SUM(D20:H20)</f>
        <v>0</v>
      </c>
    </row>
    <row r="21" spans="1:10" hidden="1" x14ac:dyDescent="0.2">
      <c r="A21" s="917">
        <v>61599</v>
      </c>
      <c r="B21" s="471"/>
      <c r="C21" s="468" t="s">
        <v>524</v>
      </c>
      <c r="D21" s="495"/>
      <c r="E21" s="923"/>
      <c r="F21" s="923">
        <v>0</v>
      </c>
      <c r="G21" s="739"/>
      <c r="H21" s="489"/>
      <c r="I21" s="286">
        <f>SUM(D21:H21)</f>
        <v>0</v>
      </c>
    </row>
    <row r="22" spans="1:10" hidden="1" x14ac:dyDescent="0.2">
      <c r="A22" s="976" t="s">
        <v>484</v>
      </c>
      <c r="B22" s="977"/>
      <c r="C22" s="468"/>
      <c r="D22" s="495"/>
      <c r="E22" s="923"/>
      <c r="F22" s="923"/>
      <c r="G22" s="739"/>
      <c r="H22" s="489"/>
      <c r="I22" s="286"/>
    </row>
    <row r="23" spans="1:10" s="241" customFormat="1" ht="25.5" x14ac:dyDescent="0.2">
      <c r="A23" s="975" t="s">
        <v>484</v>
      </c>
      <c r="B23" s="925" t="s">
        <v>504</v>
      </c>
      <c r="C23" s="926" t="s">
        <v>517</v>
      </c>
      <c r="D23" s="927">
        <f>SUM(D24)</f>
        <v>57106.97</v>
      </c>
      <c r="E23" s="920"/>
      <c r="F23" s="920">
        <v>0</v>
      </c>
      <c r="G23" s="928">
        <v>0</v>
      </c>
      <c r="H23" s="488"/>
      <c r="I23" s="284">
        <f>SUM(D23:H23)</f>
        <v>57106.97</v>
      </c>
      <c r="J23" s="929"/>
    </row>
    <row r="24" spans="1:10" x14ac:dyDescent="0.2">
      <c r="A24" s="917">
        <v>51202</v>
      </c>
      <c r="B24" s="471"/>
      <c r="C24" s="922" t="s">
        <v>733</v>
      </c>
      <c r="D24" s="495">
        <v>57106.97</v>
      </c>
      <c r="E24" s="923"/>
      <c r="F24" s="923">
        <v>0</v>
      </c>
      <c r="G24" s="739"/>
      <c r="H24" s="489"/>
      <c r="I24" s="286">
        <f>SUM(D24:H24)</f>
        <v>57106.97</v>
      </c>
      <c r="J24" s="274"/>
    </row>
    <row r="25" spans="1:10" ht="9" customHeight="1" x14ac:dyDescent="0.2">
      <c r="A25" s="976" t="s">
        <v>484</v>
      </c>
      <c r="B25" s="471"/>
      <c r="C25" s="922"/>
      <c r="D25" s="495"/>
      <c r="E25" s="923"/>
      <c r="F25" s="923">
        <v>0</v>
      </c>
      <c r="G25" s="739"/>
      <c r="H25" s="489"/>
      <c r="I25" s="286">
        <f>SUM(D25:H25)</f>
        <v>0</v>
      </c>
      <c r="J25" s="274"/>
    </row>
    <row r="26" spans="1:10" s="241" customFormat="1" x14ac:dyDescent="0.2">
      <c r="A26" s="975" t="s">
        <v>484</v>
      </c>
      <c r="B26" s="925" t="s">
        <v>475</v>
      </c>
      <c r="C26" s="965" t="s">
        <v>718</v>
      </c>
      <c r="D26" s="496">
        <f>SUM(D27)</f>
        <v>0</v>
      </c>
      <c r="E26" s="920"/>
      <c r="F26" s="920">
        <f t="shared" ref="F26:G26" si="0">SUM(F27)</f>
        <v>0</v>
      </c>
      <c r="G26" s="928">
        <f t="shared" si="0"/>
        <v>25437.11</v>
      </c>
      <c r="H26" s="488"/>
      <c r="I26" s="284">
        <f>SUM(D26:H26)</f>
        <v>25437.11</v>
      </c>
      <c r="J26" s="966"/>
    </row>
    <row r="27" spans="1:10" x14ac:dyDescent="0.2">
      <c r="A27" s="917">
        <v>61601</v>
      </c>
      <c r="B27" s="471"/>
      <c r="C27" s="922" t="s">
        <v>525</v>
      </c>
      <c r="D27" s="495">
        <v>0</v>
      </c>
      <c r="E27" s="923"/>
      <c r="F27" s="923">
        <v>0</v>
      </c>
      <c r="G27" s="739">
        <v>25437.11</v>
      </c>
      <c r="H27" s="489"/>
      <c r="I27" s="286">
        <f>SUM(D27:H27)</f>
        <v>25437.11</v>
      </c>
      <c r="J27" s="274"/>
    </row>
    <row r="28" spans="1:10" ht="9" customHeight="1" x14ac:dyDescent="0.2">
      <c r="A28" s="976" t="s">
        <v>484</v>
      </c>
      <c r="B28" s="471"/>
      <c r="C28" s="922"/>
      <c r="D28" s="495"/>
      <c r="E28" s="923"/>
      <c r="F28" s="923">
        <v>0</v>
      </c>
      <c r="G28" s="739">
        <v>0</v>
      </c>
      <c r="H28" s="489"/>
      <c r="I28" s="286">
        <f t="shared" ref="I28" si="1">SUM(D28:H28)</f>
        <v>0</v>
      </c>
      <c r="J28" s="274"/>
    </row>
    <row r="29" spans="1:10" s="241" customFormat="1" ht="25.5" x14ac:dyDescent="0.2">
      <c r="A29" s="975" t="s">
        <v>484</v>
      </c>
      <c r="B29" s="925" t="s">
        <v>475</v>
      </c>
      <c r="C29" s="965" t="s">
        <v>719</v>
      </c>
      <c r="D29" s="496">
        <f>SUM(D30)</f>
        <v>6986.1</v>
      </c>
      <c r="E29" s="920"/>
      <c r="F29" s="920">
        <f t="shared" ref="F29" si="2">SUM(F30)</f>
        <v>0</v>
      </c>
      <c r="G29" s="928">
        <f t="shared" ref="G29" si="3">SUM(G30)</f>
        <v>0</v>
      </c>
      <c r="H29" s="488"/>
      <c r="I29" s="284">
        <f>SUM(D29:H29)</f>
        <v>6986.1</v>
      </c>
      <c r="J29" s="966"/>
    </row>
    <row r="30" spans="1:10" x14ac:dyDescent="0.2">
      <c r="A30" s="917">
        <v>61601</v>
      </c>
      <c r="B30" s="471"/>
      <c r="C30" s="922" t="s">
        <v>525</v>
      </c>
      <c r="D30" s="495">
        <v>6986.1</v>
      </c>
      <c r="E30" s="923"/>
      <c r="F30" s="923">
        <v>0</v>
      </c>
      <c r="G30" s="739"/>
      <c r="H30" s="489"/>
      <c r="I30" s="286">
        <f>SUM(D30:H30)</f>
        <v>6986.1</v>
      </c>
      <c r="J30" s="274"/>
    </row>
    <row r="31" spans="1:10" ht="9" customHeight="1" x14ac:dyDescent="0.2">
      <c r="A31" s="976" t="s">
        <v>484</v>
      </c>
      <c r="B31" s="471"/>
      <c r="C31" s="922"/>
      <c r="D31" s="495"/>
      <c r="E31" s="923"/>
      <c r="F31" s="923">
        <v>0</v>
      </c>
      <c r="G31" s="739">
        <v>0</v>
      </c>
      <c r="H31" s="489"/>
      <c r="I31" s="286">
        <f t="shared" ref="I31" si="4">SUM(D31:H31)</f>
        <v>0</v>
      </c>
      <c r="J31" s="274"/>
    </row>
    <row r="32" spans="1:10" s="241" customFormat="1" x14ac:dyDescent="0.2">
      <c r="A32" s="975" t="s">
        <v>484</v>
      </c>
      <c r="B32" s="925" t="s">
        <v>475</v>
      </c>
      <c r="C32" s="965" t="s">
        <v>720</v>
      </c>
      <c r="D32" s="496">
        <f>SUM(D33)</f>
        <v>30000</v>
      </c>
      <c r="E32" s="920"/>
      <c r="F32" s="920">
        <f t="shared" ref="F32" si="5">SUM(F33)</f>
        <v>0</v>
      </c>
      <c r="G32" s="928">
        <f t="shared" ref="G32" si="6">SUM(G33)</f>
        <v>0</v>
      </c>
      <c r="H32" s="488"/>
      <c r="I32" s="284">
        <f t="shared" ref="I32:I35" si="7">SUM(D32:H32)</f>
        <v>30000</v>
      </c>
      <c r="J32" s="966"/>
    </row>
    <row r="33" spans="1:10" x14ac:dyDescent="0.2">
      <c r="A33" s="917">
        <v>61601</v>
      </c>
      <c r="B33" s="471"/>
      <c r="C33" s="922" t="s">
        <v>525</v>
      </c>
      <c r="D33" s="495">
        <v>30000</v>
      </c>
      <c r="E33" s="923"/>
      <c r="F33" s="923">
        <v>0</v>
      </c>
      <c r="G33" s="739"/>
      <c r="H33" s="489"/>
      <c r="I33" s="286">
        <f>SUM(D33:H33)</f>
        <v>30000</v>
      </c>
      <c r="J33" s="274"/>
    </row>
    <row r="34" spans="1:10" ht="9" customHeight="1" x14ac:dyDescent="0.2">
      <c r="A34" s="976" t="s">
        <v>484</v>
      </c>
      <c r="B34" s="471"/>
      <c r="C34" s="922"/>
      <c r="D34" s="495"/>
      <c r="E34" s="923"/>
      <c r="F34" s="923">
        <v>0</v>
      </c>
      <c r="G34" s="739">
        <v>0</v>
      </c>
      <c r="H34" s="489"/>
      <c r="I34" s="286">
        <f t="shared" ref="I34" si="8">SUM(D34:H34)</f>
        <v>0</v>
      </c>
      <c r="J34" s="274"/>
    </row>
    <row r="35" spans="1:10" s="241" customFormat="1" ht="26.25" customHeight="1" x14ac:dyDescent="0.2">
      <c r="A35" s="975" t="s">
        <v>484</v>
      </c>
      <c r="B35" s="925" t="s">
        <v>475</v>
      </c>
      <c r="C35" s="965" t="s">
        <v>721</v>
      </c>
      <c r="D35" s="496">
        <f>SUM(D36)</f>
        <v>17500</v>
      </c>
      <c r="E35" s="920"/>
      <c r="F35" s="920">
        <f t="shared" ref="F35" si="9">SUM(F36)</f>
        <v>0</v>
      </c>
      <c r="G35" s="928">
        <f t="shared" ref="G35" si="10">SUM(G36)</f>
        <v>0</v>
      </c>
      <c r="H35" s="488"/>
      <c r="I35" s="284">
        <f t="shared" si="7"/>
        <v>17500</v>
      </c>
    </row>
    <row r="36" spans="1:10" x14ac:dyDescent="0.2">
      <c r="A36" s="917">
        <v>61601</v>
      </c>
      <c r="B36" s="471"/>
      <c r="C36" s="922" t="s">
        <v>525</v>
      </c>
      <c r="D36" s="495">
        <v>17500</v>
      </c>
      <c r="E36" s="923"/>
      <c r="F36" s="923">
        <v>0</v>
      </c>
      <c r="G36" s="739"/>
      <c r="H36" s="489"/>
      <c r="I36" s="286">
        <f>SUM(D36:H36)</f>
        <v>17500</v>
      </c>
      <c r="J36" s="274"/>
    </row>
    <row r="37" spans="1:10" ht="9" customHeight="1" x14ac:dyDescent="0.2">
      <c r="A37" s="976" t="s">
        <v>484</v>
      </c>
      <c r="B37" s="471"/>
      <c r="C37" s="922"/>
      <c r="D37" s="495"/>
      <c r="E37" s="923"/>
      <c r="F37" s="923">
        <v>0</v>
      </c>
      <c r="G37" s="739">
        <v>0</v>
      </c>
      <c r="H37" s="489"/>
      <c r="I37" s="286">
        <f t="shared" ref="I37" si="11">SUM(D37:H37)</f>
        <v>0</v>
      </c>
      <c r="J37" s="274"/>
    </row>
    <row r="38" spans="1:10" s="241" customFormat="1" ht="26.25" customHeight="1" x14ac:dyDescent="0.2">
      <c r="A38" s="975" t="s">
        <v>484</v>
      </c>
      <c r="B38" s="925" t="s">
        <v>475</v>
      </c>
      <c r="C38" s="965" t="s">
        <v>722</v>
      </c>
      <c r="D38" s="496">
        <f>SUM(D39)</f>
        <v>17500</v>
      </c>
      <c r="E38" s="920"/>
      <c r="F38" s="920">
        <f t="shared" ref="F38" si="12">SUM(F39)</f>
        <v>0</v>
      </c>
      <c r="G38" s="928">
        <f t="shared" ref="G38" si="13">SUM(G39)</f>
        <v>0</v>
      </c>
      <c r="H38" s="488"/>
      <c r="I38" s="284">
        <f t="shared" ref="I38" si="14">SUM(D38:H38)</f>
        <v>17500</v>
      </c>
      <c r="J38" s="966"/>
    </row>
    <row r="39" spans="1:10" x14ac:dyDescent="0.2">
      <c r="A39" s="916">
        <v>61601</v>
      </c>
      <c r="B39" s="471"/>
      <c r="C39" s="922" t="s">
        <v>525</v>
      </c>
      <c r="D39" s="495">
        <v>17500</v>
      </c>
      <c r="E39" s="923"/>
      <c r="F39" s="923">
        <v>0</v>
      </c>
      <c r="G39" s="739"/>
      <c r="H39" s="489"/>
      <c r="I39" s="286">
        <f>SUM(D39:H39)</f>
        <v>17500</v>
      </c>
      <c r="J39" s="274"/>
    </row>
    <row r="40" spans="1:10" ht="9" customHeight="1" x14ac:dyDescent="0.2">
      <c r="A40" s="1008" t="s">
        <v>484</v>
      </c>
      <c r="B40" s="471"/>
      <c r="C40" s="922"/>
      <c r="D40" s="495"/>
      <c r="E40" s="923"/>
      <c r="F40" s="923">
        <v>0</v>
      </c>
      <c r="G40" s="739">
        <v>0</v>
      </c>
      <c r="H40" s="489"/>
      <c r="I40" s="286">
        <f t="shared" ref="I40" si="15">SUM(D40:H40)</f>
        <v>0</v>
      </c>
      <c r="J40" s="274"/>
    </row>
    <row r="41" spans="1:10" s="241" customFormat="1" ht="26.25" customHeight="1" x14ac:dyDescent="0.2">
      <c r="A41" s="1009" t="s">
        <v>484</v>
      </c>
      <c r="B41" s="925" t="s">
        <v>475</v>
      </c>
      <c r="C41" s="965" t="s">
        <v>750</v>
      </c>
      <c r="D41" s="496">
        <f>SUM(D42)</f>
        <v>3000</v>
      </c>
      <c r="E41" s="920"/>
      <c r="F41" s="920">
        <f t="shared" ref="F41" si="16">SUM(F42)</f>
        <v>0</v>
      </c>
      <c r="G41" s="928">
        <f t="shared" ref="G41" si="17">SUM(G42)</f>
        <v>0</v>
      </c>
      <c r="H41" s="488"/>
      <c r="I41" s="284">
        <f t="shared" ref="I41" si="18">SUM(D41:H41)</f>
        <v>3000</v>
      </c>
    </row>
    <row r="42" spans="1:10" x14ac:dyDescent="0.2">
      <c r="A42" s="916">
        <v>61601</v>
      </c>
      <c r="B42" s="471"/>
      <c r="C42" s="922" t="s">
        <v>525</v>
      </c>
      <c r="D42" s="495">
        <v>3000</v>
      </c>
      <c r="E42" s="923"/>
      <c r="F42" s="923">
        <v>0</v>
      </c>
      <c r="G42" s="739"/>
      <c r="H42" s="489"/>
      <c r="I42" s="286">
        <f>SUM(D42:H42)</f>
        <v>3000</v>
      </c>
      <c r="J42" s="274"/>
    </row>
    <row r="43" spans="1:10" ht="9" customHeight="1" x14ac:dyDescent="0.2">
      <c r="A43" s="1008" t="s">
        <v>484</v>
      </c>
      <c r="B43" s="471"/>
      <c r="C43" s="922"/>
      <c r="D43" s="495"/>
      <c r="E43" s="923"/>
      <c r="F43" s="923">
        <v>0</v>
      </c>
      <c r="G43" s="739">
        <v>0</v>
      </c>
      <c r="H43" s="489"/>
      <c r="I43" s="286">
        <f t="shared" ref="I43" si="19">SUM(D43:H43)</f>
        <v>0</v>
      </c>
      <c r="J43" s="274"/>
    </row>
    <row r="44" spans="1:10" s="241" customFormat="1" ht="26.25" customHeight="1" x14ac:dyDescent="0.2">
      <c r="A44" s="1009" t="s">
        <v>484</v>
      </c>
      <c r="B44" s="925" t="s">
        <v>475</v>
      </c>
      <c r="C44" s="965" t="s">
        <v>724</v>
      </c>
      <c r="D44" s="496">
        <f>SUM(D45)</f>
        <v>8000</v>
      </c>
      <c r="E44" s="920"/>
      <c r="F44" s="920">
        <f t="shared" ref="F44" si="20">SUM(F45)</f>
        <v>0</v>
      </c>
      <c r="G44" s="928">
        <f t="shared" ref="G44" si="21">SUM(G45)</f>
        <v>0</v>
      </c>
      <c r="H44" s="488"/>
      <c r="I44" s="284">
        <f t="shared" ref="I44:I47" si="22">SUM(D44:H44)</f>
        <v>8000</v>
      </c>
    </row>
    <row r="45" spans="1:10" x14ac:dyDescent="0.2">
      <c r="A45" s="916">
        <v>61601</v>
      </c>
      <c r="B45" s="471"/>
      <c r="C45" s="922" t="s">
        <v>525</v>
      </c>
      <c r="D45" s="495">
        <v>8000</v>
      </c>
      <c r="E45" s="923"/>
      <c r="F45" s="923">
        <v>0</v>
      </c>
      <c r="G45" s="739"/>
      <c r="H45" s="489"/>
      <c r="I45" s="286">
        <f>SUM(D45:H45)</f>
        <v>8000</v>
      </c>
      <c r="J45" s="274"/>
    </row>
    <row r="46" spans="1:10" ht="9" customHeight="1" x14ac:dyDescent="0.2">
      <c r="A46" s="1008" t="s">
        <v>484</v>
      </c>
      <c r="B46" s="471"/>
      <c r="C46" s="922"/>
      <c r="D46" s="495"/>
      <c r="E46" s="923"/>
      <c r="F46" s="923">
        <v>0</v>
      </c>
      <c r="G46" s="739">
        <v>0</v>
      </c>
      <c r="H46" s="489"/>
      <c r="I46" s="286">
        <f t="shared" ref="I46" si="23">SUM(D46:H46)</f>
        <v>0</v>
      </c>
      <c r="J46" s="274"/>
    </row>
    <row r="47" spans="1:10" s="241" customFormat="1" ht="26.25" customHeight="1" x14ac:dyDescent="0.2">
      <c r="A47" s="1009" t="s">
        <v>484</v>
      </c>
      <c r="B47" s="925" t="s">
        <v>475</v>
      </c>
      <c r="C47" s="965" t="s">
        <v>725</v>
      </c>
      <c r="D47" s="496">
        <f>SUM(D48)</f>
        <v>5589.59</v>
      </c>
      <c r="E47" s="920"/>
      <c r="F47" s="920">
        <f t="shared" ref="F47" si="24">SUM(F48)</f>
        <v>0</v>
      </c>
      <c r="G47" s="928">
        <f t="shared" ref="G47" si="25">SUM(G48)</f>
        <v>0</v>
      </c>
      <c r="H47" s="488"/>
      <c r="I47" s="284">
        <f t="shared" si="22"/>
        <v>5589.59</v>
      </c>
    </row>
    <row r="48" spans="1:10" ht="13.5" thickBot="1" x14ac:dyDescent="0.25">
      <c r="A48" s="916">
        <v>61601</v>
      </c>
      <c r="B48" s="471"/>
      <c r="C48" s="922" t="s">
        <v>525</v>
      </c>
      <c r="D48" s="495">
        <v>5589.59</v>
      </c>
      <c r="E48" s="923"/>
      <c r="F48" s="923">
        <v>0</v>
      </c>
      <c r="G48" s="739"/>
      <c r="H48" s="489"/>
      <c r="I48" s="286">
        <f>SUM(D48:H48)</f>
        <v>5589.59</v>
      </c>
      <c r="J48" s="274"/>
    </row>
    <row r="49" spans="1:10" hidden="1" x14ac:dyDescent="0.2">
      <c r="A49" s="1008" t="s">
        <v>484</v>
      </c>
      <c r="B49" s="471"/>
      <c r="C49" s="922"/>
      <c r="D49" s="495"/>
      <c r="E49" s="923"/>
      <c r="F49" s="923">
        <v>0</v>
      </c>
      <c r="G49" s="739">
        <v>0</v>
      </c>
      <c r="H49" s="489"/>
      <c r="I49" s="286">
        <f t="shared" ref="I49" si="26">SUM(D49:H49)</f>
        <v>0</v>
      </c>
      <c r="J49" s="274"/>
    </row>
    <row r="50" spans="1:10" hidden="1" x14ac:dyDescent="0.2">
      <c r="A50" s="259">
        <v>61608</v>
      </c>
      <c r="B50" s="546" t="s">
        <v>475</v>
      </c>
      <c r="C50" s="71" t="s">
        <v>530</v>
      </c>
      <c r="D50" s="496">
        <f>+D51</f>
        <v>0</v>
      </c>
      <c r="E50" s="283">
        <f>SUM(E52:E52)</f>
        <v>0</v>
      </c>
      <c r="F50" s="283">
        <f>SUM(F52:F52)</f>
        <v>0</v>
      </c>
      <c r="G50" s="284">
        <f>SUM(G52:G52)</f>
        <v>0</v>
      </c>
      <c r="H50" s="488">
        <f>SUM(H52:H52)</f>
        <v>0</v>
      </c>
      <c r="I50" s="284">
        <f>+I51</f>
        <v>0</v>
      </c>
    </row>
    <row r="51" spans="1:10" hidden="1" x14ac:dyDescent="0.2">
      <c r="A51" s="1008" t="s">
        <v>484</v>
      </c>
      <c r="B51" s="546" t="s">
        <v>475</v>
      </c>
      <c r="C51" s="480"/>
      <c r="D51" s="495">
        <v>0</v>
      </c>
      <c r="E51" s="283"/>
      <c r="F51" s="285">
        <v>0</v>
      </c>
      <c r="G51" s="286">
        <v>0</v>
      </c>
      <c r="H51" s="488"/>
      <c r="I51" s="286">
        <f>SUM(D51:H51)</f>
        <v>0</v>
      </c>
    </row>
    <row r="52" spans="1:10" hidden="1" x14ac:dyDescent="0.2">
      <c r="A52" s="1008" t="s">
        <v>484</v>
      </c>
      <c r="B52" s="546" t="s">
        <v>475</v>
      </c>
      <c r="C52" s="479"/>
      <c r="D52" s="495"/>
      <c r="E52" s="285"/>
      <c r="F52" s="285"/>
      <c r="G52" s="286"/>
      <c r="H52" s="489"/>
      <c r="I52" s="286">
        <f>SUM(D52:H52)</f>
        <v>0</v>
      </c>
    </row>
    <row r="53" spans="1:10" hidden="1" x14ac:dyDescent="0.2">
      <c r="A53" s="259">
        <v>61699</v>
      </c>
      <c r="B53" s="546"/>
      <c r="C53" s="71" t="s">
        <v>526</v>
      </c>
      <c r="D53" s="496">
        <f>SUM(D54:D55)</f>
        <v>0</v>
      </c>
      <c r="E53" s="283">
        <f>SUM(E54:E54)</f>
        <v>0</v>
      </c>
      <c r="F53" s="283">
        <f>SUM(F54:F54)</f>
        <v>0</v>
      </c>
      <c r="G53" s="284">
        <f>SUM(G54:G54)</f>
        <v>0</v>
      </c>
      <c r="H53" s="488">
        <f>SUM(H54:H54)</f>
        <v>0</v>
      </c>
      <c r="I53" s="284">
        <f>SUM(I54:I55)</f>
        <v>0</v>
      </c>
    </row>
    <row r="54" spans="1:10" hidden="1" x14ac:dyDescent="0.2">
      <c r="A54" s="1008" t="s">
        <v>484</v>
      </c>
      <c r="B54" s="546"/>
      <c r="C54" s="468"/>
      <c r="D54" s="495">
        <v>0</v>
      </c>
      <c r="E54" s="285"/>
      <c r="F54" s="285">
        <v>0</v>
      </c>
      <c r="G54" s="286">
        <v>0</v>
      </c>
      <c r="H54" s="489"/>
      <c r="I54" s="286">
        <f>SUM(D54:H54)</f>
        <v>0</v>
      </c>
    </row>
    <row r="55" spans="1:10" hidden="1" x14ac:dyDescent="0.2">
      <c r="A55" s="1008" t="s">
        <v>484</v>
      </c>
      <c r="B55" s="546"/>
      <c r="C55" s="481"/>
      <c r="D55" s="495"/>
      <c r="E55" s="285"/>
      <c r="F55" s="285"/>
      <c r="G55" s="286"/>
      <c r="H55" s="489"/>
      <c r="I55" s="286"/>
    </row>
    <row r="56" spans="1:10" ht="13.5" hidden="1" thickBot="1" x14ac:dyDescent="0.25">
      <c r="A56" s="1008" t="s">
        <v>484</v>
      </c>
      <c r="B56" s="499"/>
      <c r="C56" s="478"/>
      <c r="D56" s="494"/>
      <c r="E56" s="283"/>
      <c r="F56" s="283"/>
      <c r="G56" s="284"/>
      <c r="H56" s="488"/>
      <c r="I56" s="284"/>
    </row>
    <row r="57" spans="1:10" ht="13.5" thickBot="1" x14ac:dyDescent="0.25">
      <c r="A57" s="498"/>
      <c r="B57" s="89"/>
      <c r="C57" s="482" t="s">
        <v>619</v>
      </c>
      <c r="D57" s="497">
        <f>D23+D26+D29+D32+D35+D38+D41+D44+D47</f>
        <v>145682.66</v>
      </c>
      <c r="E57" s="288" t="e">
        <f>+E18+#REF!</f>
        <v>#REF!</v>
      </c>
      <c r="F57" s="287">
        <f>F13</f>
        <v>22906.04</v>
      </c>
      <c r="G57" s="289">
        <f t="shared" ref="G57:H57" si="27">G23+G26+G32+G35+G38+G41+G44+G47</f>
        <v>25437.11</v>
      </c>
      <c r="H57" s="490">
        <f t="shared" si="27"/>
        <v>0</v>
      </c>
      <c r="I57" s="289">
        <f>I13+I23+I26+I29+I32+I35+I38+I41+I44+I47</f>
        <v>194025.81000000003</v>
      </c>
    </row>
    <row r="58" spans="1:10" x14ac:dyDescent="0.2">
      <c r="A58" s="29"/>
      <c r="B58" s="29"/>
      <c r="C58" s="22"/>
      <c r="D58" s="109"/>
      <c r="E58" s="30"/>
      <c r="F58" s="30"/>
      <c r="G58" s="30"/>
      <c r="H58" s="30"/>
      <c r="I58" s="30"/>
    </row>
    <row r="59" spans="1:10" x14ac:dyDescent="0.2">
      <c r="F59" s="3"/>
      <c r="G59" s="274"/>
      <c r="I59" s="274"/>
    </row>
    <row r="60" spans="1:10" x14ac:dyDescent="0.2">
      <c r="F60" s="3"/>
      <c r="G60" s="274"/>
    </row>
    <row r="61" spans="1:10" x14ac:dyDescent="0.2">
      <c r="G61" s="274"/>
    </row>
  </sheetData>
  <autoFilter ref="A10:I57">
    <filterColumn colId="3" showButton="0"/>
    <filterColumn colId="4" showButton="0"/>
    <filterColumn colId="5" showButton="0"/>
    <filterColumn colId="6" showButton="0"/>
  </autoFilter>
  <mergeCells count="12">
    <mergeCell ref="A1:I1"/>
    <mergeCell ref="A2:I2"/>
    <mergeCell ref="A4:I4"/>
    <mergeCell ref="A5:I5"/>
    <mergeCell ref="A6:I6"/>
    <mergeCell ref="A7:I7"/>
    <mergeCell ref="A8:I8"/>
    <mergeCell ref="A10:A11"/>
    <mergeCell ref="B10:B11"/>
    <mergeCell ref="C10:C11"/>
    <mergeCell ref="D10:H10"/>
    <mergeCell ref="I10:I11"/>
  </mergeCells>
  <phoneticPr fontId="0" type="noConversion"/>
  <printOptions horizontalCentered="1"/>
  <pageMargins left="0.19685039370078741" right="0.15748031496062992" top="0.86614173228346458" bottom="0.78740157480314965" header="0" footer="0"/>
  <pageSetup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K58"/>
  <sheetViews>
    <sheetView showGridLines="0" topLeftCell="A10" zoomScaleNormal="100" workbookViewId="0">
      <selection activeCell="K53" sqref="K53"/>
    </sheetView>
  </sheetViews>
  <sheetFormatPr baseColWidth="10" defaultRowHeight="12.75" x14ac:dyDescent="0.2"/>
  <cols>
    <col min="1" max="1" width="9.7109375" style="21" customWidth="1"/>
    <col min="2" max="2" width="65.140625" customWidth="1"/>
    <col min="3" max="3" width="19.85546875" style="174" customWidth="1"/>
    <col min="4" max="5" width="18.42578125" hidden="1" customWidth="1"/>
    <col min="6" max="6" width="14.140625" hidden="1" customWidth="1"/>
    <col min="7" max="7" width="18.140625" hidden="1" customWidth="1"/>
    <col min="8" max="8" width="15.85546875" customWidth="1"/>
    <col min="10" max="10" width="12.28515625" bestFit="1" customWidth="1"/>
    <col min="11" max="11" width="11.5703125" bestFit="1" customWidth="1"/>
  </cols>
  <sheetData>
    <row r="2" spans="1:8" ht="15" x14ac:dyDescent="0.2">
      <c r="A2" s="1134" t="s">
        <v>533</v>
      </c>
      <c r="B2" s="1134"/>
      <c r="C2" s="1134"/>
      <c r="D2" s="1134"/>
      <c r="E2" s="1134"/>
      <c r="F2" s="1134"/>
      <c r="G2" s="1134"/>
      <c r="H2" s="1134"/>
    </row>
    <row r="3" spans="1:8" x14ac:dyDescent="0.2">
      <c r="A3" s="1135" t="s">
        <v>632</v>
      </c>
      <c r="B3" s="1135"/>
      <c r="C3" s="1135"/>
      <c r="D3" s="1135"/>
      <c r="E3" s="1135"/>
      <c r="F3" s="1135"/>
      <c r="G3" s="1135"/>
      <c r="H3" s="1135"/>
    </row>
    <row r="4" spans="1:8" x14ac:dyDescent="0.2">
      <c r="A4" s="169"/>
      <c r="B4" s="169"/>
      <c r="C4" s="177"/>
      <c r="D4" s="169"/>
      <c r="E4" s="169"/>
      <c r="F4" s="169"/>
      <c r="G4" s="169"/>
      <c r="H4" s="169"/>
    </row>
    <row r="5" spans="1:8" ht="16.7" customHeight="1" x14ac:dyDescent="0.2">
      <c r="A5" s="1143" t="s">
        <v>456</v>
      </c>
      <c r="B5" s="1143"/>
      <c r="C5" s="1143"/>
      <c r="D5" s="1143"/>
      <c r="E5" s="1143"/>
      <c r="F5" s="1143"/>
      <c r="G5" s="1143"/>
      <c r="H5" s="1143"/>
    </row>
    <row r="6" spans="1:8" ht="16.7" customHeight="1" x14ac:dyDescent="0.2">
      <c r="A6" s="1143" t="s">
        <v>673</v>
      </c>
      <c r="B6" s="1143"/>
      <c r="C6" s="1143"/>
      <c r="D6" s="1143"/>
      <c r="E6" s="1143"/>
      <c r="F6" s="1143"/>
      <c r="G6" s="1143"/>
      <c r="H6" s="1143"/>
    </row>
    <row r="7" spans="1:8" ht="16.7" customHeight="1" x14ac:dyDescent="0.2">
      <c r="A7" s="1143" t="s">
        <v>334</v>
      </c>
      <c r="B7" s="1143"/>
      <c r="C7" s="1143"/>
      <c r="D7" s="1143"/>
      <c r="E7" s="1143"/>
      <c r="F7" s="1143"/>
      <c r="G7" s="1143"/>
      <c r="H7" s="1143"/>
    </row>
    <row r="8" spans="1:8" ht="16.7" customHeight="1" x14ac:dyDescent="0.2">
      <c r="A8" s="1143" t="s">
        <v>335</v>
      </c>
      <c r="B8" s="1143"/>
      <c r="C8" s="1143"/>
      <c r="D8" s="1143"/>
      <c r="E8" s="1143"/>
      <c r="F8" s="1143"/>
      <c r="G8" s="1143"/>
      <c r="H8" s="1143"/>
    </row>
    <row r="9" spans="1:8" ht="16.7" customHeight="1" x14ac:dyDescent="0.2">
      <c r="A9" s="1143" t="s">
        <v>543</v>
      </c>
      <c r="B9" s="1143"/>
      <c r="C9" s="1143"/>
      <c r="D9" s="1143"/>
      <c r="E9" s="1143"/>
      <c r="F9" s="1143"/>
      <c r="G9" s="1143"/>
      <c r="H9" s="1143"/>
    </row>
    <row r="10" spans="1:8" ht="13.5" thickBot="1" x14ac:dyDescent="0.25">
      <c r="A10" s="272"/>
      <c r="B10" s="272"/>
      <c r="C10" s="272"/>
      <c r="D10" s="272"/>
      <c r="E10" s="272"/>
      <c r="F10" s="272"/>
      <c r="G10" s="272"/>
      <c r="H10" s="272"/>
    </row>
    <row r="11" spans="1:8" ht="28.5" customHeight="1" thickBot="1" x14ac:dyDescent="0.25">
      <c r="A11" s="111" t="s">
        <v>210</v>
      </c>
      <c r="B11" s="1141" t="s">
        <v>190</v>
      </c>
      <c r="C11" s="1136" t="s">
        <v>191</v>
      </c>
      <c r="D11" s="1137"/>
      <c r="E11" s="1137"/>
      <c r="F11" s="1137"/>
      <c r="G11" s="1138"/>
      <c r="H11" s="1139" t="s">
        <v>505</v>
      </c>
    </row>
    <row r="12" spans="1:8" ht="18.75" customHeight="1" thickBot="1" x14ac:dyDescent="0.3">
      <c r="A12" s="112" t="s">
        <v>211</v>
      </c>
      <c r="B12" s="1142"/>
      <c r="C12" s="500" t="s">
        <v>192</v>
      </c>
      <c r="D12" s="501" t="s">
        <v>1</v>
      </c>
      <c r="E12" s="501" t="s">
        <v>2</v>
      </c>
      <c r="F12" s="502" t="s">
        <v>3</v>
      </c>
      <c r="G12" s="113" t="s">
        <v>121</v>
      </c>
      <c r="H12" s="1140"/>
    </row>
    <row r="13" spans="1:8" hidden="1" x14ac:dyDescent="0.2">
      <c r="A13" s="32"/>
      <c r="B13" s="35"/>
      <c r="C13" s="178"/>
      <c r="D13" s="33"/>
      <c r="E13" s="33"/>
      <c r="F13" s="33"/>
      <c r="G13" s="33"/>
      <c r="H13" s="34"/>
    </row>
    <row r="14" spans="1:8" hidden="1" x14ac:dyDescent="0.2">
      <c r="A14" s="26"/>
      <c r="B14" s="27"/>
      <c r="C14" s="179"/>
      <c r="D14" s="24"/>
      <c r="E14" s="24"/>
      <c r="F14" s="24"/>
      <c r="G14" s="24"/>
      <c r="H14" s="36"/>
    </row>
    <row r="15" spans="1:8" ht="7.5" customHeight="1" x14ac:dyDescent="0.2">
      <c r="A15" s="246"/>
      <c r="B15" s="247"/>
      <c r="C15" s="248"/>
      <c r="D15" s="249"/>
      <c r="E15" s="249"/>
      <c r="F15" s="249"/>
      <c r="G15" s="249"/>
      <c r="H15" s="249"/>
    </row>
    <row r="16" spans="1:8" ht="17.25" customHeight="1" x14ac:dyDescent="0.2">
      <c r="A16" s="250">
        <v>55</v>
      </c>
      <c r="B16" s="251" t="s">
        <v>83</v>
      </c>
      <c r="C16" s="252">
        <f>C17+C23</f>
        <v>86988.959999999992</v>
      </c>
      <c r="D16" s="253">
        <f>+D17</f>
        <v>0</v>
      </c>
      <c r="E16" s="253">
        <f>+E17</f>
        <v>0</v>
      </c>
      <c r="F16" s="253">
        <f>+F17</f>
        <v>0</v>
      </c>
      <c r="G16" s="253">
        <f>+G17</f>
        <v>0</v>
      </c>
      <c r="H16" s="253">
        <f t="shared" ref="H16:H23" si="0">SUM(C16:G16)</f>
        <v>86988.959999999992</v>
      </c>
    </row>
    <row r="17" spans="1:11" ht="17.25" customHeight="1" x14ac:dyDescent="0.2">
      <c r="A17" s="250">
        <v>553</v>
      </c>
      <c r="B17" s="254" t="s">
        <v>84</v>
      </c>
      <c r="C17" s="252">
        <f>SUM(C18:C21)</f>
        <v>86988.959999999992</v>
      </c>
      <c r="D17" s="253">
        <f>SUM(D18:D21)</f>
        <v>0</v>
      </c>
      <c r="E17" s="253">
        <f>SUM(E18:E21)</f>
        <v>0</v>
      </c>
      <c r="F17" s="253">
        <f>SUM(F18:F21)</f>
        <v>0</v>
      </c>
      <c r="G17" s="253">
        <f>SUM(G18:G21)</f>
        <v>0</v>
      </c>
      <c r="H17" s="253">
        <f>SUM(C17:G17)</f>
        <v>86988.959999999992</v>
      </c>
    </row>
    <row r="18" spans="1:11" ht="21" hidden="1" customHeight="1" x14ac:dyDescent="0.2">
      <c r="A18" s="246">
        <v>55303</v>
      </c>
      <c r="B18" s="255" t="s">
        <v>212</v>
      </c>
      <c r="C18" s="248"/>
      <c r="D18" s="249">
        <v>0</v>
      </c>
      <c r="E18" s="249">
        <v>0</v>
      </c>
      <c r="F18" s="249">
        <v>0</v>
      </c>
      <c r="G18" s="249">
        <v>0</v>
      </c>
      <c r="H18" s="249">
        <f t="shared" si="0"/>
        <v>0</v>
      </c>
    </row>
    <row r="19" spans="1:11" ht="21" customHeight="1" x14ac:dyDescent="0.2">
      <c r="A19" s="246">
        <v>55302</v>
      </c>
      <c r="B19" s="668" t="s">
        <v>544</v>
      </c>
      <c r="C19" s="248">
        <f>325*13</f>
        <v>4225</v>
      </c>
      <c r="D19" s="249"/>
      <c r="E19" s="249"/>
      <c r="F19" s="249"/>
      <c r="G19" s="249"/>
      <c r="H19" s="249">
        <f>SUM(C19:G19)</f>
        <v>4225</v>
      </c>
    </row>
    <row r="20" spans="1:11" ht="21" hidden="1" customHeight="1" x14ac:dyDescent="0.2">
      <c r="A20" s="256">
        <v>55304</v>
      </c>
      <c r="B20" s="255" t="s">
        <v>213</v>
      </c>
      <c r="C20" s="248">
        <v>0</v>
      </c>
      <c r="D20" s="249">
        <v>0</v>
      </c>
      <c r="E20" s="249">
        <v>0</v>
      </c>
      <c r="F20" s="249">
        <v>0</v>
      </c>
      <c r="G20" s="249">
        <v>0</v>
      </c>
      <c r="H20" s="249">
        <f t="shared" si="0"/>
        <v>0</v>
      </c>
    </row>
    <row r="21" spans="1:11" ht="17.25" customHeight="1" x14ac:dyDescent="0.2">
      <c r="A21" s="246">
        <v>55304</v>
      </c>
      <c r="B21" s="668" t="s">
        <v>448</v>
      </c>
      <c r="C21" s="248">
        <f>77242.43+5521.53</f>
        <v>82763.959999999992</v>
      </c>
      <c r="D21" s="249">
        <v>0</v>
      </c>
      <c r="E21" s="249">
        <v>0</v>
      </c>
      <c r="F21" s="249">
        <v>0</v>
      </c>
      <c r="G21" s="249">
        <v>0</v>
      </c>
      <c r="H21" s="249">
        <f>SUM(C21:G21)</f>
        <v>82763.959999999992</v>
      </c>
    </row>
    <row r="22" spans="1:11" ht="17.25" customHeight="1" x14ac:dyDescent="0.2">
      <c r="A22" s="246"/>
      <c r="B22" s="255"/>
      <c r="C22" s="248"/>
      <c r="D22" s="249"/>
      <c r="E22" s="249"/>
      <c r="F22" s="249"/>
      <c r="G22" s="249"/>
      <c r="H22" s="249"/>
    </row>
    <row r="23" spans="1:11" ht="17.25" hidden="1" customHeight="1" x14ac:dyDescent="0.2">
      <c r="A23" s="250">
        <v>556</v>
      </c>
      <c r="B23" s="257" t="s">
        <v>214</v>
      </c>
      <c r="C23" s="252">
        <f>C24</f>
        <v>0</v>
      </c>
      <c r="D23" s="253">
        <f>SUM(D24:D27)</f>
        <v>0</v>
      </c>
      <c r="E23" s="253">
        <f>SUM(E24:E27)</f>
        <v>0</v>
      </c>
      <c r="F23" s="253">
        <f>SUM(F24:F27)</f>
        <v>0</v>
      </c>
      <c r="G23" s="253">
        <f>SUM(G24:G27)</f>
        <v>0</v>
      </c>
      <c r="H23" s="253">
        <f t="shared" si="0"/>
        <v>0</v>
      </c>
      <c r="J23" s="46"/>
    </row>
    <row r="24" spans="1:11" ht="17.25" hidden="1" customHeight="1" x14ac:dyDescent="0.2">
      <c r="A24" s="246">
        <v>55603</v>
      </c>
      <c r="B24" s="258" t="s">
        <v>215</v>
      </c>
      <c r="C24" s="248"/>
      <c r="D24" s="249"/>
      <c r="E24" s="249"/>
      <c r="F24" s="249">
        <v>0</v>
      </c>
      <c r="G24" s="249"/>
      <c r="H24" s="249">
        <f>+C24</f>
        <v>0</v>
      </c>
    </row>
    <row r="25" spans="1:11" ht="17.25" customHeight="1" x14ac:dyDescent="0.2">
      <c r="A25" s="250">
        <v>71</v>
      </c>
      <c r="B25" s="254" t="s">
        <v>216</v>
      </c>
      <c r="C25" s="252">
        <f>+C26</f>
        <v>268052.22000000003</v>
      </c>
      <c r="D25" s="253">
        <f>+D26</f>
        <v>0</v>
      </c>
      <c r="E25" s="253">
        <f>+E26</f>
        <v>0</v>
      </c>
      <c r="F25" s="253">
        <f>+F26</f>
        <v>0</v>
      </c>
      <c r="G25" s="253">
        <f>+G26</f>
        <v>0</v>
      </c>
      <c r="H25" s="253">
        <f>SUM(C25:G25)</f>
        <v>268052.22000000003</v>
      </c>
    </row>
    <row r="26" spans="1:11" ht="17.25" customHeight="1" x14ac:dyDescent="0.2">
      <c r="A26" s="246">
        <v>713</v>
      </c>
      <c r="B26" s="254" t="s">
        <v>217</v>
      </c>
      <c r="C26" s="252">
        <f>SUM(C27:C28)</f>
        <v>268052.22000000003</v>
      </c>
      <c r="D26" s="253">
        <f>SUM(D27:D28)</f>
        <v>0</v>
      </c>
      <c r="E26" s="253">
        <f>SUM(E27:E28)</f>
        <v>0</v>
      </c>
      <c r="F26" s="253">
        <f>SUM(F27:F28)</f>
        <v>0</v>
      </c>
      <c r="G26" s="253">
        <f>SUM(G27:G28)</f>
        <v>0</v>
      </c>
      <c r="H26" s="253">
        <f>SUM(C26:G26)</f>
        <v>268052.22000000003</v>
      </c>
      <c r="J26" s="46"/>
    </row>
    <row r="27" spans="1:11" ht="21" hidden="1" customHeight="1" x14ac:dyDescent="0.2">
      <c r="A27" s="246">
        <v>71303</v>
      </c>
      <c r="B27" s="255" t="s">
        <v>212</v>
      </c>
      <c r="C27" s="248"/>
      <c r="D27" s="249">
        <v>0</v>
      </c>
      <c r="E27" s="249">
        <v>0</v>
      </c>
      <c r="F27" s="249">
        <v>0</v>
      </c>
      <c r="G27" s="249">
        <v>0</v>
      </c>
      <c r="H27" s="249">
        <f>SUM(C27:G27)</f>
        <v>0</v>
      </c>
    </row>
    <row r="28" spans="1:11" ht="17.25" customHeight="1" thickBot="1" x14ac:dyDescent="0.25">
      <c r="A28" s="246">
        <v>71304</v>
      </c>
      <c r="B28" s="255" t="s">
        <v>500</v>
      </c>
      <c r="C28" s="248">
        <f>246587.89+21464.33</f>
        <v>268052.22000000003</v>
      </c>
      <c r="D28" s="249">
        <v>0</v>
      </c>
      <c r="E28" s="249">
        <v>0</v>
      </c>
      <c r="F28" s="249">
        <v>0</v>
      </c>
      <c r="G28" s="249">
        <v>0</v>
      </c>
      <c r="H28" s="249">
        <f>SUM(C28:G28)</f>
        <v>268052.22000000003</v>
      </c>
      <c r="J28" s="62"/>
      <c r="K28" s="62"/>
    </row>
    <row r="29" spans="1:11" hidden="1" x14ac:dyDescent="0.2">
      <c r="A29" s="25"/>
      <c r="B29" s="37"/>
      <c r="C29" s="214"/>
      <c r="D29" s="215"/>
      <c r="E29" s="215"/>
      <c r="F29" s="215"/>
      <c r="G29" s="215"/>
      <c r="H29" s="213"/>
      <c r="J29" s="46"/>
    </row>
    <row r="30" spans="1:11" hidden="1" x14ac:dyDescent="0.2">
      <c r="A30" s="26"/>
      <c r="B30" s="28"/>
      <c r="C30" s="214"/>
      <c r="D30" s="215"/>
      <c r="E30" s="215"/>
      <c r="F30" s="215"/>
      <c r="G30" s="215"/>
      <c r="H30" s="216"/>
    </row>
    <row r="31" spans="1:11" hidden="1" x14ac:dyDescent="0.2">
      <c r="A31" s="25"/>
      <c r="B31" s="37"/>
      <c r="C31" s="211"/>
      <c r="D31" s="212"/>
      <c r="E31" s="212"/>
      <c r="F31" s="212"/>
      <c r="G31" s="212"/>
      <c r="H31" s="216"/>
    </row>
    <row r="32" spans="1:11" hidden="1" x14ac:dyDescent="0.2">
      <c r="A32" s="25"/>
      <c r="B32" s="37"/>
      <c r="C32" s="217"/>
      <c r="D32" s="218"/>
      <c r="E32" s="218"/>
      <c r="F32" s="218"/>
      <c r="G32" s="218"/>
      <c r="H32" s="216"/>
    </row>
    <row r="33" spans="1:8" hidden="1" x14ac:dyDescent="0.2">
      <c r="A33" s="25"/>
      <c r="B33" s="37"/>
      <c r="C33" s="217"/>
      <c r="D33" s="218"/>
      <c r="E33" s="218"/>
      <c r="F33" s="218"/>
      <c r="G33" s="218"/>
      <c r="H33" s="216"/>
    </row>
    <row r="34" spans="1:8" hidden="1" x14ac:dyDescent="0.2">
      <c r="A34" s="25"/>
      <c r="B34" s="37"/>
      <c r="C34" s="211"/>
      <c r="D34" s="212"/>
      <c r="E34" s="212"/>
      <c r="F34" s="212"/>
      <c r="G34" s="212"/>
      <c r="H34" s="216"/>
    </row>
    <row r="35" spans="1:8" hidden="1" x14ac:dyDescent="0.2">
      <c r="A35" s="26"/>
      <c r="B35" s="38"/>
      <c r="C35" s="214"/>
      <c r="D35" s="215"/>
      <c r="E35" s="215"/>
      <c r="F35" s="215"/>
      <c r="G35" s="215"/>
      <c r="H35" s="216"/>
    </row>
    <row r="36" spans="1:8" hidden="1" x14ac:dyDescent="0.2">
      <c r="A36" s="25"/>
      <c r="B36" s="39"/>
      <c r="C36" s="211"/>
      <c r="D36" s="212"/>
      <c r="E36" s="212"/>
      <c r="F36" s="212"/>
      <c r="G36" s="212"/>
      <c r="H36" s="216"/>
    </row>
    <row r="37" spans="1:8" hidden="1" x14ac:dyDescent="0.2">
      <c r="A37" s="26"/>
      <c r="B37" s="38"/>
      <c r="C37" s="214"/>
      <c r="D37" s="215"/>
      <c r="E37" s="215"/>
      <c r="F37" s="215"/>
      <c r="G37" s="215"/>
      <c r="H37" s="216"/>
    </row>
    <row r="38" spans="1:8" hidden="1" x14ac:dyDescent="0.2">
      <c r="A38" s="25"/>
      <c r="B38" s="37"/>
      <c r="C38" s="211"/>
      <c r="D38" s="212"/>
      <c r="E38" s="212"/>
      <c r="F38" s="212"/>
      <c r="G38" s="212"/>
      <c r="H38" s="213"/>
    </row>
    <row r="39" spans="1:8" hidden="1" x14ac:dyDescent="0.2">
      <c r="A39" s="25"/>
      <c r="B39" s="37"/>
      <c r="C39" s="211"/>
      <c r="D39" s="212"/>
      <c r="E39" s="212"/>
      <c r="F39" s="212"/>
      <c r="G39" s="212"/>
      <c r="H39" s="213"/>
    </row>
    <row r="40" spans="1:8" hidden="1" x14ac:dyDescent="0.2">
      <c r="A40" s="25"/>
      <c r="B40" s="37"/>
      <c r="C40" s="211"/>
      <c r="D40" s="212"/>
      <c r="E40" s="212"/>
      <c r="F40" s="212"/>
      <c r="G40" s="212"/>
      <c r="H40" s="213"/>
    </row>
    <row r="41" spans="1:8" hidden="1" x14ac:dyDescent="0.2">
      <c r="A41" s="25"/>
      <c r="B41" s="37"/>
      <c r="C41" s="211"/>
      <c r="D41" s="212"/>
      <c r="E41" s="212"/>
      <c r="F41" s="212"/>
      <c r="G41" s="212"/>
      <c r="H41" s="216"/>
    </row>
    <row r="42" spans="1:8" hidden="1" x14ac:dyDescent="0.2">
      <c r="A42" s="25"/>
      <c r="B42" s="37"/>
      <c r="C42" s="211"/>
      <c r="D42" s="212"/>
      <c r="E42" s="212"/>
      <c r="F42" s="212"/>
      <c r="G42" s="212"/>
      <c r="H42" s="216"/>
    </row>
    <row r="43" spans="1:8" hidden="1" x14ac:dyDescent="0.2">
      <c r="A43" s="25"/>
      <c r="B43" s="37"/>
      <c r="C43" s="211"/>
      <c r="D43" s="212"/>
      <c r="E43" s="212"/>
      <c r="F43" s="212"/>
      <c r="G43" s="212"/>
      <c r="H43" s="219"/>
    </row>
    <row r="44" spans="1:8" ht="18" hidden="1" x14ac:dyDescent="0.25">
      <c r="A44" s="40"/>
      <c r="B44" s="41"/>
      <c r="C44" s="220"/>
      <c r="D44" s="221"/>
      <c r="E44" s="221"/>
      <c r="F44" s="221"/>
      <c r="G44" s="221"/>
      <c r="H44" s="222"/>
    </row>
    <row r="45" spans="1:8" hidden="1" x14ac:dyDescent="0.2">
      <c r="A45" s="25"/>
      <c r="B45" s="37"/>
      <c r="C45" s="217"/>
      <c r="D45" s="218"/>
      <c r="E45" s="218"/>
      <c r="F45" s="218"/>
      <c r="G45" s="218"/>
      <c r="H45" s="219"/>
    </row>
    <row r="46" spans="1:8" ht="13.5" hidden="1" thickBot="1" x14ac:dyDescent="0.25">
      <c r="A46" s="42"/>
      <c r="B46" s="43"/>
      <c r="C46" s="223"/>
      <c r="D46" s="224"/>
      <c r="E46" s="224"/>
      <c r="F46" s="224"/>
      <c r="G46" s="224"/>
      <c r="H46" s="225"/>
    </row>
    <row r="47" spans="1:8" ht="13.5" thickBot="1" x14ac:dyDescent="0.25">
      <c r="A47" s="44"/>
      <c r="B47" s="45" t="s">
        <v>185</v>
      </c>
      <c r="C47" s="226">
        <f>C16+C25</f>
        <v>355041.18000000005</v>
      </c>
      <c r="D47" s="227" t="e">
        <f>+D16+D20+D25+#REF!+D30</f>
        <v>#REF!</v>
      </c>
      <c r="E47" s="228" t="e">
        <f>+E16+E20+E25+#REF!+E30</f>
        <v>#REF!</v>
      </c>
      <c r="F47" s="227">
        <f>+F16+F20+F25+F30</f>
        <v>0</v>
      </c>
      <c r="G47" s="228" t="e">
        <f>+G16+G20+G25+#REF!+G30</f>
        <v>#REF!</v>
      </c>
      <c r="H47" s="228">
        <f>+H16+H25</f>
        <v>355041.18000000005</v>
      </c>
    </row>
    <row r="48" spans="1:8" x14ac:dyDescent="0.2">
      <c r="C48" s="180"/>
      <c r="H48" s="108"/>
    </row>
    <row r="49" spans="3:8" x14ac:dyDescent="0.2">
      <c r="H49" s="46"/>
    </row>
    <row r="50" spans="3:8" x14ac:dyDescent="0.2">
      <c r="H50" s="3"/>
    </row>
    <row r="51" spans="3:8" x14ac:dyDescent="0.2">
      <c r="C51" s="202"/>
      <c r="H51" s="3"/>
    </row>
    <row r="52" spans="3:8" x14ac:dyDescent="0.2">
      <c r="C52" s="181"/>
      <c r="H52" s="3"/>
    </row>
    <row r="53" spans="3:8" x14ac:dyDescent="0.2">
      <c r="C53" s="182"/>
    </row>
    <row r="54" spans="3:8" x14ac:dyDescent="0.2">
      <c r="C54" s="183"/>
      <c r="H54" s="3"/>
    </row>
    <row r="55" spans="3:8" x14ac:dyDescent="0.2">
      <c r="C55" s="184"/>
    </row>
    <row r="56" spans="3:8" x14ac:dyDescent="0.2">
      <c r="C56" s="180"/>
    </row>
    <row r="58" spans="3:8" x14ac:dyDescent="0.2">
      <c r="C58" s="180"/>
    </row>
  </sheetData>
  <mergeCells count="10">
    <mergeCell ref="A2:H2"/>
    <mergeCell ref="A3:H3"/>
    <mergeCell ref="C11:G11"/>
    <mergeCell ref="H11:H12"/>
    <mergeCell ref="B11:B12"/>
    <mergeCell ref="A5:H5"/>
    <mergeCell ref="A6:H6"/>
    <mergeCell ref="A7:H7"/>
    <mergeCell ref="A8:H8"/>
    <mergeCell ref="A9:H9"/>
  </mergeCells>
  <phoneticPr fontId="0" type="noConversion"/>
  <printOptions horizontalCentered="1"/>
  <pageMargins left="0.74803149606299213" right="0.74803149606299213" top="0.98425196850393704" bottom="0.98425196850393704" header="0" footer="0"/>
  <pageSetup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AJ171"/>
  <sheetViews>
    <sheetView showGridLines="0" topLeftCell="A3" zoomScaleNormal="100" workbookViewId="0">
      <pane xSplit="2" ySplit="6" topLeftCell="C25" activePane="bottomRight" state="frozen"/>
      <selection activeCell="A3" sqref="A3"/>
      <selection pane="topRight" activeCell="C3" sqref="C3"/>
      <selection pane="bottomLeft" activeCell="A9" sqref="A9"/>
      <selection pane="bottomRight" activeCell="A12" sqref="A12"/>
    </sheetView>
  </sheetViews>
  <sheetFormatPr baseColWidth="10" defaultRowHeight="18" customHeight="1" x14ac:dyDescent="0.2"/>
  <cols>
    <col min="1" max="1" width="6" style="313" customWidth="1"/>
    <col min="2" max="2" width="41" style="314" customWidth="1"/>
    <col min="3" max="7" width="11.7109375" style="891" customWidth="1"/>
    <col min="8" max="12" width="11.7109375" style="892" customWidth="1"/>
    <col min="13" max="18" width="11.7109375" style="314" customWidth="1"/>
    <col min="19" max="19" width="12.7109375" style="314" customWidth="1"/>
    <col min="20" max="23" width="11.7109375" style="314" customWidth="1"/>
    <col min="24" max="24" width="15.42578125" style="314" hidden="1" customWidth="1"/>
    <col min="25" max="32" width="16.7109375" style="314" hidden="1" customWidth="1"/>
    <col min="33" max="33" width="0.7109375" style="314" hidden="1" customWidth="1"/>
    <col min="34" max="34" width="14.7109375" style="314" customWidth="1"/>
    <col min="35" max="35" width="13.85546875" style="568" bestFit="1" customWidth="1"/>
    <col min="36" max="16384" width="11.42578125" style="314"/>
  </cols>
  <sheetData>
    <row r="1" spans="1:35" ht="18" customHeight="1" x14ac:dyDescent="0.2">
      <c r="A1" s="548" t="s">
        <v>672</v>
      </c>
      <c r="B1" s="548"/>
      <c r="C1" s="741"/>
      <c r="D1" s="741"/>
      <c r="E1" s="741"/>
      <c r="F1" s="741"/>
      <c r="G1" s="741"/>
      <c r="H1" s="742"/>
      <c r="I1" s="742"/>
      <c r="J1" s="742"/>
      <c r="K1" s="742"/>
      <c r="L1" s="742"/>
      <c r="M1" s="548"/>
      <c r="N1" s="548"/>
      <c r="O1" s="548"/>
      <c r="P1" s="548"/>
      <c r="Q1" s="548"/>
      <c r="R1" s="548"/>
      <c r="S1" s="548"/>
      <c r="T1" s="548"/>
      <c r="U1" s="548"/>
      <c r="V1" s="548"/>
      <c r="W1" s="548"/>
      <c r="X1" s="548"/>
      <c r="Y1" s="548"/>
      <c r="Z1" s="548"/>
      <c r="AA1" s="548"/>
      <c r="AB1" s="548"/>
      <c r="AC1" s="548"/>
      <c r="AD1" s="548"/>
      <c r="AE1" s="548"/>
      <c r="AF1" s="548"/>
      <c r="AG1" s="548"/>
      <c r="AH1" s="548"/>
    </row>
    <row r="2" spans="1:35" ht="18" customHeight="1" thickBot="1" x14ac:dyDescent="0.25">
      <c r="A2" s="548"/>
      <c r="B2" s="548"/>
      <c r="C2" s="741"/>
      <c r="D2" s="741"/>
      <c r="E2" s="741"/>
      <c r="F2" s="741"/>
      <c r="G2" s="741"/>
      <c r="H2" s="742"/>
      <c r="I2" s="742"/>
      <c r="J2" s="742"/>
      <c r="K2" s="742"/>
      <c r="L2" s="742"/>
      <c r="M2" s="548"/>
      <c r="N2" s="548"/>
      <c r="O2" s="548"/>
      <c r="P2" s="548"/>
      <c r="Q2" s="548"/>
      <c r="R2" s="548"/>
      <c r="S2" s="548"/>
      <c r="T2" s="548"/>
      <c r="U2" s="548"/>
      <c r="V2" s="548"/>
      <c r="W2" s="548"/>
      <c r="X2" s="548"/>
      <c r="Y2" s="548"/>
      <c r="Z2" s="548"/>
      <c r="AA2" s="548"/>
      <c r="AB2" s="548"/>
      <c r="AC2" s="548"/>
      <c r="AD2" s="548"/>
      <c r="AE2" s="548"/>
      <c r="AF2" s="548"/>
      <c r="AG2" s="548"/>
      <c r="AH2" s="548"/>
    </row>
    <row r="3" spans="1:35" s="748" customFormat="1" ht="17.25" customHeight="1" thickTop="1" thickBot="1" x14ac:dyDescent="0.25">
      <c r="A3" s="1145" t="s">
        <v>631</v>
      </c>
      <c r="B3" s="1148" t="s">
        <v>103</v>
      </c>
      <c r="C3" s="1169" t="s">
        <v>219</v>
      </c>
      <c r="D3" s="1170"/>
      <c r="E3" s="1170"/>
      <c r="F3" s="1170"/>
      <c r="G3" s="1171"/>
      <c r="H3" s="743"/>
      <c r="I3" s="744"/>
      <c r="J3" s="744"/>
      <c r="K3" s="744"/>
      <c r="L3" s="744" t="s">
        <v>218</v>
      </c>
      <c r="M3" s="745"/>
      <c r="N3" s="745"/>
      <c r="O3" s="745"/>
      <c r="P3" s="745"/>
      <c r="Q3" s="746"/>
      <c r="R3" s="746"/>
      <c r="S3" s="1180" t="s">
        <v>108</v>
      </c>
      <c r="T3" s="1148" t="s">
        <v>485</v>
      </c>
      <c r="U3" s="1209" t="s">
        <v>487</v>
      </c>
      <c r="V3" s="1209"/>
      <c r="W3" s="1180"/>
      <c r="X3" s="1210" t="s">
        <v>222</v>
      </c>
      <c r="Y3" s="1203" t="s">
        <v>220</v>
      </c>
      <c r="Z3" s="1204"/>
      <c r="AA3" s="1208"/>
      <c r="AB3" s="1203" t="s">
        <v>221</v>
      </c>
      <c r="AC3" s="1204"/>
      <c r="AD3" s="1208"/>
      <c r="AE3" s="1203" t="s">
        <v>222</v>
      </c>
      <c r="AF3" s="1204"/>
      <c r="AG3" s="1204"/>
      <c r="AH3" s="1193" t="s">
        <v>25</v>
      </c>
      <c r="AI3" s="747"/>
    </row>
    <row r="4" spans="1:35" s="748" customFormat="1" ht="14.25" customHeight="1" thickBot="1" x14ac:dyDescent="0.25">
      <c r="A4" s="1146"/>
      <c r="B4" s="1149"/>
      <c r="C4" s="1172"/>
      <c r="D4" s="1173"/>
      <c r="E4" s="1173"/>
      <c r="F4" s="1173"/>
      <c r="G4" s="1174"/>
      <c r="H4" s="1158" t="s">
        <v>223</v>
      </c>
      <c r="I4" s="1159"/>
      <c r="J4" s="1159"/>
      <c r="K4" s="1159"/>
      <c r="L4" s="1160"/>
      <c r="M4" s="1161" t="s">
        <v>224</v>
      </c>
      <c r="N4" s="1162"/>
      <c r="O4" s="1162"/>
      <c r="P4" s="1162"/>
      <c r="Q4" s="1162"/>
      <c r="R4" s="1163"/>
      <c r="S4" s="1181"/>
      <c r="T4" s="1175"/>
      <c r="U4" s="1186" t="s">
        <v>629</v>
      </c>
      <c r="V4" s="1188" t="s">
        <v>630</v>
      </c>
      <c r="W4" s="1190" t="s">
        <v>108</v>
      </c>
      <c r="X4" s="1211"/>
      <c r="Y4" s="1201" t="s">
        <v>225</v>
      </c>
      <c r="Z4" s="1202"/>
      <c r="AA4" s="749"/>
      <c r="AB4" s="1201" t="s">
        <v>225</v>
      </c>
      <c r="AC4" s="1202"/>
      <c r="AD4" s="749"/>
      <c r="AE4" s="1199" t="s">
        <v>225</v>
      </c>
      <c r="AF4" s="1200"/>
      <c r="AG4" s="750"/>
      <c r="AH4" s="1194"/>
      <c r="AI4" s="747"/>
    </row>
    <row r="5" spans="1:35" s="748" customFormat="1" ht="15" customHeight="1" x14ac:dyDescent="0.2">
      <c r="A5" s="1146"/>
      <c r="B5" s="1149"/>
      <c r="C5" s="1164" t="s">
        <v>466</v>
      </c>
      <c r="D5" s="1165"/>
      <c r="E5" s="1165"/>
      <c r="F5" s="1165"/>
      <c r="G5" s="1166"/>
      <c r="H5" s="1151" t="s">
        <v>466</v>
      </c>
      <c r="I5" s="1152"/>
      <c r="J5" s="1152"/>
      <c r="K5" s="1152"/>
      <c r="L5" s="1153"/>
      <c r="M5" s="1157" t="s">
        <v>226</v>
      </c>
      <c r="N5" s="1154"/>
      <c r="O5" s="751" t="s">
        <v>227</v>
      </c>
      <c r="P5" s="1154" t="s">
        <v>228</v>
      </c>
      <c r="Q5" s="1154"/>
      <c r="R5" s="1154"/>
      <c r="S5" s="1181"/>
      <c r="T5" s="1175" t="s">
        <v>445</v>
      </c>
      <c r="U5" s="1187"/>
      <c r="V5" s="1189"/>
      <c r="W5" s="1191"/>
      <c r="X5" s="752" t="s">
        <v>226</v>
      </c>
      <c r="Y5" s="753" t="s">
        <v>226</v>
      </c>
      <c r="Z5" s="753" t="s">
        <v>229</v>
      </c>
      <c r="AA5" s="1205" t="s">
        <v>108</v>
      </c>
      <c r="AB5" s="753" t="s">
        <v>226</v>
      </c>
      <c r="AC5" s="753" t="s">
        <v>229</v>
      </c>
      <c r="AD5" s="1205" t="s">
        <v>108</v>
      </c>
      <c r="AE5" s="753" t="s">
        <v>226</v>
      </c>
      <c r="AF5" s="753" t="s">
        <v>229</v>
      </c>
      <c r="AG5" s="1196" t="s">
        <v>108</v>
      </c>
      <c r="AH5" s="1194"/>
      <c r="AI5" s="747"/>
    </row>
    <row r="6" spans="1:35" s="748" customFormat="1" ht="15.75" customHeight="1" thickBot="1" x14ac:dyDescent="0.25">
      <c r="A6" s="1146"/>
      <c r="B6" s="1149"/>
      <c r="C6" s="1164" t="s">
        <v>468</v>
      </c>
      <c r="D6" s="1165"/>
      <c r="E6" s="1165"/>
      <c r="F6" s="1165"/>
      <c r="G6" s="1166"/>
      <c r="H6" s="1151" t="s">
        <v>467</v>
      </c>
      <c r="I6" s="1152"/>
      <c r="J6" s="1152"/>
      <c r="K6" s="1152"/>
      <c r="L6" s="1153"/>
      <c r="M6" s="1157" t="s">
        <v>230</v>
      </c>
      <c r="N6" s="1154"/>
      <c r="O6" s="751" t="s">
        <v>231</v>
      </c>
      <c r="P6" s="1154" t="s">
        <v>232</v>
      </c>
      <c r="Q6" s="1154"/>
      <c r="R6" s="1154"/>
      <c r="S6" s="1181"/>
      <c r="T6" s="1183"/>
      <c r="U6" s="751" t="s">
        <v>230</v>
      </c>
      <c r="V6" s="751" t="s">
        <v>231</v>
      </c>
      <c r="W6" s="1191"/>
      <c r="X6" s="754" t="s">
        <v>230</v>
      </c>
      <c r="Y6" s="755" t="s">
        <v>230</v>
      </c>
      <c r="Z6" s="755" t="s">
        <v>231</v>
      </c>
      <c r="AA6" s="1206"/>
      <c r="AB6" s="755" t="s">
        <v>230</v>
      </c>
      <c r="AC6" s="755" t="s">
        <v>231</v>
      </c>
      <c r="AD6" s="1206"/>
      <c r="AE6" s="755" t="s">
        <v>230</v>
      </c>
      <c r="AF6" s="755" t="s">
        <v>231</v>
      </c>
      <c r="AG6" s="1197"/>
      <c r="AH6" s="1194"/>
      <c r="AI6" s="747"/>
    </row>
    <row r="7" spans="1:35" s="748" customFormat="1" ht="14.25" customHeight="1" x14ac:dyDescent="0.2">
      <c r="A7" s="1146"/>
      <c r="B7" s="1149"/>
      <c r="C7" s="1167" t="s">
        <v>499</v>
      </c>
      <c r="D7" s="1155" t="s">
        <v>498</v>
      </c>
      <c r="E7" s="1155" t="s">
        <v>488</v>
      </c>
      <c r="F7" s="1155" t="s">
        <v>489</v>
      </c>
      <c r="G7" s="1176" t="s">
        <v>108</v>
      </c>
      <c r="H7" s="1184" t="s">
        <v>499</v>
      </c>
      <c r="I7" s="1178" t="s">
        <v>498</v>
      </c>
      <c r="J7" s="1178" t="s">
        <v>488</v>
      </c>
      <c r="K7" s="1178" t="s">
        <v>489</v>
      </c>
      <c r="L7" s="1176" t="s">
        <v>108</v>
      </c>
      <c r="M7" s="756" t="s">
        <v>233</v>
      </c>
      <c r="N7" s="757" t="s">
        <v>234</v>
      </c>
      <c r="O7" s="757" t="s">
        <v>235</v>
      </c>
      <c r="P7" s="757" t="s">
        <v>236</v>
      </c>
      <c r="Q7" s="757" t="s">
        <v>706</v>
      </c>
      <c r="R7" s="757" t="s">
        <v>470</v>
      </c>
      <c r="S7" s="1181"/>
      <c r="T7" s="758" t="s">
        <v>458</v>
      </c>
      <c r="U7" s="759" t="s">
        <v>234</v>
      </c>
      <c r="V7" s="760" t="s">
        <v>235</v>
      </c>
      <c r="W7" s="1191"/>
      <c r="X7" s="761" t="s">
        <v>234</v>
      </c>
      <c r="Y7" s="762" t="s">
        <v>233</v>
      </c>
      <c r="Z7" s="762" t="s">
        <v>235</v>
      </c>
      <c r="AA7" s="1206"/>
      <c r="AB7" s="762" t="s">
        <v>233</v>
      </c>
      <c r="AC7" s="762" t="s">
        <v>235</v>
      </c>
      <c r="AD7" s="1206"/>
      <c r="AE7" s="762" t="s">
        <v>233</v>
      </c>
      <c r="AF7" s="762" t="s">
        <v>235</v>
      </c>
      <c r="AG7" s="1197"/>
      <c r="AH7" s="1194"/>
      <c r="AI7" s="747"/>
    </row>
    <row r="8" spans="1:35" s="748" customFormat="1" ht="68.25" customHeight="1" thickBot="1" x14ac:dyDescent="0.25">
      <c r="A8" s="1147"/>
      <c r="B8" s="1150"/>
      <c r="C8" s="1168"/>
      <c r="D8" s="1156"/>
      <c r="E8" s="1156"/>
      <c r="F8" s="1156"/>
      <c r="G8" s="1177"/>
      <c r="H8" s="1185"/>
      <c r="I8" s="1179"/>
      <c r="J8" s="1179"/>
      <c r="K8" s="1179"/>
      <c r="L8" s="1177"/>
      <c r="M8" s="763" t="s">
        <v>636</v>
      </c>
      <c r="N8" s="764" t="s">
        <v>637</v>
      </c>
      <c r="O8" s="765" t="s">
        <v>535</v>
      </c>
      <c r="P8" s="764" t="s">
        <v>707</v>
      </c>
      <c r="Q8" s="764" t="s">
        <v>708</v>
      </c>
      <c r="R8" s="764" t="s">
        <v>472</v>
      </c>
      <c r="S8" s="1182"/>
      <c r="T8" s="767" t="s">
        <v>536</v>
      </c>
      <c r="U8" s="766" t="s">
        <v>534</v>
      </c>
      <c r="V8" s="767" t="s">
        <v>536</v>
      </c>
      <c r="W8" s="1192"/>
      <c r="X8" s="768" t="s">
        <v>237</v>
      </c>
      <c r="Y8" s="769" t="s">
        <v>237</v>
      </c>
      <c r="Z8" s="769" t="s">
        <v>238</v>
      </c>
      <c r="AA8" s="1207"/>
      <c r="AB8" s="769" t="s">
        <v>237</v>
      </c>
      <c r="AC8" s="769" t="s">
        <v>238</v>
      </c>
      <c r="AD8" s="1207"/>
      <c r="AE8" s="769" t="s">
        <v>237</v>
      </c>
      <c r="AF8" s="769" t="s">
        <v>238</v>
      </c>
      <c r="AG8" s="1198"/>
      <c r="AH8" s="1195"/>
      <c r="AI8" s="747"/>
    </row>
    <row r="9" spans="1:35" s="786" customFormat="1" ht="18" customHeight="1" thickTop="1" x14ac:dyDescent="0.2">
      <c r="A9" s="549">
        <v>51</v>
      </c>
      <c r="B9" s="550" t="s">
        <v>122</v>
      </c>
      <c r="C9" s="770">
        <f>C10+C17+C22+C25+C28+C31+C34+C37+C39</f>
        <v>115338.56049999999</v>
      </c>
      <c r="D9" s="771">
        <f>D10+D17+D22+D25+D28+D31+D34+D37+D39</f>
        <v>25100</v>
      </c>
      <c r="E9" s="771">
        <f>E10+E17+E22+E25+E28+E31+E34+E37+E39</f>
        <v>25771.399999999998</v>
      </c>
      <c r="F9" s="771">
        <f>F10+F17+F22+F25+F28+F31+F34+F37+F39</f>
        <v>89787.959999999992</v>
      </c>
      <c r="G9" s="772">
        <f>+G10+G17+G22+G25+G28+G31+G34+G39</f>
        <v>255997.92049999998</v>
      </c>
      <c r="H9" s="773">
        <f>H10+H17+H22+H25+H28+H31+H34+H37+H39</f>
        <v>101630.16089999999</v>
      </c>
      <c r="I9" s="774">
        <f>I10+I17+I22+I25+I28+I31+I34+I37</f>
        <v>40231.25</v>
      </c>
      <c r="J9" s="774">
        <f>J10+J17+J22+J25+J28+J31+J34+J37</f>
        <v>7521.42</v>
      </c>
      <c r="K9" s="774">
        <f>K10+K17+K22+K25+K28+K31+K34+K37</f>
        <v>15959.659999999998</v>
      </c>
      <c r="L9" s="775">
        <f>L10+L17+L22+L25+L28+L31+L34+L37+L39</f>
        <v>165342.4909</v>
      </c>
      <c r="M9" s="776">
        <f t="shared" ref="M9:O9" si="0">M10+M17+M22+M25+M28+M31+M34+M37</f>
        <v>0</v>
      </c>
      <c r="N9" s="777">
        <f>N10+N17+N22+N25+N28+N31+N34+N37+N39</f>
        <v>35408.15</v>
      </c>
      <c r="O9" s="777">
        <f t="shared" si="0"/>
        <v>57106.97</v>
      </c>
      <c r="P9" s="777">
        <v>0</v>
      </c>
      <c r="Q9" s="777">
        <v>0</v>
      </c>
      <c r="R9" s="777">
        <v>0</v>
      </c>
      <c r="S9" s="778">
        <f>+M9+N9+O9+P9+R9</f>
        <v>92515.12</v>
      </c>
      <c r="T9" s="779">
        <v>0</v>
      </c>
      <c r="U9" s="780">
        <v>0</v>
      </c>
      <c r="V9" s="777">
        <v>0</v>
      </c>
      <c r="W9" s="781">
        <f>+U9+V9</f>
        <v>0</v>
      </c>
      <c r="X9" s="776"/>
      <c r="Y9" s="782"/>
      <c r="Z9" s="777"/>
      <c r="AA9" s="783"/>
      <c r="AB9" s="776"/>
      <c r="AC9" s="777"/>
      <c r="AD9" s="784"/>
      <c r="AE9" s="782"/>
      <c r="AF9" s="777"/>
      <c r="AG9" s="784"/>
      <c r="AH9" s="907">
        <f>+L9+S9+G9+AA9+AD9+AG9+T9+W9+X9</f>
        <v>513855.53139999998</v>
      </c>
      <c r="AI9" s="785"/>
    </row>
    <row r="10" spans="1:35" s="786" customFormat="1" ht="18" customHeight="1" x14ac:dyDescent="0.2">
      <c r="A10" s="551">
        <v>511</v>
      </c>
      <c r="B10" s="552" t="s">
        <v>123</v>
      </c>
      <c r="C10" s="787">
        <f t="shared" ref="C10:J10" si="1">SUM(C11:C16)</f>
        <v>81850</v>
      </c>
      <c r="D10" s="788">
        <f t="shared" si="1"/>
        <v>25100</v>
      </c>
      <c r="E10" s="788">
        <f t="shared" si="1"/>
        <v>25771.399999999998</v>
      </c>
      <c r="F10" s="788">
        <f t="shared" si="1"/>
        <v>89387.959999999992</v>
      </c>
      <c r="G10" s="789">
        <f>SUM(G11:G16)</f>
        <v>222109.35999999996</v>
      </c>
      <c r="H10" s="790">
        <f>SUM(H11:H16)</f>
        <v>80700</v>
      </c>
      <c r="I10" s="791">
        <f t="shared" si="1"/>
        <v>39200</v>
      </c>
      <c r="J10" s="791">
        <f t="shared" si="1"/>
        <v>7521.42</v>
      </c>
      <c r="K10" s="792">
        <f>SUM(K11:K21)</f>
        <v>15009.659999999998</v>
      </c>
      <c r="L10" s="793">
        <f>SUM(L11:L21)</f>
        <v>142431.08000000002</v>
      </c>
      <c r="M10" s="795">
        <f>SUM(M11:M16)</f>
        <v>0</v>
      </c>
      <c r="N10" s="795">
        <f>SUM(N11:N16)</f>
        <v>0</v>
      </c>
      <c r="O10" s="795">
        <f t="shared" ref="O10:R10" si="2">SUM(O11:O16)</f>
        <v>0</v>
      </c>
      <c r="P10" s="795">
        <f t="shared" si="2"/>
        <v>0</v>
      </c>
      <c r="Q10" s="795">
        <f t="shared" si="2"/>
        <v>0</v>
      </c>
      <c r="R10" s="795">
        <f t="shared" si="2"/>
        <v>0</v>
      </c>
      <c r="S10" s="825">
        <f>M10+N10+O10+P10+R10</f>
        <v>0</v>
      </c>
      <c r="T10" s="797">
        <v>0</v>
      </c>
      <c r="U10" s="798">
        <v>0</v>
      </c>
      <c r="V10" s="795">
        <v>0</v>
      </c>
      <c r="W10" s="799">
        <f t="shared" ref="W10:W73" si="3">+U10+V10</f>
        <v>0</v>
      </c>
      <c r="X10" s="794"/>
      <c r="Y10" s="800"/>
      <c r="Z10" s="795"/>
      <c r="AA10" s="801"/>
      <c r="AB10" s="794"/>
      <c r="AC10" s="795"/>
      <c r="AD10" s="802"/>
      <c r="AE10" s="800"/>
      <c r="AF10" s="795"/>
      <c r="AG10" s="802"/>
      <c r="AH10" s="847">
        <f>+L10+S10+G10+AA10+AD10+AG10+T10+W10+X10</f>
        <v>364540.43999999994</v>
      </c>
      <c r="AI10" s="785"/>
    </row>
    <row r="11" spans="1:35" s="817" customFormat="1" ht="18" customHeight="1" x14ac:dyDescent="0.2">
      <c r="A11" s="553" t="s">
        <v>124</v>
      </c>
      <c r="B11" s="554" t="s">
        <v>125</v>
      </c>
      <c r="C11" s="803">
        <f>'PLLA MUNICIPAL LEY SAL'!H16*7</f>
        <v>45150</v>
      </c>
      <c r="D11" s="804">
        <f>'PLLA MUNICIPAL LEY SAL'!H23*5</f>
        <v>24500</v>
      </c>
      <c r="E11" s="804">
        <f>'PLLA MUNICIPAL LEY SAL'!H53*10</f>
        <v>25071.399999999998</v>
      </c>
      <c r="F11" s="805">
        <f>'PLLA MUNICIPAL LEY SAL'!H73*11</f>
        <v>81343.12999999999</v>
      </c>
      <c r="G11" s="806">
        <f t="shared" ref="G11:G15" si="4">SUM(C11:F11)</f>
        <v>176064.52999999997</v>
      </c>
      <c r="H11" s="807">
        <f>'PLLA MUNICIPAL LEY SAL'!H16*5</f>
        <v>32250</v>
      </c>
      <c r="I11" s="808">
        <f>'PLLA MUNICIPAL LEY SAL'!H23*7</f>
        <v>34300</v>
      </c>
      <c r="J11" s="809">
        <f>'PLLA MUNICIPAL LEY SAL'!H53*2</f>
        <v>5014.28</v>
      </c>
      <c r="K11" s="808">
        <f>'PLLA MUNICIPAL LEY SAL'!H73*1</f>
        <v>7394.829999999999</v>
      </c>
      <c r="L11" s="810">
        <f>SUM(H11:K11)</f>
        <v>78959.11</v>
      </c>
      <c r="M11" s="811">
        <v>0</v>
      </c>
      <c r="N11" s="812">
        <v>0</v>
      </c>
      <c r="O11" s="812">
        <v>0</v>
      </c>
      <c r="P11" s="812">
        <v>0</v>
      </c>
      <c r="Q11" s="812">
        <v>0</v>
      </c>
      <c r="R11" s="812">
        <v>0</v>
      </c>
      <c r="S11" s="796">
        <f t="shared" ref="S11:S16" si="5">M11+N11+O11+P11+R11</f>
        <v>0</v>
      </c>
      <c r="T11" s="813">
        <v>0</v>
      </c>
      <c r="U11" s="814">
        <v>0</v>
      </c>
      <c r="V11" s="812">
        <v>0</v>
      </c>
      <c r="W11" s="815">
        <f t="shared" si="3"/>
        <v>0</v>
      </c>
      <c r="X11" s="811"/>
      <c r="Y11" s="816"/>
      <c r="Z11" s="812"/>
      <c r="AA11" s="801"/>
      <c r="AB11" s="811"/>
      <c r="AC11" s="812"/>
      <c r="AD11" s="802"/>
      <c r="AE11" s="816"/>
      <c r="AF11" s="812"/>
      <c r="AG11" s="802"/>
      <c r="AH11" s="908">
        <f>+L11+S11+G11+AA11+AD11+AG11+T11+W11+X11</f>
        <v>255023.63999999996</v>
      </c>
      <c r="AI11" s="747"/>
    </row>
    <row r="12" spans="1:35" s="786" customFormat="1" ht="18" customHeight="1" x14ac:dyDescent="0.2">
      <c r="A12" s="555">
        <v>51102</v>
      </c>
      <c r="B12" s="556" t="s">
        <v>126</v>
      </c>
      <c r="C12" s="818"/>
      <c r="D12" s="804"/>
      <c r="E12" s="804"/>
      <c r="F12" s="804"/>
      <c r="G12" s="806">
        <f t="shared" si="4"/>
        <v>0</v>
      </c>
      <c r="H12" s="819"/>
      <c r="I12" s="808"/>
      <c r="J12" s="808"/>
      <c r="K12" s="808"/>
      <c r="L12" s="810"/>
      <c r="M12" s="811">
        <v>0</v>
      </c>
      <c r="N12" s="812">
        <v>0</v>
      </c>
      <c r="O12" s="812">
        <v>0</v>
      </c>
      <c r="P12" s="812">
        <v>0</v>
      </c>
      <c r="Q12" s="812">
        <v>0</v>
      </c>
      <c r="R12" s="812">
        <v>0</v>
      </c>
      <c r="S12" s="796">
        <f t="shared" si="5"/>
        <v>0</v>
      </c>
      <c r="T12" s="813">
        <v>0</v>
      </c>
      <c r="U12" s="814">
        <v>0</v>
      </c>
      <c r="V12" s="812">
        <v>0</v>
      </c>
      <c r="W12" s="815">
        <f t="shared" si="3"/>
        <v>0</v>
      </c>
      <c r="X12" s="811"/>
      <c r="Y12" s="816"/>
      <c r="Z12" s="812"/>
      <c r="AA12" s="801"/>
      <c r="AB12" s="811"/>
      <c r="AC12" s="812"/>
      <c r="AD12" s="802"/>
      <c r="AE12" s="816"/>
      <c r="AF12" s="812"/>
      <c r="AG12" s="802"/>
      <c r="AH12" s="908">
        <f t="shared" ref="AH12:AH40" si="6">+L12+S12+G12+AA12+AD12+AG12+T12+W12+X12</f>
        <v>0</v>
      </c>
      <c r="AI12" s="785"/>
    </row>
    <row r="13" spans="1:35" s="817" customFormat="1" ht="18" customHeight="1" x14ac:dyDescent="0.2">
      <c r="A13" s="555">
        <v>51103</v>
      </c>
      <c r="B13" s="554" t="s">
        <v>127</v>
      </c>
      <c r="C13" s="803">
        <v>0</v>
      </c>
      <c r="D13" s="804">
        <v>0</v>
      </c>
      <c r="E13" s="804">
        <v>0</v>
      </c>
      <c r="F13" s="804">
        <v>0</v>
      </c>
      <c r="G13" s="806">
        <f t="shared" si="4"/>
        <v>0</v>
      </c>
      <c r="H13" s="820">
        <f>'PLLA MUNICIPAL LEY SAL'!L16</f>
        <v>6450</v>
      </c>
      <c r="I13" s="808">
        <f>'PLLA MUNICIPAL LEY SAL'!L23</f>
        <v>4900</v>
      </c>
      <c r="J13" s="808">
        <f>'PLLA MUNICIPAL LEY SAL'!L53</f>
        <v>2507.14</v>
      </c>
      <c r="K13" s="808">
        <f>'PLLA MUNICIPAL LEY SAL'!L73</f>
        <v>7394.829999999999</v>
      </c>
      <c r="L13" s="810">
        <f t="shared" ref="L13:L23" si="7">SUM(H13:K13)</f>
        <v>21251.969999999998</v>
      </c>
      <c r="M13" s="811">
        <v>0</v>
      </c>
      <c r="N13" s="812">
        <v>0</v>
      </c>
      <c r="O13" s="812">
        <v>0</v>
      </c>
      <c r="P13" s="812">
        <v>0</v>
      </c>
      <c r="Q13" s="812">
        <v>0</v>
      </c>
      <c r="R13" s="812">
        <v>0</v>
      </c>
      <c r="S13" s="796">
        <f t="shared" si="5"/>
        <v>0</v>
      </c>
      <c r="T13" s="813">
        <v>0</v>
      </c>
      <c r="U13" s="814">
        <v>0</v>
      </c>
      <c r="V13" s="812">
        <v>0</v>
      </c>
      <c r="W13" s="815">
        <f t="shared" si="3"/>
        <v>0</v>
      </c>
      <c r="X13" s="811"/>
      <c r="Y13" s="816"/>
      <c r="Z13" s="812"/>
      <c r="AA13" s="801"/>
      <c r="AB13" s="811"/>
      <c r="AC13" s="812"/>
      <c r="AD13" s="802"/>
      <c r="AE13" s="816"/>
      <c r="AF13" s="812"/>
      <c r="AG13" s="802"/>
      <c r="AH13" s="908">
        <f t="shared" si="6"/>
        <v>21251.969999999998</v>
      </c>
      <c r="AI13" s="747"/>
    </row>
    <row r="14" spans="1:35" s="786" customFormat="1" ht="18" hidden="1" customHeight="1" x14ac:dyDescent="0.2">
      <c r="A14" s="555">
        <v>51104</v>
      </c>
      <c r="B14" s="554" t="s">
        <v>128</v>
      </c>
      <c r="C14" s="821"/>
      <c r="D14" s="804"/>
      <c r="E14" s="804"/>
      <c r="F14" s="804"/>
      <c r="G14" s="822">
        <f t="shared" si="4"/>
        <v>0</v>
      </c>
      <c r="H14" s="820"/>
      <c r="I14" s="808"/>
      <c r="J14" s="808"/>
      <c r="K14" s="808"/>
      <c r="L14" s="810">
        <f t="shared" si="7"/>
        <v>0</v>
      </c>
      <c r="M14" s="811">
        <v>0</v>
      </c>
      <c r="N14" s="795">
        <v>0</v>
      </c>
      <c r="O14" s="795">
        <v>0</v>
      </c>
      <c r="P14" s="795">
        <v>0</v>
      </c>
      <c r="Q14" s="795">
        <v>0</v>
      </c>
      <c r="R14" s="795">
        <v>0</v>
      </c>
      <c r="S14" s="796">
        <f t="shared" si="5"/>
        <v>0</v>
      </c>
      <c r="T14" s="797">
        <v>0</v>
      </c>
      <c r="U14" s="798">
        <v>0</v>
      </c>
      <c r="V14" s="795">
        <v>0</v>
      </c>
      <c r="W14" s="815">
        <f t="shared" si="3"/>
        <v>0</v>
      </c>
      <c r="X14" s="794"/>
      <c r="Y14" s="816"/>
      <c r="Z14" s="812"/>
      <c r="AA14" s="801"/>
      <c r="AB14" s="811"/>
      <c r="AC14" s="812"/>
      <c r="AD14" s="802"/>
      <c r="AE14" s="816"/>
      <c r="AF14" s="812"/>
      <c r="AG14" s="802"/>
      <c r="AH14" s="908">
        <f t="shared" si="6"/>
        <v>0</v>
      </c>
      <c r="AI14" s="785"/>
    </row>
    <row r="15" spans="1:35" s="817" customFormat="1" ht="18" customHeight="1" x14ac:dyDescent="0.2">
      <c r="A15" s="553" t="s">
        <v>129</v>
      </c>
      <c r="B15" s="554" t="s">
        <v>130</v>
      </c>
      <c r="C15" s="821">
        <f>+'PLLA DIETAS'!E20/2</f>
        <v>36000</v>
      </c>
      <c r="D15" s="804">
        <v>0</v>
      </c>
      <c r="E15" s="804">
        <v>0</v>
      </c>
      <c r="F15" s="804">
        <v>0</v>
      </c>
      <c r="G15" s="822">
        <f t="shared" si="4"/>
        <v>36000</v>
      </c>
      <c r="H15" s="820">
        <f>'PLLA DIETAS'!D20*6</f>
        <v>36000</v>
      </c>
      <c r="I15" s="808">
        <v>0</v>
      </c>
      <c r="J15" s="808">
        <v>0</v>
      </c>
      <c r="K15" s="808">
        <v>0</v>
      </c>
      <c r="L15" s="810">
        <f t="shared" si="7"/>
        <v>36000</v>
      </c>
      <c r="M15" s="811">
        <v>0</v>
      </c>
      <c r="N15" s="812">
        <v>0</v>
      </c>
      <c r="O15" s="812">
        <v>0</v>
      </c>
      <c r="P15" s="812">
        <v>0</v>
      </c>
      <c r="Q15" s="812">
        <v>0</v>
      </c>
      <c r="R15" s="812">
        <v>0</v>
      </c>
      <c r="S15" s="796">
        <f t="shared" si="5"/>
        <v>0</v>
      </c>
      <c r="T15" s="813">
        <v>0</v>
      </c>
      <c r="U15" s="814">
        <v>0</v>
      </c>
      <c r="V15" s="812">
        <v>0</v>
      </c>
      <c r="W15" s="815">
        <f t="shared" si="3"/>
        <v>0</v>
      </c>
      <c r="X15" s="811"/>
      <c r="Y15" s="816"/>
      <c r="Z15" s="812"/>
      <c r="AA15" s="801"/>
      <c r="AB15" s="811"/>
      <c r="AC15" s="812"/>
      <c r="AD15" s="802"/>
      <c r="AE15" s="816"/>
      <c r="AF15" s="812"/>
      <c r="AG15" s="802"/>
      <c r="AH15" s="908">
        <f t="shared" si="6"/>
        <v>72000</v>
      </c>
      <c r="AI15" s="747"/>
    </row>
    <row r="16" spans="1:35" s="786" customFormat="1" ht="18" customHeight="1" x14ac:dyDescent="0.2">
      <c r="A16" s="553" t="s">
        <v>131</v>
      </c>
      <c r="B16" s="554" t="s">
        <v>132</v>
      </c>
      <c r="C16" s="821">
        <f>'PLLA MUNICIPAL LEY SAL'!J16</f>
        <v>700</v>
      </c>
      <c r="D16" s="804">
        <f>'PLLA MUNICIPAL LEY SAL'!J23</f>
        <v>600</v>
      </c>
      <c r="E16" s="804">
        <f>'PLLA MUNICIPAL LEY SAL'!J53</f>
        <v>700</v>
      </c>
      <c r="F16" s="804">
        <f>'PLLA MUNICIPAL LEY SAL'!J73+'PLLA MUNICIPAL LEY SAL'!K73</f>
        <v>8044.83</v>
      </c>
      <c r="G16" s="822">
        <f>SUM(C16:F16)</f>
        <v>10044.83</v>
      </c>
      <c r="H16" s="820">
        <f>'PLLA MUNICIPAL HONORARIOS'!K26+'PLLA DIETAS'!F20</f>
        <v>6000</v>
      </c>
      <c r="I16" s="808">
        <v>0</v>
      </c>
      <c r="J16" s="808">
        <v>0</v>
      </c>
      <c r="K16" s="804">
        <v>220</v>
      </c>
      <c r="L16" s="810">
        <f t="shared" si="7"/>
        <v>6220</v>
      </c>
      <c r="M16" s="811">
        <v>0</v>
      </c>
      <c r="N16" s="795">
        <v>0</v>
      </c>
      <c r="O16" s="812">
        <v>0</v>
      </c>
      <c r="P16" s="812">
        <v>0</v>
      </c>
      <c r="Q16" s="812">
        <v>0</v>
      </c>
      <c r="R16" s="812">
        <v>0</v>
      </c>
      <c r="S16" s="796">
        <f t="shared" si="5"/>
        <v>0</v>
      </c>
      <c r="T16" s="813">
        <v>0</v>
      </c>
      <c r="U16" s="814">
        <v>0</v>
      </c>
      <c r="V16" s="812">
        <v>0</v>
      </c>
      <c r="W16" s="815">
        <f t="shared" si="3"/>
        <v>0</v>
      </c>
      <c r="X16" s="794"/>
      <c r="Y16" s="816"/>
      <c r="Z16" s="812"/>
      <c r="AA16" s="801"/>
      <c r="AB16" s="811"/>
      <c r="AC16" s="812"/>
      <c r="AD16" s="802"/>
      <c r="AE16" s="816"/>
      <c r="AF16" s="812"/>
      <c r="AG16" s="802"/>
      <c r="AH16" s="908">
        <f t="shared" si="6"/>
        <v>16264.83</v>
      </c>
      <c r="AI16" s="785"/>
    </row>
    <row r="17" spans="1:35" s="817" customFormat="1" ht="18" customHeight="1" x14ac:dyDescent="0.2">
      <c r="A17" s="557" t="s">
        <v>133</v>
      </c>
      <c r="B17" s="558" t="s">
        <v>134</v>
      </c>
      <c r="C17" s="787">
        <f t="shared" ref="C17:K17" si="8">SUM(C18:C21)</f>
        <v>0</v>
      </c>
      <c r="D17" s="823">
        <f t="shared" si="8"/>
        <v>0</v>
      </c>
      <c r="E17" s="823">
        <f t="shared" si="8"/>
        <v>0</v>
      </c>
      <c r="F17" s="823">
        <f t="shared" si="8"/>
        <v>0</v>
      </c>
      <c r="G17" s="824">
        <f t="shared" si="8"/>
        <v>0</v>
      </c>
      <c r="H17" s="819">
        <f t="shared" si="8"/>
        <v>0</v>
      </c>
      <c r="I17" s="791">
        <f t="shared" si="8"/>
        <v>0</v>
      </c>
      <c r="J17" s="791">
        <f t="shared" si="8"/>
        <v>0</v>
      </c>
      <c r="K17" s="791">
        <f t="shared" si="8"/>
        <v>0</v>
      </c>
      <c r="L17" s="810">
        <f t="shared" si="7"/>
        <v>0</v>
      </c>
      <c r="M17" s="794">
        <f>M19</f>
        <v>0</v>
      </c>
      <c r="N17" s="794">
        <f t="shared" ref="N17:R17" si="9">N19</f>
        <v>6063.15</v>
      </c>
      <c r="O17" s="794">
        <f t="shared" si="9"/>
        <v>57106.97</v>
      </c>
      <c r="P17" s="794">
        <f t="shared" si="9"/>
        <v>0</v>
      </c>
      <c r="Q17" s="794">
        <f t="shared" si="9"/>
        <v>0</v>
      </c>
      <c r="R17" s="794">
        <f t="shared" si="9"/>
        <v>0</v>
      </c>
      <c r="S17" s="825">
        <f>M17+N17+O17+P17+R17</f>
        <v>63170.12</v>
      </c>
      <c r="T17" s="813">
        <v>0</v>
      </c>
      <c r="U17" s="814">
        <v>0</v>
      </c>
      <c r="V17" s="812">
        <v>0</v>
      </c>
      <c r="W17" s="799">
        <f t="shared" si="3"/>
        <v>0</v>
      </c>
      <c r="X17" s="811"/>
      <c r="Y17" s="816"/>
      <c r="Z17" s="812"/>
      <c r="AA17" s="801"/>
      <c r="AB17" s="811"/>
      <c r="AC17" s="812"/>
      <c r="AD17" s="802"/>
      <c r="AE17" s="816"/>
      <c r="AF17" s="812"/>
      <c r="AG17" s="802"/>
      <c r="AH17" s="847">
        <f t="shared" si="6"/>
        <v>63170.12</v>
      </c>
      <c r="AI17" s="747"/>
    </row>
    <row r="18" spans="1:35" s="817" customFormat="1" ht="18" hidden="1" customHeight="1" x14ac:dyDescent="0.2">
      <c r="A18" s="553" t="s">
        <v>135</v>
      </c>
      <c r="B18" s="554" t="s">
        <v>125</v>
      </c>
      <c r="C18" s="821"/>
      <c r="D18" s="804"/>
      <c r="E18" s="804"/>
      <c r="F18" s="804"/>
      <c r="G18" s="822">
        <f>SUM(C18:F18)</f>
        <v>0</v>
      </c>
      <c r="H18" s="820"/>
      <c r="I18" s="808"/>
      <c r="J18" s="808"/>
      <c r="K18" s="808"/>
      <c r="L18" s="810">
        <f t="shared" si="7"/>
        <v>0</v>
      </c>
      <c r="M18" s="811">
        <v>0</v>
      </c>
      <c r="N18" s="812">
        <v>0</v>
      </c>
      <c r="O18" s="812">
        <v>0</v>
      </c>
      <c r="P18" s="812">
        <v>0</v>
      </c>
      <c r="Q18" s="812">
        <v>0</v>
      </c>
      <c r="R18" s="812">
        <v>0</v>
      </c>
      <c r="S18" s="796">
        <f>M18+N18+O18+P18</f>
        <v>0</v>
      </c>
      <c r="T18" s="813">
        <v>0</v>
      </c>
      <c r="U18" s="814">
        <v>0</v>
      </c>
      <c r="V18" s="812">
        <v>0</v>
      </c>
      <c r="W18" s="799">
        <f t="shared" si="3"/>
        <v>0</v>
      </c>
      <c r="X18" s="811"/>
      <c r="Y18" s="816"/>
      <c r="Z18" s="812"/>
      <c r="AA18" s="801"/>
      <c r="AB18" s="811"/>
      <c r="AC18" s="812"/>
      <c r="AD18" s="802"/>
      <c r="AE18" s="816"/>
      <c r="AF18" s="812"/>
      <c r="AG18" s="802"/>
      <c r="AH18" s="847">
        <f t="shared" si="6"/>
        <v>0</v>
      </c>
      <c r="AI18" s="747"/>
    </row>
    <row r="19" spans="1:35" s="817" customFormat="1" ht="18" customHeight="1" x14ac:dyDescent="0.2">
      <c r="A19" s="555">
        <v>51202</v>
      </c>
      <c r="B19" s="556" t="s">
        <v>126</v>
      </c>
      <c r="C19" s="821">
        <v>0</v>
      </c>
      <c r="D19" s="804">
        <v>0</v>
      </c>
      <c r="E19" s="804">
        <v>0</v>
      </c>
      <c r="F19" s="804">
        <v>0</v>
      </c>
      <c r="G19" s="822">
        <v>0</v>
      </c>
      <c r="H19" s="820">
        <v>0</v>
      </c>
      <c r="I19" s="808">
        <v>0</v>
      </c>
      <c r="J19" s="808">
        <v>0</v>
      </c>
      <c r="K19" s="808">
        <v>0</v>
      </c>
      <c r="L19" s="810">
        <f t="shared" si="7"/>
        <v>0</v>
      </c>
      <c r="M19" s="811">
        <v>0</v>
      </c>
      <c r="N19" s="812">
        <f>'AG3'!D45</f>
        <v>6063.15</v>
      </c>
      <c r="O19" s="812">
        <f>'AG4'!D24</f>
        <v>57106.97</v>
      </c>
      <c r="P19" s="812">
        <v>0</v>
      </c>
      <c r="Q19" s="812">
        <v>0</v>
      </c>
      <c r="R19" s="812">
        <v>0</v>
      </c>
      <c r="S19" s="796">
        <f>M19+N19+O19+P19+R19</f>
        <v>63170.12</v>
      </c>
      <c r="T19" s="813">
        <v>0</v>
      </c>
      <c r="U19" s="814">
        <v>0</v>
      </c>
      <c r="V19" s="812">
        <v>0</v>
      </c>
      <c r="W19" s="815">
        <f t="shared" si="3"/>
        <v>0</v>
      </c>
      <c r="X19" s="811"/>
      <c r="Y19" s="816"/>
      <c r="Z19" s="812"/>
      <c r="AA19" s="801"/>
      <c r="AB19" s="811"/>
      <c r="AC19" s="812"/>
      <c r="AD19" s="802"/>
      <c r="AE19" s="816"/>
      <c r="AF19" s="812"/>
      <c r="AG19" s="802"/>
      <c r="AH19" s="908">
        <f t="shared" si="6"/>
        <v>63170.12</v>
      </c>
      <c r="AI19" s="747"/>
    </row>
    <row r="20" spans="1:35" s="786" customFormat="1" ht="18" hidden="1" customHeight="1" x14ac:dyDescent="0.2">
      <c r="A20" s="553" t="s">
        <v>137</v>
      </c>
      <c r="B20" s="554" t="s">
        <v>127</v>
      </c>
      <c r="C20" s="821"/>
      <c r="D20" s="804"/>
      <c r="E20" s="804"/>
      <c r="F20" s="804"/>
      <c r="G20" s="822"/>
      <c r="H20" s="820"/>
      <c r="I20" s="808"/>
      <c r="J20" s="808"/>
      <c r="K20" s="808"/>
      <c r="L20" s="810">
        <f t="shared" si="7"/>
        <v>0</v>
      </c>
      <c r="M20" s="794">
        <v>0</v>
      </c>
      <c r="N20" s="795">
        <v>0</v>
      </c>
      <c r="O20" s="795">
        <v>0</v>
      </c>
      <c r="P20" s="795">
        <v>0</v>
      </c>
      <c r="Q20" s="795">
        <v>0</v>
      </c>
      <c r="R20" s="795">
        <v>0</v>
      </c>
      <c r="S20" s="796">
        <f>M20+N20+O20+P20</f>
        <v>0</v>
      </c>
      <c r="T20" s="797">
        <v>0</v>
      </c>
      <c r="U20" s="798">
        <v>0</v>
      </c>
      <c r="V20" s="795">
        <v>0</v>
      </c>
      <c r="W20" s="799">
        <f t="shared" si="3"/>
        <v>0</v>
      </c>
      <c r="X20" s="794"/>
      <c r="Y20" s="816"/>
      <c r="Z20" s="812"/>
      <c r="AA20" s="801"/>
      <c r="AB20" s="811"/>
      <c r="AC20" s="812"/>
      <c r="AD20" s="802"/>
      <c r="AE20" s="816"/>
      <c r="AF20" s="812"/>
      <c r="AG20" s="802"/>
      <c r="AH20" s="847">
        <f t="shared" si="6"/>
        <v>0</v>
      </c>
      <c r="AI20" s="785"/>
    </row>
    <row r="21" spans="1:35" s="786" customFormat="1" ht="18" hidden="1" customHeight="1" x14ac:dyDescent="0.2">
      <c r="A21" s="553" t="s">
        <v>138</v>
      </c>
      <c r="B21" s="554" t="s">
        <v>132</v>
      </c>
      <c r="C21" s="821"/>
      <c r="D21" s="804"/>
      <c r="E21" s="804"/>
      <c r="F21" s="804"/>
      <c r="G21" s="822"/>
      <c r="H21" s="820"/>
      <c r="I21" s="808"/>
      <c r="J21" s="808"/>
      <c r="K21" s="808"/>
      <c r="L21" s="810">
        <f t="shared" si="7"/>
        <v>0</v>
      </c>
      <c r="M21" s="794">
        <v>0</v>
      </c>
      <c r="N21" s="795">
        <v>0</v>
      </c>
      <c r="O21" s="795">
        <v>0</v>
      </c>
      <c r="P21" s="795">
        <v>0</v>
      </c>
      <c r="Q21" s="795">
        <v>0</v>
      </c>
      <c r="R21" s="795">
        <v>0</v>
      </c>
      <c r="S21" s="796">
        <f>M21+N21+O21+P21</f>
        <v>0</v>
      </c>
      <c r="T21" s="797">
        <v>0</v>
      </c>
      <c r="U21" s="798">
        <v>0</v>
      </c>
      <c r="V21" s="795">
        <v>0</v>
      </c>
      <c r="W21" s="799">
        <f t="shared" si="3"/>
        <v>0</v>
      </c>
      <c r="X21" s="794"/>
      <c r="Y21" s="816"/>
      <c r="Z21" s="812"/>
      <c r="AA21" s="801"/>
      <c r="AB21" s="811"/>
      <c r="AC21" s="812"/>
      <c r="AD21" s="802"/>
      <c r="AE21" s="816"/>
      <c r="AF21" s="812"/>
      <c r="AG21" s="802"/>
      <c r="AH21" s="847">
        <f t="shared" si="6"/>
        <v>0</v>
      </c>
      <c r="AI21" s="785"/>
    </row>
    <row r="22" spans="1:35" s="817" customFormat="1" ht="18" customHeight="1" x14ac:dyDescent="0.2">
      <c r="A22" s="557" t="s">
        <v>139</v>
      </c>
      <c r="B22" s="558" t="s">
        <v>140</v>
      </c>
      <c r="C22" s="787">
        <f t="shared" ref="C22:K22" si="10">SUM(C23:C24)</f>
        <v>0</v>
      </c>
      <c r="D22" s="823">
        <f t="shared" si="10"/>
        <v>0</v>
      </c>
      <c r="E22" s="823">
        <f t="shared" si="10"/>
        <v>0</v>
      </c>
      <c r="F22" s="823">
        <f t="shared" si="10"/>
        <v>0</v>
      </c>
      <c r="G22" s="824">
        <f>SUM(G23:G24)</f>
        <v>0</v>
      </c>
      <c r="H22" s="819">
        <f t="shared" si="10"/>
        <v>0</v>
      </c>
      <c r="I22" s="791">
        <f t="shared" si="10"/>
        <v>0</v>
      </c>
      <c r="J22" s="791">
        <f t="shared" si="10"/>
        <v>0</v>
      </c>
      <c r="K22" s="791">
        <f t="shared" si="10"/>
        <v>150</v>
      </c>
      <c r="L22" s="793">
        <f t="shared" si="7"/>
        <v>150</v>
      </c>
      <c r="M22" s="811">
        <v>0</v>
      </c>
      <c r="N22" s="812">
        <v>0</v>
      </c>
      <c r="O22" s="812">
        <v>0</v>
      </c>
      <c r="P22" s="812">
        <v>0</v>
      </c>
      <c r="Q22" s="812">
        <v>0</v>
      </c>
      <c r="R22" s="812">
        <v>0</v>
      </c>
      <c r="S22" s="825">
        <f>M22+N22+O22+P22</f>
        <v>0</v>
      </c>
      <c r="T22" s="813">
        <v>0</v>
      </c>
      <c r="U22" s="814">
        <v>0</v>
      </c>
      <c r="V22" s="812">
        <v>0</v>
      </c>
      <c r="W22" s="799">
        <f t="shared" si="3"/>
        <v>0</v>
      </c>
      <c r="X22" s="811"/>
      <c r="Y22" s="816"/>
      <c r="Z22" s="812"/>
      <c r="AA22" s="801"/>
      <c r="AB22" s="811"/>
      <c r="AC22" s="812"/>
      <c r="AD22" s="802"/>
      <c r="AE22" s="816"/>
      <c r="AF22" s="812"/>
      <c r="AG22" s="802"/>
      <c r="AH22" s="847">
        <f t="shared" si="6"/>
        <v>150</v>
      </c>
      <c r="AI22" s="747"/>
    </row>
    <row r="23" spans="1:35" s="817" customFormat="1" ht="18" customHeight="1" x14ac:dyDescent="0.2">
      <c r="A23" s="555">
        <v>51301</v>
      </c>
      <c r="B23" s="556" t="s">
        <v>141</v>
      </c>
      <c r="C23" s="821">
        <v>0</v>
      </c>
      <c r="D23" s="804">
        <v>0</v>
      </c>
      <c r="E23" s="804">
        <v>0</v>
      </c>
      <c r="F23" s="804">
        <v>0</v>
      </c>
      <c r="G23" s="822">
        <f>C23+D23+E23+F23</f>
        <v>0</v>
      </c>
      <c r="H23" s="820">
        <v>0</v>
      </c>
      <c r="I23" s="808">
        <v>0</v>
      </c>
      <c r="J23" s="808">
        <v>0</v>
      </c>
      <c r="K23" s="808">
        <f>'AG1'!C26</f>
        <v>150</v>
      </c>
      <c r="L23" s="810">
        <f t="shared" si="7"/>
        <v>150</v>
      </c>
      <c r="M23" s="811">
        <v>0</v>
      </c>
      <c r="N23" s="812">
        <v>0</v>
      </c>
      <c r="O23" s="812">
        <v>0</v>
      </c>
      <c r="P23" s="812">
        <v>0</v>
      </c>
      <c r="Q23" s="812">
        <v>0</v>
      </c>
      <c r="R23" s="812">
        <v>0</v>
      </c>
      <c r="S23" s="796">
        <f>M23+N23+O23+P23+R23</f>
        <v>0</v>
      </c>
      <c r="T23" s="813">
        <v>0</v>
      </c>
      <c r="U23" s="814">
        <v>0</v>
      </c>
      <c r="V23" s="812">
        <v>0</v>
      </c>
      <c r="W23" s="815">
        <f t="shared" si="3"/>
        <v>0</v>
      </c>
      <c r="X23" s="811"/>
      <c r="Y23" s="816"/>
      <c r="Z23" s="812"/>
      <c r="AA23" s="801"/>
      <c r="AB23" s="811"/>
      <c r="AC23" s="812"/>
      <c r="AD23" s="802"/>
      <c r="AE23" s="816"/>
      <c r="AF23" s="812"/>
      <c r="AG23" s="802"/>
      <c r="AH23" s="908">
        <f t="shared" si="6"/>
        <v>150</v>
      </c>
      <c r="AI23" s="747"/>
    </row>
    <row r="24" spans="1:35" s="786" customFormat="1" ht="18" hidden="1" customHeight="1" x14ac:dyDescent="0.2">
      <c r="A24" s="555">
        <v>51302</v>
      </c>
      <c r="B24" s="556" t="s">
        <v>142</v>
      </c>
      <c r="C24" s="821"/>
      <c r="D24" s="804"/>
      <c r="E24" s="804"/>
      <c r="F24" s="804"/>
      <c r="G24" s="822"/>
      <c r="H24" s="820"/>
      <c r="I24" s="808"/>
      <c r="J24" s="808"/>
      <c r="K24" s="808"/>
      <c r="L24" s="810"/>
      <c r="M24" s="811">
        <v>0</v>
      </c>
      <c r="N24" s="812">
        <v>0</v>
      </c>
      <c r="O24" s="812">
        <v>0</v>
      </c>
      <c r="P24" s="812">
        <v>0</v>
      </c>
      <c r="Q24" s="812">
        <v>0</v>
      </c>
      <c r="R24" s="812">
        <v>0</v>
      </c>
      <c r="S24" s="796">
        <f>M24+N24+O24+P24</f>
        <v>0</v>
      </c>
      <c r="T24" s="813">
        <v>0</v>
      </c>
      <c r="U24" s="814">
        <v>0</v>
      </c>
      <c r="V24" s="812">
        <v>0</v>
      </c>
      <c r="W24" s="815">
        <f t="shared" si="3"/>
        <v>0</v>
      </c>
      <c r="X24" s="811"/>
      <c r="Y24" s="816"/>
      <c r="Z24" s="812"/>
      <c r="AA24" s="801"/>
      <c r="AB24" s="811"/>
      <c r="AC24" s="812"/>
      <c r="AD24" s="802"/>
      <c r="AE24" s="816"/>
      <c r="AF24" s="812"/>
      <c r="AG24" s="802"/>
      <c r="AH24" s="847">
        <f t="shared" si="6"/>
        <v>0</v>
      </c>
      <c r="AI24" s="785"/>
    </row>
    <row r="25" spans="1:35" s="817" customFormat="1" ht="18" customHeight="1" x14ac:dyDescent="0.2">
      <c r="A25" s="551">
        <v>514</v>
      </c>
      <c r="B25" s="559" t="s">
        <v>143</v>
      </c>
      <c r="C25" s="787">
        <f t="shared" ref="C25:L25" si="11">SUM(C26:C27)</f>
        <v>14734.849362499999</v>
      </c>
      <c r="D25" s="823">
        <f t="shared" si="11"/>
        <v>0</v>
      </c>
      <c r="E25" s="823">
        <f t="shared" si="11"/>
        <v>0</v>
      </c>
      <c r="F25" s="823">
        <f t="shared" si="11"/>
        <v>0</v>
      </c>
      <c r="G25" s="824">
        <f>SUM(G26:G27)</f>
        <v>14734.849362499999</v>
      </c>
      <c r="H25" s="819">
        <f t="shared" si="11"/>
        <v>6805.5704874999992</v>
      </c>
      <c r="I25" s="791">
        <f t="shared" si="11"/>
        <v>0</v>
      </c>
      <c r="J25" s="791">
        <f t="shared" si="11"/>
        <v>0</v>
      </c>
      <c r="K25" s="791">
        <f t="shared" si="11"/>
        <v>0</v>
      </c>
      <c r="L25" s="793">
        <f t="shared" si="11"/>
        <v>6805.5704874999992</v>
      </c>
      <c r="M25" s="811">
        <v>0</v>
      </c>
      <c r="N25" s="812">
        <v>0</v>
      </c>
      <c r="O25" s="812">
        <v>0</v>
      </c>
      <c r="P25" s="812">
        <v>0</v>
      </c>
      <c r="Q25" s="812">
        <v>0</v>
      </c>
      <c r="R25" s="812">
        <v>0</v>
      </c>
      <c r="S25" s="796">
        <f>M25+N25+O25+P25+R25</f>
        <v>0</v>
      </c>
      <c r="T25" s="813">
        <v>0</v>
      </c>
      <c r="U25" s="814">
        <v>0</v>
      </c>
      <c r="V25" s="812">
        <v>0</v>
      </c>
      <c r="W25" s="799">
        <f t="shared" si="3"/>
        <v>0</v>
      </c>
      <c r="X25" s="811"/>
      <c r="Y25" s="816"/>
      <c r="Z25" s="812"/>
      <c r="AA25" s="801"/>
      <c r="AB25" s="811"/>
      <c r="AC25" s="812"/>
      <c r="AD25" s="802"/>
      <c r="AE25" s="816"/>
      <c r="AF25" s="812"/>
      <c r="AG25" s="802"/>
      <c r="AH25" s="847">
        <f t="shared" si="6"/>
        <v>21540.419849999998</v>
      </c>
      <c r="AI25" s="747"/>
    </row>
    <row r="26" spans="1:35" s="817" customFormat="1" ht="18" customHeight="1" x14ac:dyDescent="0.2">
      <c r="A26" s="553" t="s">
        <v>144</v>
      </c>
      <c r="B26" s="554" t="s">
        <v>145</v>
      </c>
      <c r="C26" s="821">
        <f>'AG1'!D29</f>
        <v>14734.849362499999</v>
      </c>
      <c r="D26" s="804">
        <v>0</v>
      </c>
      <c r="E26" s="804">
        <v>0</v>
      </c>
      <c r="F26" s="804">
        <v>0</v>
      </c>
      <c r="G26" s="822">
        <f>C26+D26+F26</f>
        <v>14734.849362499999</v>
      </c>
      <c r="H26" s="820">
        <f>'AG1'!C29</f>
        <v>6805.5704874999992</v>
      </c>
      <c r="I26" s="808">
        <v>0</v>
      </c>
      <c r="J26" s="808">
        <v>0</v>
      </c>
      <c r="K26" s="808">
        <v>0</v>
      </c>
      <c r="L26" s="810">
        <f>H26+I26+J26</f>
        <v>6805.5704874999992</v>
      </c>
      <c r="M26" s="811">
        <v>0</v>
      </c>
      <c r="N26" s="812">
        <v>0</v>
      </c>
      <c r="O26" s="812">
        <v>0</v>
      </c>
      <c r="P26" s="812">
        <v>0</v>
      </c>
      <c r="Q26" s="812">
        <v>0</v>
      </c>
      <c r="R26" s="812">
        <v>0</v>
      </c>
      <c r="S26" s="796">
        <f>M26+N26+O26+P26+R26</f>
        <v>0</v>
      </c>
      <c r="T26" s="813">
        <v>0</v>
      </c>
      <c r="U26" s="814">
        <v>0</v>
      </c>
      <c r="V26" s="812">
        <v>0</v>
      </c>
      <c r="W26" s="815">
        <f t="shared" si="3"/>
        <v>0</v>
      </c>
      <c r="X26" s="811"/>
      <c r="Y26" s="816"/>
      <c r="Z26" s="812"/>
      <c r="AA26" s="801"/>
      <c r="AB26" s="811"/>
      <c r="AC26" s="812"/>
      <c r="AD26" s="802"/>
      <c r="AE26" s="816"/>
      <c r="AF26" s="812"/>
      <c r="AG26" s="802"/>
      <c r="AH26" s="908">
        <f t="shared" si="6"/>
        <v>21540.419849999998</v>
      </c>
      <c r="AI26" s="747"/>
    </row>
    <row r="27" spans="1:35" s="817" customFormat="1" ht="18" hidden="1" customHeight="1" x14ac:dyDescent="0.2">
      <c r="A27" s="553" t="s">
        <v>146</v>
      </c>
      <c r="B27" s="554" t="s">
        <v>147</v>
      </c>
      <c r="C27" s="821"/>
      <c r="D27" s="804"/>
      <c r="E27" s="804"/>
      <c r="F27" s="804"/>
      <c r="G27" s="822"/>
      <c r="H27" s="820"/>
      <c r="I27" s="808"/>
      <c r="J27" s="808"/>
      <c r="K27" s="808"/>
      <c r="L27" s="810"/>
      <c r="M27" s="811">
        <v>0</v>
      </c>
      <c r="N27" s="812">
        <v>0</v>
      </c>
      <c r="O27" s="812">
        <v>0</v>
      </c>
      <c r="P27" s="812">
        <v>0</v>
      </c>
      <c r="Q27" s="812">
        <v>0</v>
      </c>
      <c r="R27" s="812">
        <v>0</v>
      </c>
      <c r="S27" s="796">
        <f>M27+N27+O27+P27</f>
        <v>0</v>
      </c>
      <c r="T27" s="813">
        <v>0</v>
      </c>
      <c r="U27" s="814">
        <v>0</v>
      </c>
      <c r="V27" s="812">
        <v>0</v>
      </c>
      <c r="W27" s="815">
        <f t="shared" si="3"/>
        <v>0</v>
      </c>
      <c r="X27" s="811"/>
      <c r="Y27" s="816"/>
      <c r="Z27" s="812"/>
      <c r="AA27" s="801"/>
      <c r="AB27" s="811"/>
      <c r="AC27" s="812"/>
      <c r="AD27" s="802"/>
      <c r="AE27" s="816"/>
      <c r="AF27" s="812"/>
      <c r="AG27" s="802"/>
      <c r="AH27" s="847">
        <f t="shared" si="6"/>
        <v>0</v>
      </c>
      <c r="AI27" s="747"/>
    </row>
    <row r="28" spans="1:35" s="786" customFormat="1" ht="18" customHeight="1" x14ac:dyDescent="0.2">
      <c r="A28" s="551">
        <v>515</v>
      </c>
      <c r="B28" s="559" t="s">
        <v>148</v>
      </c>
      <c r="C28" s="787">
        <f t="shared" ref="C28:L28" si="12">SUM(C29:C30)</f>
        <v>11198.711137499999</v>
      </c>
      <c r="D28" s="823">
        <f t="shared" si="12"/>
        <v>0</v>
      </c>
      <c r="E28" s="823">
        <f t="shared" si="12"/>
        <v>0</v>
      </c>
      <c r="F28" s="823">
        <f t="shared" si="12"/>
        <v>0</v>
      </c>
      <c r="G28" s="824">
        <f t="shared" si="12"/>
        <v>11198.711137499999</v>
      </c>
      <c r="H28" s="819">
        <f t="shared" si="12"/>
        <v>4987.5904124999997</v>
      </c>
      <c r="I28" s="791">
        <f t="shared" si="12"/>
        <v>0</v>
      </c>
      <c r="J28" s="791">
        <f t="shared" si="12"/>
        <v>0</v>
      </c>
      <c r="K28" s="791">
        <f t="shared" si="12"/>
        <v>0</v>
      </c>
      <c r="L28" s="793">
        <f t="shared" si="12"/>
        <v>4987.5904124999997</v>
      </c>
      <c r="M28" s="794">
        <v>0</v>
      </c>
      <c r="N28" s="795">
        <v>0</v>
      </c>
      <c r="O28" s="795">
        <v>0</v>
      </c>
      <c r="P28" s="795">
        <v>0</v>
      </c>
      <c r="Q28" s="795">
        <v>0</v>
      </c>
      <c r="R28" s="795">
        <v>0</v>
      </c>
      <c r="S28" s="796">
        <f>M28+N28+O28+P28+R28</f>
        <v>0</v>
      </c>
      <c r="T28" s="797">
        <v>0</v>
      </c>
      <c r="U28" s="798">
        <v>0</v>
      </c>
      <c r="V28" s="795">
        <v>0</v>
      </c>
      <c r="W28" s="799">
        <f t="shared" si="3"/>
        <v>0</v>
      </c>
      <c r="X28" s="794"/>
      <c r="Y28" s="816"/>
      <c r="Z28" s="812"/>
      <c r="AA28" s="801"/>
      <c r="AB28" s="811"/>
      <c r="AC28" s="812"/>
      <c r="AD28" s="802"/>
      <c r="AE28" s="816"/>
      <c r="AF28" s="812"/>
      <c r="AG28" s="802"/>
      <c r="AH28" s="847">
        <f t="shared" si="6"/>
        <v>16186.301549999998</v>
      </c>
      <c r="AI28" s="785"/>
    </row>
    <row r="29" spans="1:35" s="786" customFormat="1" ht="18" customHeight="1" x14ac:dyDescent="0.2">
      <c r="A29" s="553" t="s">
        <v>149</v>
      </c>
      <c r="B29" s="554" t="s">
        <v>145</v>
      </c>
      <c r="C29" s="821">
        <f>'AG1'!D32</f>
        <v>11198.711137499999</v>
      </c>
      <c r="D29" s="804">
        <v>0</v>
      </c>
      <c r="E29" s="804">
        <v>0</v>
      </c>
      <c r="F29" s="804">
        <v>0</v>
      </c>
      <c r="G29" s="822">
        <f>C29</f>
        <v>11198.711137499999</v>
      </c>
      <c r="H29" s="820">
        <f>'AG1'!C32</f>
        <v>4987.5904124999997</v>
      </c>
      <c r="I29" s="808">
        <v>0</v>
      </c>
      <c r="J29" s="808">
        <v>0</v>
      </c>
      <c r="K29" s="808">
        <v>0</v>
      </c>
      <c r="L29" s="810">
        <f>H29+I29+J29</f>
        <v>4987.5904124999997</v>
      </c>
      <c r="M29" s="811">
        <v>0</v>
      </c>
      <c r="N29" s="812">
        <v>0</v>
      </c>
      <c r="O29" s="812">
        <v>0</v>
      </c>
      <c r="P29" s="812">
        <v>0</v>
      </c>
      <c r="Q29" s="812">
        <v>0</v>
      </c>
      <c r="R29" s="812">
        <v>0</v>
      </c>
      <c r="S29" s="796">
        <f>M29+N29+O29+P29+R29</f>
        <v>0</v>
      </c>
      <c r="T29" s="813">
        <v>0</v>
      </c>
      <c r="U29" s="814">
        <v>0</v>
      </c>
      <c r="V29" s="812">
        <v>0</v>
      </c>
      <c r="W29" s="815">
        <f t="shared" si="3"/>
        <v>0</v>
      </c>
      <c r="X29" s="811"/>
      <c r="Y29" s="816"/>
      <c r="Z29" s="812"/>
      <c r="AA29" s="801"/>
      <c r="AB29" s="811"/>
      <c r="AC29" s="812"/>
      <c r="AD29" s="802"/>
      <c r="AE29" s="816"/>
      <c r="AF29" s="812"/>
      <c r="AG29" s="802"/>
      <c r="AH29" s="908">
        <f t="shared" si="6"/>
        <v>16186.301549999998</v>
      </c>
      <c r="AI29" s="785"/>
    </row>
    <row r="30" spans="1:35" s="817" customFormat="1" ht="18" hidden="1" customHeight="1" x14ac:dyDescent="0.2">
      <c r="A30" s="553" t="s">
        <v>150</v>
      </c>
      <c r="B30" s="554" t="s">
        <v>147</v>
      </c>
      <c r="C30" s="821"/>
      <c r="D30" s="804"/>
      <c r="E30" s="804"/>
      <c r="F30" s="804"/>
      <c r="G30" s="822"/>
      <c r="H30" s="820"/>
      <c r="I30" s="808"/>
      <c r="J30" s="808"/>
      <c r="K30" s="808"/>
      <c r="L30" s="810"/>
      <c r="M30" s="811">
        <v>0</v>
      </c>
      <c r="N30" s="812">
        <v>0</v>
      </c>
      <c r="O30" s="812">
        <v>0</v>
      </c>
      <c r="P30" s="812">
        <v>0</v>
      </c>
      <c r="Q30" s="812">
        <v>0</v>
      </c>
      <c r="R30" s="812">
        <v>0</v>
      </c>
      <c r="S30" s="796">
        <f>M30+N30+O30+P30</f>
        <v>0</v>
      </c>
      <c r="T30" s="813">
        <v>0</v>
      </c>
      <c r="U30" s="814">
        <v>0</v>
      </c>
      <c r="V30" s="812">
        <v>0</v>
      </c>
      <c r="W30" s="815">
        <f t="shared" si="3"/>
        <v>0</v>
      </c>
      <c r="X30" s="811"/>
      <c r="Y30" s="816"/>
      <c r="Z30" s="812"/>
      <c r="AA30" s="801"/>
      <c r="AB30" s="811"/>
      <c r="AC30" s="812"/>
      <c r="AD30" s="802"/>
      <c r="AE30" s="816"/>
      <c r="AF30" s="812"/>
      <c r="AG30" s="802"/>
      <c r="AH30" s="847">
        <f t="shared" si="6"/>
        <v>0</v>
      </c>
      <c r="AI30" s="747"/>
    </row>
    <row r="31" spans="1:35" s="786" customFormat="1" ht="18" customHeight="1" x14ac:dyDescent="0.2">
      <c r="A31" s="557" t="s">
        <v>151</v>
      </c>
      <c r="B31" s="558" t="s">
        <v>152</v>
      </c>
      <c r="C31" s="787">
        <f t="shared" ref="C31:L31" si="13">SUM(C32:C33)</f>
        <v>3600</v>
      </c>
      <c r="D31" s="823">
        <f t="shared" si="13"/>
        <v>0</v>
      </c>
      <c r="E31" s="823">
        <f t="shared" si="13"/>
        <v>0</v>
      </c>
      <c r="F31" s="823">
        <f t="shared" si="13"/>
        <v>0</v>
      </c>
      <c r="G31" s="824">
        <f t="shared" si="13"/>
        <v>3600</v>
      </c>
      <c r="H31" s="819">
        <f t="shared" si="13"/>
        <v>3600</v>
      </c>
      <c r="I31" s="791">
        <f t="shared" si="13"/>
        <v>0</v>
      </c>
      <c r="J31" s="791">
        <f t="shared" si="13"/>
        <v>0</v>
      </c>
      <c r="K31" s="791">
        <f t="shared" si="13"/>
        <v>0</v>
      </c>
      <c r="L31" s="793">
        <f t="shared" si="13"/>
        <v>3600</v>
      </c>
      <c r="M31" s="811">
        <v>0</v>
      </c>
      <c r="N31" s="812">
        <v>0</v>
      </c>
      <c r="O31" s="812">
        <v>0</v>
      </c>
      <c r="P31" s="812">
        <v>0</v>
      </c>
      <c r="Q31" s="812">
        <v>0</v>
      </c>
      <c r="R31" s="812">
        <v>0</v>
      </c>
      <c r="S31" s="796">
        <f>M31+N31+O31+P31+R31</f>
        <v>0</v>
      </c>
      <c r="T31" s="813">
        <v>0</v>
      </c>
      <c r="U31" s="814">
        <v>0</v>
      </c>
      <c r="V31" s="812">
        <v>0</v>
      </c>
      <c r="W31" s="799">
        <f t="shared" si="3"/>
        <v>0</v>
      </c>
      <c r="X31" s="811"/>
      <c r="Y31" s="816"/>
      <c r="Z31" s="812"/>
      <c r="AA31" s="801"/>
      <c r="AB31" s="811"/>
      <c r="AC31" s="812"/>
      <c r="AD31" s="802"/>
      <c r="AE31" s="816"/>
      <c r="AF31" s="812"/>
      <c r="AG31" s="802"/>
      <c r="AH31" s="847">
        <f t="shared" si="6"/>
        <v>7200</v>
      </c>
      <c r="AI31" s="785"/>
    </row>
    <row r="32" spans="1:35" s="786" customFormat="1" ht="18" customHeight="1" x14ac:dyDescent="0.2">
      <c r="A32" s="555">
        <v>51601</v>
      </c>
      <c r="B32" s="556" t="s">
        <v>153</v>
      </c>
      <c r="C32" s="821">
        <f>+'AG1'!C35</f>
        <v>3600</v>
      </c>
      <c r="D32" s="804">
        <v>0</v>
      </c>
      <c r="E32" s="804">
        <v>0</v>
      </c>
      <c r="F32" s="804">
        <v>0</v>
      </c>
      <c r="G32" s="822">
        <f>C32+D32+F32</f>
        <v>3600</v>
      </c>
      <c r="H32" s="820">
        <f>'AG1'!C35</f>
        <v>3600</v>
      </c>
      <c r="I32" s="808">
        <v>0</v>
      </c>
      <c r="J32" s="808">
        <v>0</v>
      </c>
      <c r="K32" s="808">
        <v>0</v>
      </c>
      <c r="L32" s="810">
        <f>H32+I32+J32</f>
        <v>3600</v>
      </c>
      <c r="M32" s="811">
        <v>0</v>
      </c>
      <c r="N32" s="812">
        <v>0</v>
      </c>
      <c r="O32" s="812">
        <v>0</v>
      </c>
      <c r="P32" s="812">
        <v>0</v>
      </c>
      <c r="Q32" s="812">
        <v>0</v>
      </c>
      <c r="R32" s="812">
        <v>0</v>
      </c>
      <c r="S32" s="796">
        <f t="shared" ref="S32:S38" si="14">M32+N32+O32+P32</f>
        <v>0</v>
      </c>
      <c r="T32" s="813">
        <v>0</v>
      </c>
      <c r="U32" s="814">
        <v>0</v>
      </c>
      <c r="V32" s="812">
        <v>0</v>
      </c>
      <c r="W32" s="815">
        <f t="shared" si="3"/>
        <v>0</v>
      </c>
      <c r="X32" s="794"/>
      <c r="Y32" s="816"/>
      <c r="Z32" s="812"/>
      <c r="AA32" s="801"/>
      <c r="AB32" s="811"/>
      <c r="AC32" s="812"/>
      <c r="AD32" s="802"/>
      <c r="AE32" s="816"/>
      <c r="AF32" s="812"/>
      <c r="AG32" s="802"/>
      <c r="AH32" s="908">
        <f t="shared" si="6"/>
        <v>7200</v>
      </c>
      <c r="AI32" s="785"/>
    </row>
    <row r="33" spans="1:35" s="817" customFormat="1" ht="18" hidden="1" customHeight="1" x14ac:dyDescent="0.2">
      <c r="A33" s="555">
        <v>51602</v>
      </c>
      <c r="B33" s="556" t="s">
        <v>154</v>
      </c>
      <c r="C33" s="821"/>
      <c r="D33" s="804"/>
      <c r="E33" s="804"/>
      <c r="F33" s="804"/>
      <c r="G33" s="822"/>
      <c r="H33" s="820"/>
      <c r="I33" s="808"/>
      <c r="J33" s="808"/>
      <c r="K33" s="808"/>
      <c r="L33" s="810"/>
      <c r="M33" s="811">
        <v>0</v>
      </c>
      <c r="N33" s="812">
        <v>0</v>
      </c>
      <c r="O33" s="812">
        <v>0</v>
      </c>
      <c r="P33" s="812">
        <v>0</v>
      </c>
      <c r="Q33" s="812">
        <v>0</v>
      </c>
      <c r="R33" s="812">
        <v>0</v>
      </c>
      <c r="S33" s="796">
        <f t="shared" si="14"/>
        <v>0</v>
      </c>
      <c r="T33" s="813">
        <v>0</v>
      </c>
      <c r="U33" s="814">
        <v>0</v>
      </c>
      <c r="V33" s="812">
        <v>0</v>
      </c>
      <c r="W33" s="815">
        <f t="shared" si="3"/>
        <v>0</v>
      </c>
      <c r="X33" s="811"/>
      <c r="Y33" s="816"/>
      <c r="Z33" s="812"/>
      <c r="AA33" s="801"/>
      <c r="AB33" s="811"/>
      <c r="AC33" s="812"/>
      <c r="AD33" s="802"/>
      <c r="AE33" s="816"/>
      <c r="AF33" s="812"/>
      <c r="AG33" s="802"/>
      <c r="AH33" s="847">
        <f t="shared" si="6"/>
        <v>0</v>
      </c>
      <c r="AI33" s="747"/>
    </row>
    <row r="34" spans="1:35" s="817" customFormat="1" ht="18" customHeight="1" x14ac:dyDescent="0.2">
      <c r="A34" s="551">
        <v>517</v>
      </c>
      <c r="B34" s="559" t="s">
        <v>155</v>
      </c>
      <c r="C34" s="787">
        <f t="shared" ref="C34:L34" si="15">SUM(C35:C36)</f>
        <v>0</v>
      </c>
      <c r="D34" s="823">
        <f t="shared" si="15"/>
        <v>0</v>
      </c>
      <c r="E34" s="823">
        <f t="shared" si="15"/>
        <v>0</v>
      </c>
      <c r="F34" s="823">
        <f t="shared" si="15"/>
        <v>0</v>
      </c>
      <c r="G34" s="824">
        <f t="shared" si="15"/>
        <v>0</v>
      </c>
      <c r="H34" s="819">
        <f t="shared" si="15"/>
        <v>0</v>
      </c>
      <c r="I34" s="791">
        <f t="shared" si="15"/>
        <v>1031.25</v>
      </c>
      <c r="J34" s="791">
        <f t="shared" si="15"/>
        <v>0</v>
      </c>
      <c r="K34" s="791">
        <f t="shared" si="15"/>
        <v>0</v>
      </c>
      <c r="L34" s="793">
        <f t="shared" si="15"/>
        <v>1031.25</v>
      </c>
      <c r="M34" s="811">
        <v>0</v>
      </c>
      <c r="N34" s="812">
        <v>0</v>
      </c>
      <c r="O34" s="812">
        <v>0</v>
      </c>
      <c r="P34" s="812">
        <v>0</v>
      </c>
      <c r="Q34" s="812">
        <v>0</v>
      </c>
      <c r="R34" s="812">
        <v>0</v>
      </c>
      <c r="S34" s="796">
        <f t="shared" si="14"/>
        <v>0</v>
      </c>
      <c r="T34" s="813">
        <v>0</v>
      </c>
      <c r="U34" s="814">
        <v>0</v>
      </c>
      <c r="V34" s="812">
        <v>0</v>
      </c>
      <c r="W34" s="815">
        <f t="shared" si="3"/>
        <v>0</v>
      </c>
      <c r="X34" s="811"/>
      <c r="Y34" s="816"/>
      <c r="Z34" s="812"/>
      <c r="AA34" s="801"/>
      <c r="AB34" s="811"/>
      <c r="AC34" s="812"/>
      <c r="AD34" s="802"/>
      <c r="AE34" s="816"/>
      <c r="AF34" s="812"/>
      <c r="AG34" s="802"/>
      <c r="AH34" s="847">
        <f t="shared" si="6"/>
        <v>1031.25</v>
      </c>
      <c r="AI34" s="747"/>
    </row>
    <row r="35" spans="1:35" s="786" customFormat="1" ht="18" customHeight="1" x14ac:dyDescent="0.2">
      <c r="A35" s="555">
        <v>51701</v>
      </c>
      <c r="B35" s="556" t="s">
        <v>156</v>
      </c>
      <c r="C35" s="821">
        <v>0</v>
      </c>
      <c r="D35" s="804">
        <v>0</v>
      </c>
      <c r="E35" s="804">
        <v>0</v>
      </c>
      <c r="F35" s="804">
        <v>0</v>
      </c>
      <c r="G35" s="822">
        <f>C35+D35+F35</f>
        <v>0</v>
      </c>
      <c r="H35" s="820">
        <v>0</v>
      </c>
      <c r="I35" s="808">
        <f>'AG1'!C38</f>
        <v>1031.25</v>
      </c>
      <c r="J35" s="808">
        <v>0</v>
      </c>
      <c r="K35" s="808">
        <v>0</v>
      </c>
      <c r="L35" s="810">
        <f>H35+I35+J35</f>
        <v>1031.25</v>
      </c>
      <c r="M35" s="811">
        <v>0</v>
      </c>
      <c r="N35" s="812">
        <v>0</v>
      </c>
      <c r="O35" s="812">
        <v>0</v>
      </c>
      <c r="P35" s="812">
        <v>0</v>
      </c>
      <c r="Q35" s="812">
        <v>0</v>
      </c>
      <c r="R35" s="812">
        <v>0</v>
      </c>
      <c r="S35" s="796">
        <f t="shared" si="14"/>
        <v>0</v>
      </c>
      <c r="T35" s="813">
        <v>0</v>
      </c>
      <c r="U35" s="814">
        <v>0</v>
      </c>
      <c r="V35" s="812">
        <v>0</v>
      </c>
      <c r="W35" s="815">
        <f t="shared" si="3"/>
        <v>0</v>
      </c>
      <c r="X35" s="811"/>
      <c r="Y35" s="816"/>
      <c r="Z35" s="812"/>
      <c r="AA35" s="801"/>
      <c r="AB35" s="811"/>
      <c r="AC35" s="812"/>
      <c r="AD35" s="802"/>
      <c r="AE35" s="816"/>
      <c r="AF35" s="812"/>
      <c r="AG35" s="802"/>
      <c r="AH35" s="908">
        <f t="shared" si="6"/>
        <v>1031.25</v>
      </c>
      <c r="AI35" s="785"/>
    </row>
    <row r="36" spans="1:35" s="786" customFormat="1" ht="18" hidden="1" customHeight="1" x14ac:dyDescent="0.2">
      <c r="A36" s="555">
        <v>51702</v>
      </c>
      <c r="B36" s="556" t="s">
        <v>157</v>
      </c>
      <c r="C36" s="821"/>
      <c r="D36" s="804"/>
      <c r="E36" s="804"/>
      <c r="F36" s="804"/>
      <c r="G36" s="822"/>
      <c r="H36" s="820"/>
      <c r="I36" s="808"/>
      <c r="J36" s="808"/>
      <c r="K36" s="808"/>
      <c r="L36" s="810"/>
      <c r="M36" s="794">
        <v>0</v>
      </c>
      <c r="N36" s="795">
        <v>0</v>
      </c>
      <c r="O36" s="795">
        <v>0</v>
      </c>
      <c r="P36" s="795">
        <v>0</v>
      </c>
      <c r="Q36" s="795">
        <v>0</v>
      </c>
      <c r="R36" s="795">
        <v>0</v>
      </c>
      <c r="S36" s="796">
        <f t="shared" si="14"/>
        <v>0</v>
      </c>
      <c r="T36" s="797">
        <v>0</v>
      </c>
      <c r="U36" s="798">
        <v>0</v>
      </c>
      <c r="V36" s="795">
        <v>0</v>
      </c>
      <c r="W36" s="815">
        <f t="shared" si="3"/>
        <v>0</v>
      </c>
      <c r="X36" s="794"/>
      <c r="Y36" s="816"/>
      <c r="Z36" s="812"/>
      <c r="AA36" s="801"/>
      <c r="AB36" s="811"/>
      <c r="AC36" s="812"/>
      <c r="AD36" s="802"/>
      <c r="AE36" s="816"/>
      <c r="AF36" s="812"/>
      <c r="AG36" s="802"/>
      <c r="AH36" s="847">
        <f t="shared" si="6"/>
        <v>0</v>
      </c>
      <c r="AI36" s="785"/>
    </row>
    <row r="37" spans="1:35" s="817" customFormat="1" ht="18" hidden="1" customHeight="1" x14ac:dyDescent="0.2">
      <c r="A37" s="551">
        <v>518</v>
      </c>
      <c r="B37" s="559" t="s">
        <v>158</v>
      </c>
      <c r="C37" s="787">
        <f>SUM(C38)</f>
        <v>0</v>
      </c>
      <c r="D37" s="823">
        <f>SUM(D38)</f>
        <v>0</v>
      </c>
      <c r="E37" s="823">
        <f>SUM(E38)</f>
        <v>0</v>
      </c>
      <c r="F37" s="823">
        <f>SUM(F38)</f>
        <v>0</v>
      </c>
      <c r="G37" s="824">
        <f>SUM(G38)</f>
        <v>0</v>
      </c>
      <c r="H37" s="819">
        <f>SUM(H38:H38)</f>
        <v>0</v>
      </c>
      <c r="I37" s="791">
        <f>SUM(I38:I39)</f>
        <v>0</v>
      </c>
      <c r="J37" s="791">
        <f>SUM(J38:J39)</f>
        <v>0</v>
      </c>
      <c r="K37" s="791">
        <f>SUM(K38:K39)</f>
        <v>800</v>
      </c>
      <c r="L37" s="793">
        <f>SUM(L38:L38)</f>
        <v>0</v>
      </c>
      <c r="M37" s="811">
        <v>0</v>
      </c>
      <c r="N37" s="812">
        <v>0</v>
      </c>
      <c r="O37" s="812">
        <v>0</v>
      </c>
      <c r="P37" s="812">
        <v>0</v>
      </c>
      <c r="Q37" s="812">
        <v>0</v>
      </c>
      <c r="R37" s="812">
        <v>0</v>
      </c>
      <c r="S37" s="796">
        <f t="shared" si="14"/>
        <v>0</v>
      </c>
      <c r="T37" s="813">
        <v>0</v>
      </c>
      <c r="U37" s="814">
        <v>0</v>
      </c>
      <c r="V37" s="812">
        <v>0</v>
      </c>
      <c r="W37" s="815">
        <f t="shared" si="3"/>
        <v>0</v>
      </c>
      <c r="X37" s="811"/>
      <c r="Y37" s="816"/>
      <c r="Z37" s="812"/>
      <c r="AA37" s="801"/>
      <c r="AB37" s="811"/>
      <c r="AC37" s="812"/>
      <c r="AD37" s="802"/>
      <c r="AE37" s="816"/>
      <c r="AF37" s="812"/>
      <c r="AG37" s="802"/>
      <c r="AH37" s="847">
        <f t="shared" si="6"/>
        <v>0</v>
      </c>
      <c r="AI37" s="747"/>
    </row>
    <row r="38" spans="1:35" s="817" customFormat="1" ht="18" hidden="1" customHeight="1" x14ac:dyDescent="0.2">
      <c r="A38" s="555">
        <v>51803</v>
      </c>
      <c r="B38" s="556" t="s">
        <v>159</v>
      </c>
      <c r="C38" s="821"/>
      <c r="D38" s="804"/>
      <c r="E38" s="804"/>
      <c r="F38" s="804"/>
      <c r="G38" s="822"/>
      <c r="H38" s="820"/>
      <c r="I38" s="808"/>
      <c r="J38" s="808"/>
      <c r="K38" s="808"/>
      <c r="L38" s="810"/>
      <c r="M38" s="811">
        <v>0</v>
      </c>
      <c r="N38" s="812">
        <v>0</v>
      </c>
      <c r="O38" s="812">
        <v>0</v>
      </c>
      <c r="P38" s="812">
        <v>0</v>
      </c>
      <c r="Q38" s="812">
        <v>0</v>
      </c>
      <c r="R38" s="812">
        <v>0</v>
      </c>
      <c r="S38" s="796">
        <f t="shared" si="14"/>
        <v>0</v>
      </c>
      <c r="T38" s="813">
        <v>0</v>
      </c>
      <c r="U38" s="814">
        <v>0</v>
      </c>
      <c r="V38" s="812">
        <v>0</v>
      </c>
      <c r="W38" s="815">
        <f t="shared" si="3"/>
        <v>0</v>
      </c>
      <c r="X38" s="811"/>
      <c r="Y38" s="816"/>
      <c r="Z38" s="812"/>
      <c r="AA38" s="801"/>
      <c r="AB38" s="811"/>
      <c r="AC38" s="812"/>
      <c r="AD38" s="802"/>
      <c r="AE38" s="816"/>
      <c r="AF38" s="812"/>
      <c r="AG38" s="802"/>
      <c r="AH38" s="847">
        <f t="shared" si="6"/>
        <v>0</v>
      </c>
      <c r="AI38" s="747"/>
    </row>
    <row r="39" spans="1:35" s="786" customFormat="1" ht="18" customHeight="1" x14ac:dyDescent="0.2">
      <c r="A39" s="551">
        <v>519</v>
      </c>
      <c r="B39" s="559" t="s">
        <v>160</v>
      </c>
      <c r="C39" s="787">
        <f t="shared" ref="C39:K39" si="16">SUM(C40:C41)</f>
        <v>3955</v>
      </c>
      <c r="D39" s="823">
        <f t="shared" si="16"/>
        <v>0</v>
      </c>
      <c r="E39" s="823">
        <f t="shared" si="16"/>
        <v>0</v>
      </c>
      <c r="F39" s="823">
        <f t="shared" si="16"/>
        <v>400</v>
      </c>
      <c r="G39" s="824">
        <f t="shared" si="16"/>
        <v>4355</v>
      </c>
      <c r="H39" s="819">
        <f t="shared" si="16"/>
        <v>5537</v>
      </c>
      <c r="I39" s="791">
        <f t="shared" si="16"/>
        <v>0</v>
      </c>
      <c r="J39" s="791">
        <f t="shared" si="16"/>
        <v>0</v>
      </c>
      <c r="K39" s="791">
        <f t="shared" si="16"/>
        <v>800</v>
      </c>
      <c r="L39" s="793">
        <f>SUM(L40:L41)</f>
        <v>6337</v>
      </c>
      <c r="M39" s="794">
        <f t="shared" ref="M39" si="17">SUM(M40:M41)</f>
        <v>0</v>
      </c>
      <c r="N39" s="795">
        <f>SUM(N40:N41)</f>
        <v>29345</v>
      </c>
      <c r="O39" s="795">
        <v>0</v>
      </c>
      <c r="P39" s="795">
        <v>0</v>
      </c>
      <c r="Q39" s="795">
        <v>0</v>
      </c>
      <c r="R39" s="795">
        <v>0</v>
      </c>
      <c r="S39" s="825">
        <f>M39+N39+O39+P39+R39</f>
        <v>29345</v>
      </c>
      <c r="T39" s="797">
        <v>0</v>
      </c>
      <c r="U39" s="798">
        <v>0</v>
      </c>
      <c r="V39" s="795">
        <v>0</v>
      </c>
      <c r="W39" s="815">
        <f t="shared" si="3"/>
        <v>0</v>
      </c>
      <c r="X39" s="794"/>
      <c r="Y39" s="816"/>
      <c r="Z39" s="812"/>
      <c r="AA39" s="801"/>
      <c r="AB39" s="811"/>
      <c r="AC39" s="812"/>
      <c r="AD39" s="802"/>
      <c r="AE39" s="816"/>
      <c r="AF39" s="812"/>
      <c r="AG39" s="802"/>
      <c r="AH39" s="847">
        <f t="shared" si="6"/>
        <v>40037</v>
      </c>
      <c r="AI39" s="785"/>
    </row>
    <row r="40" spans="1:35" s="786" customFormat="1" ht="18" customHeight="1" x14ac:dyDescent="0.2">
      <c r="A40" s="555">
        <v>51901</v>
      </c>
      <c r="B40" s="556" t="s">
        <v>161</v>
      </c>
      <c r="C40" s="821">
        <f>('PLLA MUNICIPAL HONORARIOS'!L7/12)*5</f>
        <v>3955</v>
      </c>
      <c r="D40" s="804">
        <v>0</v>
      </c>
      <c r="E40" s="804">
        <v>0</v>
      </c>
      <c r="F40" s="804">
        <f>'PLLA MUNICIPAL HONORARIOS'!I8</f>
        <v>400</v>
      </c>
      <c r="G40" s="822">
        <f>C40+D40+E40+F40</f>
        <v>4355</v>
      </c>
      <c r="H40" s="820">
        <f>('PLLA MUNICIPAL HONORARIOS'!L7/12)*7</f>
        <v>5537</v>
      </c>
      <c r="I40" s="808">
        <v>0</v>
      </c>
      <c r="J40" s="808">
        <v>0</v>
      </c>
      <c r="K40" s="808">
        <f>'PLLA MUNICIPAL HONORARIOS'!I8*2</f>
        <v>800</v>
      </c>
      <c r="L40" s="810">
        <f>H40+I40+J40+K40</f>
        <v>6337</v>
      </c>
      <c r="M40" s="794">
        <v>0</v>
      </c>
      <c r="N40" s="795">
        <v>0</v>
      </c>
      <c r="O40" s="795">
        <v>0</v>
      </c>
      <c r="P40" s="795">
        <v>0</v>
      </c>
      <c r="Q40" s="795">
        <v>0</v>
      </c>
      <c r="R40" s="795">
        <v>0</v>
      </c>
      <c r="S40" s="796">
        <f>M40+N40+O40+P40+R40</f>
        <v>0</v>
      </c>
      <c r="T40" s="813">
        <v>0</v>
      </c>
      <c r="U40" s="814">
        <v>0</v>
      </c>
      <c r="V40" s="812">
        <v>0</v>
      </c>
      <c r="W40" s="815">
        <f t="shared" si="3"/>
        <v>0</v>
      </c>
      <c r="X40" s="794"/>
      <c r="Y40" s="816"/>
      <c r="Z40" s="812"/>
      <c r="AA40" s="801"/>
      <c r="AB40" s="811"/>
      <c r="AC40" s="812"/>
      <c r="AD40" s="802"/>
      <c r="AE40" s="816"/>
      <c r="AF40" s="812"/>
      <c r="AG40" s="802"/>
      <c r="AH40" s="908">
        <f t="shared" si="6"/>
        <v>10692</v>
      </c>
      <c r="AI40" s="785"/>
    </row>
    <row r="41" spans="1:35" s="817" customFormat="1" ht="18" customHeight="1" x14ac:dyDescent="0.2">
      <c r="A41" s="555">
        <v>51999</v>
      </c>
      <c r="B41" s="556" t="s">
        <v>160</v>
      </c>
      <c r="C41" s="821"/>
      <c r="D41" s="804"/>
      <c r="E41" s="804"/>
      <c r="F41" s="804"/>
      <c r="G41" s="822"/>
      <c r="H41" s="820"/>
      <c r="I41" s="808"/>
      <c r="J41" s="808"/>
      <c r="K41" s="808"/>
      <c r="L41" s="810"/>
      <c r="M41" s="811">
        <v>0</v>
      </c>
      <c r="N41" s="812">
        <f>'AG3'!D55+'AG3'!D60</f>
        <v>29345</v>
      </c>
      <c r="O41" s="812">
        <v>0</v>
      </c>
      <c r="P41" s="812">
        <v>0</v>
      </c>
      <c r="Q41" s="812">
        <v>0</v>
      </c>
      <c r="R41" s="812">
        <v>0</v>
      </c>
      <c r="S41" s="796">
        <f>M41+N41+O41+P41</f>
        <v>29345</v>
      </c>
      <c r="T41" s="813"/>
      <c r="U41" s="814"/>
      <c r="V41" s="812"/>
      <c r="W41" s="815">
        <f t="shared" si="3"/>
        <v>0</v>
      </c>
      <c r="X41" s="811"/>
      <c r="Y41" s="816"/>
      <c r="Z41" s="812"/>
      <c r="AA41" s="801"/>
      <c r="AB41" s="811"/>
      <c r="AC41" s="812"/>
      <c r="AD41" s="802"/>
      <c r="AE41" s="816"/>
      <c r="AF41" s="812"/>
      <c r="AG41" s="802"/>
      <c r="AH41" s="908">
        <f t="shared" ref="AH41:AH72" si="18">+L41+S41+G41+AA41+AD41+AG41+T41+W41+X41</f>
        <v>29345</v>
      </c>
      <c r="AI41" s="747"/>
    </row>
    <row r="42" spans="1:35" s="786" customFormat="1" ht="18" hidden="1" customHeight="1" x14ac:dyDescent="0.2">
      <c r="A42" s="555"/>
      <c r="B42" s="560"/>
      <c r="C42" s="821"/>
      <c r="D42" s="804"/>
      <c r="E42" s="804"/>
      <c r="F42" s="804"/>
      <c r="G42" s="824"/>
      <c r="H42" s="820"/>
      <c r="I42" s="808"/>
      <c r="J42" s="808"/>
      <c r="K42" s="808"/>
      <c r="L42" s="793"/>
      <c r="M42" s="794">
        <v>0</v>
      </c>
      <c r="N42" s="795">
        <v>0</v>
      </c>
      <c r="O42" s="795">
        <v>0</v>
      </c>
      <c r="P42" s="795">
        <v>0</v>
      </c>
      <c r="Q42" s="795">
        <v>0</v>
      </c>
      <c r="R42" s="795">
        <v>0</v>
      </c>
      <c r="S42" s="796">
        <f>M42+N42+O42+P42</f>
        <v>0</v>
      </c>
      <c r="T42" s="797"/>
      <c r="U42" s="798"/>
      <c r="V42" s="795"/>
      <c r="W42" s="815">
        <f t="shared" si="3"/>
        <v>0</v>
      </c>
      <c r="X42" s="794"/>
      <c r="Y42" s="816"/>
      <c r="Z42" s="812"/>
      <c r="AA42" s="801"/>
      <c r="AB42" s="811"/>
      <c r="AC42" s="812"/>
      <c r="AD42" s="802"/>
      <c r="AE42" s="816"/>
      <c r="AF42" s="812"/>
      <c r="AG42" s="802"/>
      <c r="AH42" s="847">
        <f t="shared" si="18"/>
        <v>0</v>
      </c>
      <c r="AI42" s="785"/>
    </row>
    <row r="43" spans="1:35" s="817" customFormat="1" ht="18" customHeight="1" x14ac:dyDescent="0.2">
      <c r="A43" s="551">
        <v>54</v>
      </c>
      <c r="B43" s="561" t="s">
        <v>27</v>
      </c>
      <c r="C43" s="787">
        <f t="shared" ref="C43:K43" si="19">C44+C64+C70+C86+C91</f>
        <v>9000</v>
      </c>
      <c r="D43" s="823">
        <f t="shared" si="19"/>
        <v>500</v>
      </c>
      <c r="E43" s="823">
        <f t="shared" si="19"/>
        <v>400</v>
      </c>
      <c r="F43" s="823">
        <f t="shared" si="19"/>
        <v>20033.09</v>
      </c>
      <c r="G43" s="824">
        <f>G44+G64+G70+G86+G91</f>
        <v>29933.09</v>
      </c>
      <c r="H43" s="819">
        <f>H44+H64+H70+H86+H91</f>
        <v>35400</v>
      </c>
      <c r="I43" s="791">
        <f t="shared" si="19"/>
        <v>6170</v>
      </c>
      <c r="J43" s="791">
        <f t="shared" si="19"/>
        <v>900</v>
      </c>
      <c r="K43" s="791">
        <f t="shared" si="19"/>
        <v>127022.59999999999</v>
      </c>
      <c r="L43" s="793">
        <f>SUM(H43:K43)</f>
        <v>169492.59999999998</v>
      </c>
      <c r="M43" s="794">
        <f t="shared" ref="M43:N43" si="20">M44+M64+M70+M86+M91</f>
        <v>0</v>
      </c>
      <c r="N43" s="795">
        <f t="shared" si="20"/>
        <v>15064.42</v>
      </c>
      <c r="O43" s="812">
        <v>0</v>
      </c>
      <c r="P43" s="812">
        <v>0</v>
      </c>
      <c r="Q43" s="812">
        <v>0</v>
      </c>
      <c r="R43" s="812">
        <v>0</v>
      </c>
      <c r="S43" s="825">
        <f>M43+N43+O43+P43+R43</f>
        <v>15064.42</v>
      </c>
      <c r="T43" s="797">
        <f>+T91</f>
        <v>0</v>
      </c>
      <c r="U43" s="814">
        <v>0</v>
      </c>
      <c r="V43" s="812">
        <v>0</v>
      </c>
      <c r="W43" s="799">
        <f t="shared" si="3"/>
        <v>0</v>
      </c>
      <c r="X43" s="811"/>
      <c r="Y43" s="816"/>
      <c r="Z43" s="812"/>
      <c r="AA43" s="801"/>
      <c r="AB43" s="811"/>
      <c r="AC43" s="812"/>
      <c r="AD43" s="802"/>
      <c r="AE43" s="816"/>
      <c r="AF43" s="812"/>
      <c r="AG43" s="802"/>
      <c r="AH43" s="847">
        <f t="shared" si="18"/>
        <v>214490.11</v>
      </c>
      <c r="AI43" s="747"/>
    </row>
    <row r="44" spans="1:35" s="786" customFormat="1" ht="18" customHeight="1" x14ac:dyDescent="0.2">
      <c r="A44" s="551">
        <v>541</v>
      </c>
      <c r="B44" s="561" t="s">
        <v>28</v>
      </c>
      <c r="C44" s="787">
        <f>SUM(C45:C63)</f>
        <v>2850</v>
      </c>
      <c r="D44" s="823">
        <f t="shared" ref="D44:J44" si="21">SUM(D45:D63)</f>
        <v>400</v>
      </c>
      <c r="E44" s="823">
        <f t="shared" si="21"/>
        <v>250</v>
      </c>
      <c r="F44" s="823">
        <f t="shared" si="21"/>
        <v>3030</v>
      </c>
      <c r="G44" s="824">
        <f>SUM(G45:G63)</f>
        <v>6530</v>
      </c>
      <c r="H44" s="819">
        <f t="shared" si="21"/>
        <v>12100</v>
      </c>
      <c r="I44" s="791">
        <f t="shared" si="21"/>
        <v>5800</v>
      </c>
      <c r="J44" s="791">
        <f t="shared" si="21"/>
        <v>650</v>
      </c>
      <c r="K44" s="791">
        <f>SUM(K45:K63)</f>
        <v>9600</v>
      </c>
      <c r="L44" s="793">
        <f>SUM(H44:K44)</f>
        <v>28150</v>
      </c>
      <c r="M44" s="794">
        <f t="shared" ref="M44" si="22">SUM(M45:M63)</f>
        <v>0</v>
      </c>
      <c r="N44" s="795">
        <f>SUM(N45:N63)</f>
        <v>15064.42</v>
      </c>
      <c r="O44" s="795">
        <v>0</v>
      </c>
      <c r="P44" s="795">
        <v>0</v>
      </c>
      <c r="Q44" s="795">
        <v>0</v>
      </c>
      <c r="R44" s="795">
        <v>0</v>
      </c>
      <c r="S44" s="825">
        <f>M44+N44+O44+P44</f>
        <v>15064.42</v>
      </c>
      <c r="T44" s="797">
        <v>0</v>
      </c>
      <c r="U44" s="798">
        <v>0</v>
      </c>
      <c r="V44" s="795">
        <v>0</v>
      </c>
      <c r="W44" s="799">
        <f t="shared" si="3"/>
        <v>0</v>
      </c>
      <c r="X44" s="794"/>
      <c r="Y44" s="816"/>
      <c r="Z44" s="812"/>
      <c r="AA44" s="801"/>
      <c r="AB44" s="811"/>
      <c r="AC44" s="812"/>
      <c r="AD44" s="802"/>
      <c r="AE44" s="816"/>
      <c r="AF44" s="812"/>
      <c r="AG44" s="802"/>
      <c r="AH44" s="847">
        <f>+L44+S44+G44+AA44+AD44+AG44+T44+W44+X44</f>
        <v>49744.42</v>
      </c>
      <c r="AI44" s="785"/>
    </row>
    <row r="45" spans="1:35" s="817" customFormat="1" ht="18" customHeight="1" x14ac:dyDescent="0.2">
      <c r="A45" s="555">
        <v>54101</v>
      </c>
      <c r="B45" s="560" t="s">
        <v>29</v>
      </c>
      <c r="C45" s="821">
        <f>'egresos 25% y F.P'!C117</f>
        <v>150</v>
      </c>
      <c r="D45" s="804">
        <v>0</v>
      </c>
      <c r="E45" s="804">
        <v>0</v>
      </c>
      <c r="F45" s="804">
        <v>0</v>
      </c>
      <c r="G45" s="822">
        <f>SUM(C45:F45)</f>
        <v>150</v>
      </c>
      <c r="H45" s="820">
        <f>'egresos 25% y F.P'!C13</f>
        <v>1500</v>
      </c>
      <c r="I45" s="808">
        <f>'egresos 25% y F.P'!D13</f>
        <v>0</v>
      </c>
      <c r="J45" s="808">
        <f>'egresos 25% y F.P'!E13</f>
        <v>0</v>
      </c>
      <c r="K45" s="808">
        <f>'egresos 25% y F.P'!F13</f>
        <v>0</v>
      </c>
      <c r="L45" s="810">
        <f>SUM(H45:K45)</f>
        <v>1500</v>
      </c>
      <c r="M45" s="811">
        <v>0</v>
      </c>
      <c r="N45" s="812">
        <f>'AG3'!D61</f>
        <v>1225</v>
      </c>
      <c r="O45" s="812">
        <v>0</v>
      </c>
      <c r="P45" s="812">
        <v>0</v>
      </c>
      <c r="Q45" s="812">
        <v>0</v>
      </c>
      <c r="R45" s="812">
        <v>0</v>
      </c>
      <c r="S45" s="796">
        <f>M45+N45+O45+P45+R45</f>
        <v>1225</v>
      </c>
      <c r="T45" s="813">
        <v>0</v>
      </c>
      <c r="U45" s="814">
        <v>0</v>
      </c>
      <c r="V45" s="812">
        <v>0</v>
      </c>
      <c r="W45" s="815">
        <f t="shared" si="3"/>
        <v>0</v>
      </c>
      <c r="X45" s="811"/>
      <c r="Y45" s="816"/>
      <c r="Z45" s="812"/>
      <c r="AA45" s="801"/>
      <c r="AB45" s="811"/>
      <c r="AC45" s="812"/>
      <c r="AD45" s="802"/>
      <c r="AE45" s="816"/>
      <c r="AF45" s="812"/>
      <c r="AG45" s="802"/>
      <c r="AH45" s="908">
        <f t="shared" si="18"/>
        <v>2875</v>
      </c>
      <c r="AI45" s="747"/>
    </row>
    <row r="46" spans="1:35" s="817" customFormat="1" ht="18" hidden="1" customHeight="1" x14ac:dyDescent="0.2">
      <c r="A46" s="555">
        <v>54103</v>
      </c>
      <c r="B46" s="560" t="s">
        <v>30</v>
      </c>
      <c r="C46" s="821"/>
      <c r="D46" s="804"/>
      <c r="E46" s="804"/>
      <c r="F46" s="804"/>
      <c r="G46" s="822">
        <f t="shared" ref="G46:G63" si="23">SUM(C46:F46)</f>
        <v>0</v>
      </c>
      <c r="H46" s="820"/>
      <c r="I46" s="808">
        <f>'egresos 25% y F.P'!D14</f>
        <v>0</v>
      </c>
      <c r="J46" s="808">
        <f>'egresos 25% y F.P'!E14</f>
        <v>0</v>
      </c>
      <c r="K46" s="808">
        <f>'egresos 25% y F.P'!F14</f>
        <v>0</v>
      </c>
      <c r="L46" s="810">
        <f>SUM(H46:J46)</f>
        <v>0</v>
      </c>
      <c r="M46" s="811">
        <v>0</v>
      </c>
      <c r="N46" s="812">
        <v>0</v>
      </c>
      <c r="O46" s="812">
        <v>0</v>
      </c>
      <c r="P46" s="812">
        <v>0</v>
      </c>
      <c r="Q46" s="812">
        <v>0</v>
      </c>
      <c r="R46" s="812">
        <v>0</v>
      </c>
      <c r="S46" s="796">
        <f t="shared" ref="S46:S69" si="24">M46+N46+O46+P46+R46</f>
        <v>0</v>
      </c>
      <c r="T46" s="813">
        <v>0</v>
      </c>
      <c r="U46" s="814">
        <v>0</v>
      </c>
      <c r="V46" s="812">
        <v>0</v>
      </c>
      <c r="W46" s="815">
        <f t="shared" si="3"/>
        <v>0</v>
      </c>
      <c r="X46" s="811"/>
      <c r="Y46" s="816"/>
      <c r="Z46" s="812"/>
      <c r="AA46" s="801"/>
      <c r="AB46" s="811"/>
      <c r="AC46" s="812"/>
      <c r="AD46" s="802"/>
      <c r="AE46" s="816"/>
      <c r="AF46" s="812"/>
      <c r="AG46" s="802"/>
      <c r="AH46" s="908">
        <f t="shared" si="18"/>
        <v>0</v>
      </c>
      <c r="AI46" s="747"/>
    </row>
    <row r="47" spans="1:35" s="817" customFormat="1" ht="18" customHeight="1" x14ac:dyDescent="0.2">
      <c r="A47" s="555">
        <v>54104</v>
      </c>
      <c r="B47" s="560" t="s">
        <v>31</v>
      </c>
      <c r="C47" s="821">
        <f>'egresos 25% y F.P'!C119</f>
        <v>0</v>
      </c>
      <c r="D47" s="805">
        <f>'egresos 25% y F.P'!D119</f>
        <v>0</v>
      </c>
      <c r="E47" s="805">
        <f>'egresos 25% y F.P'!E119</f>
        <v>0</v>
      </c>
      <c r="F47" s="805">
        <f>'egresos 25% y F.P'!F119</f>
        <v>0</v>
      </c>
      <c r="G47" s="822">
        <f t="shared" si="23"/>
        <v>0</v>
      </c>
      <c r="H47" s="820">
        <f>'egresos 25% y F.P'!C15</f>
        <v>0</v>
      </c>
      <c r="I47" s="808">
        <f>'egresos 25% y F.P'!D15</f>
        <v>0</v>
      </c>
      <c r="J47" s="808">
        <f>'egresos 25% y F.P'!E15</f>
        <v>0</v>
      </c>
      <c r="K47" s="808">
        <f>'egresos 25% y F.P'!F15</f>
        <v>0</v>
      </c>
      <c r="L47" s="810">
        <f>SUM(H47:K47)</f>
        <v>0</v>
      </c>
      <c r="M47" s="811">
        <v>0</v>
      </c>
      <c r="N47" s="812">
        <v>0</v>
      </c>
      <c r="O47" s="812">
        <v>0</v>
      </c>
      <c r="P47" s="812">
        <v>0</v>
      </c>
      <c r="Q47" s="812">
        <v>0</v>
      </c>
      <c r="R47" s="812">
        <v>0</v>
      </c>
      <c r="S47" s="796">
        <f t="shared" si="24"/>
        <v>0</v>
      </c>
      <c r="T47" s="813">
        <v>0</v>
      </c>
      <c r="U47" s="814">
        <v>0</v>
      </c>
      <c r="V47" s="812">
        <v>0</v>
      </c>
      <c r="W47" s="815">
        <f t="shared" si="3"/>
        <v>0</v>
      </c>
      <c r="X47" s="811"/>
      <c r="Y47" s="816"/>
      <c r="Z47" s="812"/>
      <c r="AA47" s="801"/>
      <c r="AB47" s="811"/>
      <c r="AC47" s="812"/>
      <c r="AD47" s="802"/>
      <c r="AE47" s="816"/>
      <c r="AF47" s="812"/>
      <c r="AG47" s="802"/>
      <c r="AH47" s="908">
        <f t="shared" si="18"/>
        <v>0</v>
      </c>
      <c r="AI47" s="747"/>
    </row>
    <row r="48" spans="1:35" s="817" customFormat="1" ht="18" customHeight="1" x14ac:dyDescent="0.2">
      <c r="A48" s="555">
        <v>54105</v>
      </c>
      <c r="B48" s="560" t="s">
        <v>32</v>
      </c>
      <c r="C48" s="821">
        <f>+'egresos 25% y F.P'!C120</f>
        <v>150</v>
      </c>
      <c r="D48" s="804">
        <f>+'egresos 25% y F.P'!D120</f>
        <v>50</v>
      </c>
      <c r="E48" s="804">
        <f>+'egresos 25% y F.P'!E120</f>
        <v>50</v>
      </c>
      <c r="F48" s="804">
        <f>+'egresos 25% y F.P'!F120</f>
        <v>50</v>
      </c>
      <c r="G48" s="822">
        <f t="shared" si="23"/>
        <v>300</v>
      </c>
      <c r="H48" s="820">
        <f>'egresos 25% y F.P'!C16</f>
        <v>1000</v>
      </c>
      <c r="I48" s="808">
        <f>'egresos 25% y F.P'!D16</f>
        <v>500</v>
      </c>
      <c r="J48" s="808">
        <f>'egresos 25% y F.P'!E16</f>
        <v>200</v>
      </c>
      <c r="K48" s="808">
        <f>'egresos 25% y F.P'!F16</f>
        <v>100</v>
      </c>
      <c r="L48" s="810">
        <f>SUM(H48:K48)</f>
        <v>1800</v>
      </c>
      <c r="M48" s="811">
        <v>0</v>
      </c>
      <c r="N48" s="812">
        <f>'AG3'!D54</f>
        <v>140.94999999999999</v>
      </c>
      <c r="O48" s="812">
        <v>0</v>
      </c>
      <c r="P48" s="812">
        <v>0</v>
      </c>
      <c r="Q48" s="812">
        <v>0</v>
      </c>
      <c r="R48" s="812">
        <v>0</v>
      </c>
      <c r="S48" s="796">
        <f t="shared" si="24"/>
        <v>140.94999999999999</v>
      </c>
      <c r="T48" s="813">
        <v>0</v>
      </c>
      <c r="U48" s="814">
        <v>0</v>
      </c>
      <c r="V48" s="812">
        <v>0</v>
      </c>
      <c r="W48" s="815">
        <f t="shared" si="3"/>
        <v>0</v>
      </c>
      <c r="X48" s="811"/>
      <c r="Y48" s="816"/>
      <c r="Z48" s="812"/>
      <c r="AA48" s="801"/>
      <c r="AB48" s="811"/>
      <c r="AC48" s="812"/>
      <c r="AD48" s="802"/>
      <c r="AE48" s="816"/>
      <c r="AF48" s="812"/>
      <c r="AG48" s="802"/>
      <c r="AH48" s="908">
        <f t="shared" si="18"/>
        <v>2240.9499999999998</v>
      </c>
      <c r="AI48" s="747"/>
    </row>
    <row r="49" spans="1:35" s="786" customFormat="1" ht="18" hidden="1" customHeight="1" x14ac:dyDescent="0.2">
      <c r="A49" s="555">
        <v>54106</v>
      </c>
      <c r="B49" s="560" t="s">
        <v>33</v>
      </c>
      <c r="C49" s="821"/>
      <c r="D49" s="804"/>
      <c r="E49" s="804"/>
      <c r="F49" s="804"/>
      <c r="G49" s="822">
        <f t="shared" si="23"/>
        <v>0</v>
      </c>
      <c r="H49" s="820">
        <f>'egresos 25% y F.P'!C17</f>
        <v>0</v>
      </c>
      <c r="I49" s="808">
        <f>'egresos 25% y F.P'!D17</f>
        <v>0</v>
      </c>
      <c r="J49" s="808">
        <f>'egresos 25% y F.P'!E17</f>
        <v>0</v>
      </c>
      <c r="K49" s="808">
        <f>'egresos 25% y F.P'!F17</f>
        <v>0</v>
      </c>
      <c r="L49" s="810">
        <f>SUM(H49:J49)</f>
        <v>0</v>
      </c>
      <c r="M49" s="794">
        <v>0</v>
      </c>
      <c r="N49" s="795">
        <v>0</v>
      </c>
      <c r="O49" s="795">
        <v>0</v>
      </c>
      <c r="P49" s="795">
        <v>0</v>
      </c>
      <c r="Q49" s="795">
        <v>0</v>
      </c>
      <c r="R49" s="795">
        <v>0</v>
      </c>
      <c r="S49" s="796">
        <f t="shared" si="24"/>
        <v>0</v>
      </c>
      <c r="T49" s="797">
        <v>0</v>
      </c>
      <c r="U49" s="798">
        <v>0</v>
      </c>
      <c r="V49" s="795">
        <v>0</v>
      </c>
      <c r="W49" s="815">
        <f t="shared" si="3"/>
        <v>0</v>
      </c>
      <c r="X49" s="794"/>
      <c r="Y49" s="816"/>
      <c r="Z49" s="812"/>
      <c r="AA49" s="801"/>
      <c r="AB49" s="811"/>
      <c r="AC49" s="812"/>
      <c r="AD49" s="802"/>
      <c r="AE49" s="816"/>
      <c r="AF49" s="812"/>
      <c r="AG49" s="802"/>
      <c r="AH49" s="908">
        <f t="shared" si="18"/>
        <v>0</v>
      </c>
      <c r="AI49" s="785"/>
    </row>
    <row r="50" spans="1:35" s="786" customFormat="1" ht="18" customHeight="1" x14ac:dyDescent="0.2">
      <c r="A50" s="555">
        <v>54107</v>
      </c>
      <c r="B50" s="560" t="s">
        <v>34</v>
      </c>
      <c r="C50" s="821">
        <v>0</v>
      </c>
      <c r="D50" s="804">
        <v>0</v>
      </c>
      <c r="E50" s="804">
        <v>0</v>
      </c>
      <c r="F50" s="804">
        <f>'egresos 25% y F.P'!F122</f>
        <v>630</v>
      </c>
      <c r="G50" s="822">
        <f t="shared" si="23"/>
        <v>630</v>
      </c>
      <c r="H50" s="820">
        <f>'egresos 25% y F.P'!C18</f>
        <v>0</v>
      </c>
      <c r="I50" s="808">
        <f>'egresos 25% y F.P'!D18</f>
        <v>0</v>
      </c>
      <c r="J50" s="808">
        <f>'egresos 25% y F.P'!E18</f>
        <v>0</v>
      </c>
      <c r="K50" s="808">
        <f>'egresos 25% y F.P'!F18</f>
        <v>1500</v>
      </c>
      <c r="L50" s="810">
        <f>SUM(H50:K50)</f>
        <v>1500</v>
      </c>
      <c r="M50" s="811">
        <v>0</v>
      </c>
      <c r="N50" s="812">
        <v>0</v>
      </c>
      <c r="O50" s="812">
        <v>0</v>
      </c>
      <c r="P50" s="812">
        <v>0</v>
      </c>
      <c r="Q50" s="812">
        <v>0</v>
      </c>
      <c r="R50" s="812">
        <v>0</v>
      </c>
      <c r="S50" s="796">
        <f t="shared" si="24"/>
        <v>0</v>
      </c>
      <c r="T50" s="813">
        <v>0</v>
      </c>
      <c r="U50" s="814">
        <v>0</v>
      </c>
      <c r="V50" s="812">
        <v>0</v>
      </c>
      <c r="W50" s="815">
        <f t="shared" si="3"/>
        <v>0</v>
      </c>
      <c r="X50" s="794"/>
      <c r="Y50" s="816"/>
      <c r="Z50" s="812"/>
      <c r="AA50" s="801"/>
      <c r="AB50" s="811"/>
      <c r="AC50" s="812"/>
      <c r="AD50" s="802"/>
      <c r="AE50" s="816"/>
      <c r="AF50" s="812"/>
      <c r="AG50" s="802"/>
      <c r="AH50" s="908">
        <f t="shared" si="18"/>
        <v>2130</v>
      </c>
      <c r="AI50" s="785"/>
    </row>
    <row r="51" spans="1:35" s="817" customFormat="1" ht="18" customHeight="1" x14ac:dyDescent="0.2">
      <c r="A51" s="555">
        <v>54108</v>
      </c>
      <c r="B51" s="560" t="s">
        <v>35</v>
      </c>
      <c r="C51" s="821">
        <v>0</v>
      </c>
      <c r="D51" s="804">
        <v>0</v>
      </c>
      <c r="E51" s="804">
        <v>0</v>
      </c>
      <c r="F51" s="804">
        <v>0</v>
      </c>
      <c r="G51" s="822">
        <f t="shared" si="23"/>
        <v>0</v>
      </c>
      <c r="H51" s="820">
        <f>'egresos 25% y F.P'!C19</f>
        <v>0</v>
      </c>
      <c r="I51" s="808">
        <f>'egresos 25% y F.P'!D19</f>
        <v>0</v>
      </c>
      <c r="J51" s="808">
        <f>'egresos 25% y F.P'!E19</f>
        <v>0</v>
      </c>
      <c r="K51" s="808">
        <f>'egresos 25% y F.P'!F19</f>
        <v>0</v>
      </c>
      <c r="L51" s="810">
        <f>SUM(H51:J51)</f>
        <v>0</v>
      </c>
      <c r="M51" s="811">
        <v>0</v>
      </c>
      <c r="N51" s="812">
        <f>'AG3'!D39</f>
        <v>10568.47</v>
      </c>
      <c r="O51" s="812">
        <v>0</v>
      </c>
      <c r="P51" s="812">
        <v>0</v>
      </c>
      <c r="Q51" s="812">
        <v>0</v>
      </c>
      <c r="R51" s="812">
        <v>0</v>
      </c>
      <c r="S51" s="796">
        <f t="shared" si="24"/>
        <v>10568.47</v>
      </c>
      <c r="T51" s="813">
        <v>0</v>
      </c>
      <c r="U51" s="814">
        <v>0</v>
      </c>
      <c r="V51" s="812">
        <v>0</v>
      </c>
      <c r="W51" s="815">
        <f t="shared" si="3"/>
        <v>0</v>
      </c>
      <c r="X51" s="811"/>
      <c r="Y51" s="816"/>
      <c r="Z51" s="812"/>
      <c r="AA51" s="801"/>
      <c r="AB51" s="811"/>
      <c r="AC51" s="812"/>
      <c r="AD51" s="802"/>
      <c r="AE51" s="816"/>
      <c r="AF51" s="812"/>
      <c r="AG51" s="802"/>
      <c r="AH51" s="908">
        <f t="shared" si="18"/>
        <v>10568.47</v>
      </c>
      <c r="AI51" s="747"/>
    </row>
    <row r="52" spans="1:35" s="817" customFormat="1" ht="18" customHeight="1" x14ac:dyDescent="0.2">
      <c r="A52" s="555">
        <v>54109</v>
      </c>
      <c r="B52" s="560" t="s">
        <v>36</v>
      </c>
      <c r="C52" s="821">
        <f>'egresos 25% y F.P'!C124</f>
        <v>600</v>
      </c>
      <c r="D52" s="804">
        <f>'egresos 25% y F.P'!D124</f>
        <v>0</v>
      </c>
      <c r="E52" s="804">
        <f>'egresos 25% y F.P'!E124</f>
        <v>0</v>
      </c>
      <c r="F52" s="804">
        <f>'egresos 25% y F.P'!F124</f>
        <v>400</v>
      </c>
      <c r="G52" s="822">
        <f t="shared" si="23"/>
        <v>1000</v>
      </c>
      <c r="H52" s="820">
        <f>'egresos 25% y F.P'!C20</f>
        <v>1000</v>
      </c>
      <c r="I52" s="808">
        <f>'egresos 25% y F.P'!D20</f>
        <v>0</v>
      </c>
      <c r="J52" s="808">
        <f>'egresos 25% y F.P'!E20</f>
        <v>0</v>
      </c>
      <c r="K52" s="808">
        <f>'egresos 25% y F.P'!F20</f>
        <v>500</v>
      </c>
      <c r="L52" s="810">
        <f>SUM(H52:K52)</f>
        <v>1500</v>
      </c>
      <c r="M52" s="811">
        <v>0</v>
      </c>
      <c r="N52" s="812">
        <v>0</v>
      </c>
      <c r="O52" s="812">
        <v>0</v>
      </c>
      <c r="P52" s="812">
        <v>0</v>
      </c>
      <c r="Q52" s="812">
        <v>0</v>
      </c>
      <c r="R52" s="812">
        <v>0</v>
      </c>
      <c r="S52" s="796">
        <f t="shared" si="24"/>
        <v>0</v>
      </c>
      <c r="T52" s="813">
        <v>0</v>
      </c>
      <c r="U52" s="814">
        <v>0</v>
      </c>
      <c r="V52" s="812">
        <v>0</v>
      </c>
      <c r="W52" s="815">
        <f t="shared" si="3"/>
        <v>0</v>
      </c>
      <c r="X52" s="811"/>
      <c r="Y52" s="816"/>
      <c r="Z52" s="812"/>
      <c r="AA52" s="801"/>
      <c r="AB52" s="811"/>
      <c r="AC52" s="812"/>
      <c r="AD52" s="802"/>
      <c r="AE52" s="816"/>
      <c r="AF52" s="812"/>
      <c r="AG52" s="802"/>
      <c r="AH52" s="908">
        <f t="shared" si="18"/>
        <v>2500</v>
      </c>
      <c r="AI52" s="747"/>
    </row>
    <row r="53" spans="1:35" s="786" customFormat="1" ht="18" customHeight="1" x14ac:dyDescent="0.2">
      <c r="A53" s="555">
        <v>54110</v>
      </c>
      <c r="B53" s="560" t="s">
        <v>37</v>
      </c>
      <c r="C53" s="821">
        <f>'egresos 25% y F.P'!C125</f>
        <v>500</v>
      </c>
      <c r="D53" s="804">
        <f>'egresos 25% y F.P'!D125</f>
        <v>0</v>
      </c>
      <c r="E53" s="804">
        <f>'egresos 25% y F.P'!E125</f>
        <v>0</v>
      </c>
      <c r="F53" s="804">
        <f>'egresos 25% y F.P'!F125</f>
        <v>500</v>
      </c>
      <c r="G53" s="822">
        <f t="shared" si="23"/>
        <v>1000</v>
      </c>
      <c r="H53" s="820">
        <f>'egresos 25% y F.P'!C21</f>
        <v>2500</v>
      </c>
      <c r="I53" s="808">
        <f>'egresos 25% y F.P'!D21</f>
        <v>0</v>
      </c>
      <c r="J53" s="808">
        <f>'egresos 25% y F.P'!E21</f>
        <v>0</v>
      </c>
      <c r="K53" s="808">
        <f>'egresos 25% y F.P'!F21</f>
        <v>4000</v>
      </c>
      <c r="L53" s="810">
        <f t="shared" ref="L53:L69" si="25">SUM(H53:K53)</f>
        <v>6500</v>
      </c>
      <c r="M53" s="811">
        <v>0</v>
      </c>
      <c r="N53" s="812">
        <f>'AG3'!D33</f>
        <v>3000</v>
      </c>
      <c r="O53" s="812">
        <v>0</v>
      </c>
      <c r="P53" s="812">
        <v>0</v>
      </c>
      <c r="Q53" s="812">
        <v>0</v>
      </c>
      <c r="R53" s="812">
        <v>0</v>
      </c>
      <c r="S53" s="796">
        <f t="shared" si="24"/>
        <v>3000</v>
      </c>
      <c r="T53" s="813">
        <v>0</v>
      </c>
      <c r="U53" s="814">
        <v>0</v>
      </c>
      <c r="V53" s="812">
        <v>0</v>
      </c>
      <c r="W53" s="815">
        <f t="shared" si="3"/>
        <v>0</v>
      </c>
      <c r="X53" s="794"/>
      <c r="Y53" s="816"/>
      <c r="Z53" s="812"/>
      <c r="AA53" s="801"/>
      <c r="AB53" s="811"/>
      <c r="AC53" s="812"/>
      <c r="AD53" s="802"/>
      <c r="AE53" s="816"/>
      <c r="AF53" s="812"/>
      <c r="AG53" s="802"/>
      <c r="AH53" s="908">
        <f t="shared" si="18"/>
        <v>10500</v>
      </c>
      <c r="AI53" s="785"/>
    </row>
    <row r="54" spans="1:35" s="786" customFormat="1" ht="18" customHeight="1" x14ac:dyDescent="0.2">
      <c r="A54" s="555">
        <v>54111</v>
      </c>
      <c r="B54" s="560" t="s">
        <v>38</v>
      </c>
      <c r="C54" s="821">
        <v>0</v>
      </c>
      <c r="D54" s="804">
        <v>0</v>
      </c>
      <c r="E54" s="804">
        <v>0</v>
      </c>
      <c r="F54" s="804">
        <f>'egresos 25% y F.P'!F126</f>
        <v>100</v>
      </c>
      <c r="G54" s="822">
        <f t="shared" si="23"/>
        <v>100</v>
      </c>
      <c r="H54" s="820">
        <f>'egresos 25% y F.P'!C22</f>
        <v>0</v>
      </c>
      <c r="I54" s="808">
        <f>'egresos 25% y F.P'!D22</f>
        <v>0</v>
      </c>
      <c r="J54" s="808">
        <f>'egresos 25% y F.P'!E22</f>
        <v>0</v>
      </c>
      <c r="K54" s="808">
        <f>'egresos 25% y F.P'!F22</f>
        <v>100</v>
      </c>
      <c r="L54" s="810">
        <f t="shared" si="25"/>
        <v>100</v>
      </c>
      <c r="M54" s="811">
        <v>0</v>
      </c>
      <c r="N54" s="812">
        <v>0</v>
      </c>
      <c r="O54" s="812">
        <v>0</v>
      </c>
      <c r="P54" s="812">
        <v>0</v>
      </c>
      <c r="Q54" s="812">
        <v>0</v>
      </c>
      <c r="R54" s="812">
        <v>0</v>
      </c>
      <c r="S54" s="796">
        <f t="shared" si="24"/>
        <v>0</v>
      </c>
      <c r="T54" s="813">
        <v>0</v>
      </c>
      <c r="U54" s="814">
        <v>0</v>
      </c>
      <c r="V54" s="812">
        <v>0</v>
      </c>
      <c r="W54" s="815">
        <f t="shared" si="3"/>
        <v>0</v>
      </c>
      <c r="X54" s="794"/>
      <c r="Y54" s="816"/>
      <c r="Z54" s="812"/>
      <c r="AA54" s="801"/>
      <c r="AB54" s="811"/>
      <c r="AC54" s="812"/>
      <c r="AD54" s="802"/>
      <c r="AE54" s="816"/>
      <c r="AF54" s="812"/>
      <c r="AG54" s="802"/>
      <c r="AH54" s="908">
        <f t="shared" si="18"/>
        <v>200</v>
      </c>
      <c r="AI54" s="785"/>
    </row>
    <row r="55" spans="1:35" s="817" customFormat="1" ht="18" customHeight="1" x14ac:dyDescent="0.2">
      <c r="A55" s="555">
        <v>54112</v>
      </c>
      <c r="B55" s="560" t="s">
        <v>39</v>
      </c>
      <c r="C55" s="821">
        <v>0</v>
      </c>
      <c r="D55" s="804">
        <v>0</v>
      </c>
      <c r="E55" s="804">
        <v>0</v>
      </c>
      <c r="F55" s="804">
        <f>'egresos 25% y F.P'!F127</f>
        <v>100</v>
      </c>
      <c r="G55" s="822">
        <f t="shared" si="23"/>
        <v>100</v>
      </c>
      <c r="H55" s="820">
        <f>'egresos 25% y F.P'!C23</f>
        <v>0</v>
      </c>
      <c r="I55" s="808">
        <f>'egresos 25% y F.P'!D23</f>
        <v>0</v>
      </c>
      <c r="J55" s="808">
        <f>'egresos 25% y F.P'!E23</f>
        <v>0</v>
      </c>
      <c r="K55" s="808">
        <f>'egresos 25% y F.P'!F23</f>
        <v>100</v>
      </c>
      <c r="L55" s="810">
        <f t="shared" si="25"/>
        <v>100</v>
      </c>
      <c r="M55" s="811">
        <v>0</v>
      </c>
      <c r="N55" s="812">
        <v>0</v>
      </c>
      <c r="O55" s="812">
        <v>0</v>
      </c>
      <c r="P55" s="812">
        <v>0</v>
      </c>
      <c r="Q55" s="812">
        <v>0</v>
      </c>
      <c r="R55" s="812">
        <v>0</v>
      </c>
      <c r="S55" s="796">
        <f t="shared" si="24"/>
        <v>0</v>
      </c>
      <c r="T55" s="813">
        <v>0</v>
      </c>
      <c r="U55" s="814">
        <v>0</v>
      </c>
      <c r="V55" s="812">
        <v>0</v>
      </c>
      <c r="W55" s="815">
        <f t="shared" si="3"/>
        <v>0</v>
      </c>
      <c r="X55" s="811"/>
      <c r="Y55" s="816"/>
      <c r="Z55" s="812"/>
      <c r="AA55" s="801"/>
      <c r="AB55" s="811"/>
      <c r="AC55" s="812"/>
      <c r="AD55" s="802"/>
      <c r="AE55" s="816"/>
      <c r="AF55" s="812"/>
      <c r="AG55" s="802"/>
      <c r="AH55" s="908">
        <f t="shared" si="18"/>
        <v>200</v>
      </c>
      <c r="AI55" s="747"/>
    </row>
    <row r="56" spans="1:35" s="786" customFormat="1" ht="18" customHeight="1" x14ac:dyDescent="0.2">
      <c r="A56" s="555">
        <v>54114</v>
      </c>
      <c r="B56" s="560" t="s">
        <v>40</v>
      </c>
      <c r="C56" s="821">
        <f>'egresos 25% y F.P'!C128</f>
        <v>200</v>
      </c>
      <c r="D56" s="804">
        <f>'egresos 25% y F.P'!D128</f>
        <v>100</v>
      </c>
      <c r="E56" s="804">
        <f>'egresos 25% y F.P'!E128</f>
        <v>50</v>
      </c>
      <c r="F56" s="804">
        <f>'egresos 25% y F.P'!F128</f>
        <v>100</v>
      </c>
      <c r="G56" s="822">
        <f t="shared" si="23"/>
        <v>450</v>
      </c>
      <c r="H56" s="820">
        <f>'egresos 25% y F.P'!C24</f>
        <v>400</v>
      </c>
      <c r="I56" s="808">
        <f>'egresos 25% y F.P'!D24</f>
        <v>600</v>
      </c>
      <c r="J56" s="808">
        <f>'egresos 25% y F.P'!E24</f>
        <v>100</v>
      </c>
      <c r="K56" s="808">
        <f>'egresos 25% y F.P'!F24</f>
        <v>100</v>
      </c>
      <c r="L56" s="810">
        <f t="shared" si="25"/>
        <v>1200</v>
      </c>
      <c r="M56" s="826">
        <v>0</v>
      </c>
      <c r="N56" s="827">
        <v>0</v>
      </c>
      <c r="O56" s="827">
        <v>0</v>
      </c>
      <c r="P56" s="827">
        <v>0</v>
      </c>
      <c r="Q56" s="827">
        <v>0</v>
      </c>
      <c r="R56" s="827">
        <v>0</v>
      </c>
      <c r="S56" s="796">
        <f t="shared" si="24"/>
        <v>0</v>
      </c>
      <c r="T56" s="828">
        <v>0</v>
      </c>
      <c r="U56" s="829">
        <v>0</v>
      </c>
      <c r="V56" s="827">
        <v>0</v>
      </c>
      <c r="W56" s="815">
        <f t="shared" si="3"/>
        <v>0</v>
      </c>
      <c r="X56" s="830"/>
      <c r="Y56" s="816"/>
      <c r="Z56" s="812"/>
      <c r="AA56" s="801"/>
      <c r="AB56" s="811"/>
      <c r="AC56" s="812"/>
      <c r="AD56" s="802"/>
      <c r="AE56" s="816"/>
      <c r="AF56" s="812"/>
      <c r="AG56" s="802"/>
      <c r="AH56" s="908">
        <f t="shared" si="18"/>
        <v>1650</v>
      </c>
      <c r="AI56" s="785"/>
    </row>
    <row r="57" spans="1:35" s="786" customFormat="1" ht="18" customHeight="1" x14ac:dyDescent="0.2">
      <c r="A57" s="555">
        <v>54115</v>
      </c>
      <c r="B57" s="560" t="s">
        <v>41</v>
      </c>
      <c r="C57" s="821">
        <f>'egresos 25% y F.P'!C129</f>
        <v>100</v>
      </c>
      <c r="D57" s="804">
        <f>'egresos 25% y F.P'!D129</f>
        <v>200</v>
      </c>
      <c r="E57" s="804">
        <f>'egresos 25% y F.P'!E129</f>
        <v>100</v>
      </c>
      <c r="F57" s="804">
        <f>'egresos 25% y F.P'!F129</f>
        <v>50</v>
      </c>
      <c r="G57" s="822">
        <f t="shared" si="23"/>
        <v>450</v>
      </c>
      <c r="H57" s="820">
        <f>'egresos 25% y F.P'!C25</f>
        <v>600</v>
      </c>
      <c r="I57" s="808">
        <f>'egresos 25% y F.P'!D25</f>
        <v>600</v>
      </c>
      <c r="J57" s="808">
        <f>'egresos 25% y F.P'!E25</f>
        <v>250</v>
      </c>
      <c r="K57" s="808">
        <f>'egresos 25% y F.P'!F25</f>
        <v>100</v>
      </c>
      <c r="L57" s="810">
        <f t="shared" si="25"/>
        <v>1550</v>
      </c>
      <c r="M57" s="826">
        <v>0</v>
      </c>
      <c r="N57" s="827">
        <v>0</v>
      </c>
      <c r="O57" s="827">
        <v>0</v>
      </c>
      <c r="P57" s="827">
        <v>0</v>
      </c>
      <c r="Q57" s="827">
        <v>0</v>
      </c>
      <c r="R57" s="827">
        <v>0</v>
      </c>
      <c r="S57" s="796">
        <f t="shared" si="24"/>
        <v>0</v>
      </c>
      <c r="T57" s="828">
        <v>0</v>
      </c>
      <c r="U57" s="829">
        <v>0</v>
      </c>
      <c r="V57" s="827">
        <v>0</v>
      </c>
      <c r="W57" s="815">
        <f t="shared" si="3"/>
        <v>0</v>
      </c>
      <c r="X57" s="830"/>
      <c r="Y57" s="816"/>
      <c r="Z57" s="812"/>
      <c r="AA57" s="801"/>
      <c r="AB57" s="811"/>
      <c r="AC57" s="812"/>
      <c r="AD57" s="802"/>
      <c r="AE57" s="816"/>
      <c r="AF57" s="812"/>
      <c r="AG57" s="802"/>
      <c r="AH57" s="908">
        <f t="shared" si="18"/>
        <v>2000</v>
      </c>
      <c r="AI57" s="785"/>
    </row>
    <row r="58" spans="1:35" s="817" customFormat="1" ht="18" customHeight="1" x14ac:dyDescent="0.2">
      <c r="A58" s="555">
        <v>54116</v>
      </c>
      <c r="B58" s="560" t="s">
        <v>42</v>
      </c>
      <c r="C58" s="821"/>
      <c r="D58" s="804"/>
      <c r="E58" s="804"/>
      <c r="F58" s="804"/>
      <c r="G58" s="822">
        <f t="shared" si="23"/>
        <v>0</v>
      </c>
      <c r="H58" s="820">
        <f>'egresos 25% y F.P'!C26</f>
        <v>0</v>
      </c>
      <c r="I58" s="808">
        <f>'egresos 25% y F.P'!D26</f>
        <v>0</v>
      </c>
      <c r="J58" s="808">
        <f>'egresos 25% y F.P'!E26</f>
        <v>0</v>
      </c>
      <c r="K58" s="808">
        <f>'egresos 25% y F.P'!F26</f>
        <v>0</v>
      </c>
      <c r="L58" s="810">
        <f t="shared" si="25"/>
        <v>0</v>
      </c>
      <c r="M58" s="826">
        <v>0</v>
      </c>
      <c r="N58" s="827">
        <f>'AG3'!D62</f>
        <v>130</v>
      </c>
      <c r="O58" s="827">
        <v>0</v>
      </c>
      <c r="P58" s="827">
        <v>0</v>
      </c>
      <c r="Q58" s="827">
        <v>0</v>
      </c>
      <c r="R58" s="827">
        <v>0</v>
      </c>
      <c r="S58" s="796">
        <f t="shared" si="24"/>
        <v>130</v>
      </c>
      <c r="T58" s="828">
        <v>0</v>
      </c>
      <c r="U58" s="829">
        <v>0</v>
      </c>
      <c r="V58" s="827">
        <v>0</v>
      </c>
      <c r="W58" s="815">
        <f t="shared" si="3"/>
        <v>0</v>
      </c>
      <c r="X58" s="830"/>
      <c r="Y58" s="816"/>
      <c r="Z58" s="812"/>
      <c r="AA58" s="801"/>
      <c r="AB58" s="811"/>
      <c r="AC58" s="812"/>
      <c r="AD58" s="802"/>
      <c r="AE58" s="816"/>
      <c r="AF58" s="812"/>
      <c r="AG58" s="802"/>
      <c r="AH58" s="908">
        <f t="shared" si="18"/>
        <v>130</v>
      </c>
      <c r="AI58" s="747"/>
    </row>
    <row r="59" spans="1:35" s="817" customFormat="1" ht="18" hidden="1" customHeight="1" x14ac:dyDescent="0.2">
      <c r="A59" s="555">
        <v>54117</v>
      </c>
      <c r="B59" s="560" t="s">
        <v>43</v>
      </c>
      <c r="C59" s="821"/>
      <c r="D59" s="804"/>
      <c r="E59" s="804"/>
      <c r="F59" s="804"/>
      <c r="G59" s="822">
        <f t="shared" si="23"/>
        <v>0</v>
      </c>
      <c r="H59" s="820">
        <f>'egresos 25% y F.P'!C27</f>
        <v>0</v>
      </c>
      <c r="I59" s="808">
        <f>'egresos 25% y F.P'!D27</f>
        <v>0</v>
      </c>
      <c r="J59" s="808">
        <f>'egresos 25% y F.P'!E27</f>
        <v>0</v>
      </c>
      <c r="K59" s="808">
        <f>'egresos 25% y F.P'!F27</f>
        <v>0</v>
      </c>
      <c r="L59" s="810">
        <f t="shared" si="25"/>
        <v>0</v>
      </c>
      <c r="M59" s="811">
        <v>0</v>
      </c>
      <c r="N59" s="812">
        <v>0</v>
      </c>
      <c r="O59" s="812">
        <v>0</v>
      </c>
      <c r="P59" s="812">
        <v>0</v>
      </c>
      <c r="Q59" s="812">
        <v>0</v>
      </c>
      <c r="R59" s="812">
        <v>0</v>
      </c>
      <c r="S59" s="796">
        <f t="shared" si="24"/>
        <v>0</v>
      </c>
      <c r="T59" s="813">
        <v>0</v>
      </c>
      <c r="U59" s="814">
        <v>0</v>
      </c>
      <c r="V59" s="812">
        <v>0</v>
      </c>
      <c r="W59" s="815">
        <f t="shared" si="3"/>
        <v>0</v>
      </c>
      <c r="X59" s="811"/>
      <c r="Y59" s="816"/>
      <c r="Z59" s="812"/>
      <c r="AA59" s="801"/>
      <c r="AB59" s="811"/>
      <c r="AC59" s="812"/>
      <c r="AD59" s="802"/>
      <c r="AE59" s="816"/>
      <c r="AF59" s="812"/>
      <c r="AG59" s="802"/>
      <c r="AH59" s="908">
        <f t="shared" si="18"/>
        <v>0</v>
      </c>
      <c r="AI59" s="747"/>
    </row>
    <row r="60" spans="1:35" s="817" customFormat="1" ht="18" customHeight="1" x14ac:dyDescent="0.2">
      <c r="A60" s="555">
        <v>54118</v>
      </c>
      <c r="B60" s="560" t="s">
        <v>44</v>
      </c>
      <c r="C60" s="821">
        <f>'egresos 25% y F.P'!C132</f>
        <v>50</v>
      </c>
      <c r="D60" s="805">
        <f>'egresos 25% y F.P'!D132</f>
        <v>0</v>
      </c>
      <c r="E60" s="805">
        <f>'egresos 25% y F.P'!E132</f>
        <v>0</v>
      </c>
      <c r="F60" s="805">
        <f>'egresos 25% y F.P'!F132</f>
        <v>1000</v>
      </c>
      <c r="G60" s="822">
        <f t="shared" si="23"/>
        <v>1050</v>
      </c>
      <c r="H60" s="820">
        <f>'egresos 25% y F.P'!C28</f>
        <v>50</v>
      </c>
      <c r="I60" s="808">
        <f>'egresos 25% y F.P'!D28</f>
        <v>0</v>
      </c>
      <c r="J60" s="808">
        <f>'egresos 25% y F.P'!E28</f>
        <v>0</v>
      </c>
      <c r="K60" s="808">
        <f>'egresos 25% y F.P'!F28</f>
        <v>2500</v>
      </c>
      <c r="L60" s="810">
        <f t="shared" si="25"/>
        <v>2550</v>
      </c>
      <c r="M60" s="811">
        <v>0</v>
      </c>
      <c r="N60" s="812">
        <v>0</v>
      </c>
      <c r="O60" s="812">
        <v>0</v>
      </c>
      <c r="P60" s="812">
        <v>0</v>
      </c>
      <c r="Q60" s="812">
        <v>0</v>
      </c>
      <c r="R60" s="812">
        <v>0</v>
      </c>
      <c r="S60" s="796">
        <f t="shared" si="24"/>
        <v>0</v>
      </c>
      <c r="T60" s="813">
        <v>0</v>
      </c>
      <c r="U60" s="814">
        <v>0</v>
      </c>
      <c r="V60" s="812">
        <v>0</v>
      </c>
      <c r="W60" s="815">
        <f t="shared" si="3"/>
        <v>0</v>
      </c>
      <c r="X60" s="811"/>
      <c r="Y60" s="816"/>
      <c r="Z60" s="812"/>
      <c r="AA60" s="801"/>
      <c r="AB60" s="811"/>
      <c r="AC60" s="812"/>
      <c r="AD60" s="802"/>
      <c r="AE60" s="816"/>
      <c r="AF60" s="812"/>
      <c r="AG60" s="802"/>
      <c r="AH60" s="908">
        <f t="shared" si="18"/>
        <v>3600</v>
      </c>
      <c r="AI60" s="747"/>
    </row>
    <row r="61" spans="1:35" s="817" customFormat="1" ht="18" customHeight="1" x14ac:dyDescent="0.2">
      <c r="A61" s="555">
        <v>54119</v>
      </c>
      <c r="B61" s="560" t="s">
        <v>45</v>
      </c>
      <c r="C61" s="821">
        <f>'egresos 25% y F.P'!C133</f>
        <v>100</v>
      </c>
      <c r="D61" s="804">
        <v>0</v>
      </c>
      <c r="E61" s="804">
        <v>0</v>
      </c>
      <c r="F61" s="804">
        <v>0</v>
      </c>
      <c r="G61" s="822">
        <f t="shared" si="23"/>
        <v>100</v>
      </c>
      <c r="H61" s="820">
        <f>'egresos 25% y F.P'!C29</f>
        <v>50</v>
      </c>
      <c r="I61" s="808">
        <f>'egresos 25% y F.P'!D29</f>
        <v>0</v>
      </c>
      <c r="J61" s="808">
        <f>'egresos 25% y F.P'!E29</f>
        <v>0</v>
      </c>
      <c r="K61" s="808">
        <f>'egresos 25% y F.P'!F29</f>
        <v>100</v>
      </c>
      <c r="L61" s="810">
        <f t="shared" si="25"/>
        <v>150</v>
      </c>
      <c r="M61" s="811">
        <v>0</v>
      </c>
      <c r="N61" s="812">
        <v>0</v>
      </c>
      <c r="O61" s="812">
        <v>0</v>
      </c>
      <c r="P61" s="812">
        <v>0</v>
      </c>
      <c r="Q61" s="812">
        <v>0</v>
      </c>
      <c r="R61" s="812">
        <v>0</v>
      </c>
      <c r="S61" s="796">
        <f t="shared" si="24"/>
        <v>0</v>
      </c>
      <c r="T61" s="813">
        <v>0</v>
      </c>
      <c r="U61" s="814">
        <v>0</v>
      </c>
      <c r="V61" s="812">
        <v>0</v>
      </c>
      <c r="W61" s="815">
        <f t="shared" si="3"/>
        <v>0</v>
      </c>
      <c r="X61" s="811"/>
      <c r="Y61" s="816"/>
      <c r="Z61" s="812"/>
      <c r="AA61" s="801"/>
      <c r="AB61" s="811"/>
      <c r="AC61" s="812"/>
      <c r="AD61" s="802"/>
      <c r="AE61" s="816"/>
      <c r="AF61" s="812"/>
      <c r="AG61" s="802"/>
      <c r="AH61" s="908">
        <f t="shared" si="18"/>
        <v>250</v>
      </c>
      <c r="AI61" s="747"/>
    </row>
    <row r="62" spans="1:35" s="817" customFormat="1" ht="18" customHeight="1" x14ac:dyDescent="0.2">
      <c r="A62" s="555">
        <v>54121</v>
      </c>
      <c r="B62" s="560" t="s">
        <v>46</v>
      </c>
      <c r="C62" s="821">
        <v>0</v>
      </c>
      <c r="D62" s="804">
        <v>0</v>
      </c>
      <c r="E62" s="804">
        <v>0</v>
      </c>
      <c r="F62" s="804">
        <v>0</v>
      </c>
      <c r="G62" s="822">
        <f t="shared" si="23"/>
        <v>0</v>
      </c>
      <c r="H62" s="820"/>
      <c r="I62" s="808">
        <f>'egresos 25% y F.P'!D30</f>
        <v>4000</v>
      </c>
      <c r="J62" s="808"/>
      <c r="K62" s="808"/>
      <c r="L62" s="810">
        <f t="shared" si="25"/>
        <v>4000</v>
      </c>
      <c r="M62" s="811">
        <v>0</v>
      </c>
      <c r="N62" s="812">
        <v>0</v>
      </c>
      <c r="O62" s="812">
        <v>0</v>
      </c>
      <c r="P62" s="812">
        <v>0</v>
      </c>
      <c r="Q62" s="812">
        <v>0</v>
      </c>
      <c r="R62" s="812">
        <v>0</v>
      </c>
      <c r="S62" s="796">
        <f t="shared" si="24"/>
        <v>0</v>
      </c>
      <c r="T62" s="813">
        <v>0</v>
      </c>
      <c r="U62" s="814">
        <v>0</v>
      </c>
      <c r="V62" s="812">
        <v>0</v>
      </c>
      <c r="W62" s="815">
        <f t="shared" si="3"/>
        <v>0</v>
      </c>
      <c r="X62" s="811"/>
      <c r="Y62" s="816"/>
      <c r="Z62" s="812"/>
      <c r="AA62" s="801"/>
      <c r="AB62" s="811"/>
      <c r="AC62" s="812"/>
      <c r="AD62" s="802"/>
      <c r="AE62" s="816"/>
      <c r="AF62" s="812"/>
      <c r="AG62" s="802"/>
      <c r="AH62" s="908">
        <f t="shared" si="18"/>
        <v>4000</v>
      </c>
      <c r="AI62" s="747"/>
    </row>
    <row r="63" spans="1:35" s="817" customFormat="1" ht="18" customHeight="1" x14ac:dyDescent="0.2">
      <c r="A63" s="555">
        <v>54199</v>
      </c>
      <c r="B63" s="560" t="s">
        <v>47</v>
      </c>
      <c r="C63" s="821">
        <f>'egresos 25% y F.P'!C135</f>
        <v>1000</v>
      </c>
      <c r="D63" s="805">
        <f>'egresos 25% y F.P'!D135</f>
        <v>50</v>
      </c>
      <c r="E63" s="805">
        <f>'egresos 25% y F.P'!E135</f>
        <v>50</v>
      </c>
      <c r="F63" s="805">
        <f>'egresos 25% y F.P'!F135</f>
        <v>100</v>
      </c>
      <c r="G63" s="822">
        <f t="shared" si="23"/>
        <v>1200</v>
      </c>
      <c r="H63" s="820">
        <f>'egresos 25% y F.P'!C31</f>
        <v>5000</v>
      </c>
      <c r="I63" s="808">
        <f>'egresos 25% y F.P'!D31</f>
        <v>100</v>
      </c>
      <c r="J63" s="808">
        <f>'egresos 25% y F.P'!E31</f>
        <v>100</v>
      </c>
      <c r="K63" s="808">
        <f>'egresos 25% y F.P'!F31</f>
        <v>500</v>
      </c>
      <c r="L63" s="810">
        <f t="shared" si="25"/>
        <v>5700</v>
      </c>
      <c r="M63" s="811">
        <v>0</v>
      </c>
      <c r="N63" s="812">
        <v>0</v>
      </c>
      <c r="O63" s="812">
        <v>0</v>
      </c>
      <c r="P63" s="812">
        <v>0</v>
      </c>
      <c r="Q63" s="812">
        <v>0</v>
      </c>
      <c r="R63" s="812">
        <v>0</v>
      </c>
      <c r="S63" s="796">
        <f t="shared" si="24"/>
        <v>0</v>
      </c>
      <c r="T63" s="813">
        <v>0</v>
      </c>
      <c r="U63" s="814">
        <v>0</v>
      </c>
      <c r="V63" s="812">
        <v>0</v>
      </c>
      <c r="W63" s="815">
        <f t="shared" si="3"/>
        <v>0</v>
      </c>
      <c r="X63" s="811"/>
      <c r="Y63" s="816"/>
      <c r="Z63" s="812"/>
      <c r="AA63" s="801"/>
      <c r="AB63" s="811"/>
      <c r="AC63" s="812"/>
      <c r="AD63" s="802"/>
      <c r="AE63" s="816"/>
      <c r="AF63" s="812"/>
      <c r="AG63" s="802"/>
      <c r="AH63" s="908">
        <f t="shared" si="18"/>
        <v>6900</v>
      </c>
      <c r="AI63" s="747"/>
    </row>
    <row r="64" spans="1:35" s="817" customFormat="1" ht="18" customHeight="1" x14ac:dyDescent="0.2">
      <c r="A64" s="551">
        <v>542</v>
      </c>
      <c r="B64" s="561" t="s">
        <v>48</v>
      </c>
      <c r="C64" s="787">
        <f t="shared" ref="C64:K64" si="26">SUM(C65:C69)</f>
        <v>1600</v>
      </c>
      <c r="D64" s="823">
        <f t="shared" si="26"/>
        <v>0</v>
      </c>
      <c r="E64" s="823">
        <f t="shared" si="26"/>
        <v>0</v>
      </c>
      <c r="F64" s="823">
        <f t="shared" si="26"/>
        <v>13495.14</v>
      </c>
      <c r="G64" s="824">
        <f>SUM(G65:G69)</f>
        <v>15095.14</v>
      </c>
      <c r="H64" s="819">
        <f t="shared" si="26"/>
        <v>7000</v>
      </c>
      <c r="I64" s="791">
        <f t="shared" si="26"/>
        <v>0</v>
      </c>
      <c r="J64" s="791">
        <f t="shared" si="26"/>
        <v>0</v>
      </c>
      <c r="K64" s="791">
        <f t="shared" si="26"/>
        <v>111897.59999999999</v>
      </c>
      <c r="L64" s="793">
        <f>SUM(H64:K64)</f>
        <v>118897.59999999999</v>
      </c>
      <c r="M64" s="794">
        <v>0</v>
      </c>
      <c r="N64" s="795">
        <v>0</v>
      </c>
      <c r="O64" s="795">
        <v>0</v>
      </c>
      <c r="P64" s="795">
        <v>0</v>
      </c>
      <c r="Q64" s="795">
        <v>0</v>
      </c>
      <c r="R64" s="795">
        <v>0</v>
      </c>
      <c r="S64" s="825">
        <f t="shared" si="24"/>
        <v>0</v>
      </c>
      <c r="T64" s="797">
        <v>0</v>
      </c>
      <c r="U64" s="798">
        <v>0</v>
      </c>
      <c r="V64" s="795">
        <v>0</v>
      </c>
      <c r="W64" s="799">
        <f t="shared" si="3"/>
        <v>0</v>
      </c>
      <c r="X64" s="811"/>
      <c r="Y64" s="816"/>
      <c r="Z64" s="812"/>
      <c r="AA64" s="801"/>
      <c r="AB64" s="811"/>
      <c r="AC64" s="812"/>
      <c r="AD64" s="802"/>
      <c r="AE64" s="816"/>
      <c r="AF64" s="812"/>
      <c r="AG64" s="802"/>
      <c r="AH64" s="847">
        <f t="shared" si="18"/>
        <v>133992.74</v>
      </c>
      <c r="AI64" s="747"/>
    </row>
    <row r="65" spans="1:35" s="817" customFormat="1" ht="18" customHeight="1" x14ac:dyDescent="0.2">
      <c r="A65" s="555">
        <v>54201</v>
      </c>
      <c r="B65" s="560" t="s">
        <v>49</v>
      </c>
      <c r="C65" s="821">
        <f>'egresos 25% y F.P'!C137</f>
        <v>500</v>
      </c>
      <c r="D65" s="804">
        <v>0</v>
      </c>
      <c r="E65" s="804">
        <v>0</v>
      </c>
      <c r="F65" s="804">
        <f>'egresos 25% y F.P'!F137</f>
        <v>9830.14</v>
      </c>
      <c r="G65" s="822">
        <f t="shared" ref="G65:G90" si="27">SUM(C65:F65)</f>
        <v>10330.14</v>
      </c>
      <c r="H65" s="820">
        <f>'egresos 25% y F.P'!C33</f>
        <v>2500</v>
      </c>
      <c r="I65" s="808">
        <v>0</v>
      </c>
      <c r="J65" s="808">
        <v>0</v>
      </c>
      <c r="K65" s="808">
        <f>'egresos 25% y F.P'!F33</f>
        <v>94232.599999999991</v>
      </c>
      <c r="L65" s="810">
        <f t="shared" si="25"/>
        <v>96732.599999999991</v>
      </c>
      <c r="M65" s="811">
        <v>0</v>
      </c>
      <c r="N65" s="812">
        <v>0</v>
      </c>
      <c r="O65" s="812">
        <v>0</v>
      </c>
      <c r="P65" s="812">
        <v>0</v>
      </c>
      <c r="Q65" s="812">
        <v>0</v>
      </c>
      <c r="R65" s="812">
        <v>0</v>
      </c>
      <c r="S65" s="796">
        <f t="shared" si="24"/>
        <v>0</v>
      </c>
      <c r="T65" s="813">
        <v>0</v>
      </c>
      <c r="U65" s="814">
        <v>0</v>
      </c>
      <c r="V65" s="812">
        <v>0</v>
      </c>
      <c r="W65" s="815">
        <f t="shared" si="3"/>
        <v>0</v>
      </c>
      <c r="X65" s="811"/>
      <c r="Y65" s="816"/>
      <c r="Z65" s="812"/>
      <c r="AA65" s="801"/>
      <c r="AB65" s="811"/>
      <c r="AC65" s="812"/>
      <c r="AD65" s="802"/>
      <c r="AE65" s="816"/>
      <c r="AF65" s="812"/>
      <c r="AG65" s="802"/>
      <c r="AH65" s="908">
        <f t="shared" si="18"/>
        <v>107062.73999999999</v>
      </c>
      <c r="AI65" s="747"/>
    </row>
    <row r="66" spans="1:35" s="817" customFormat="1" ht="18" customHeight="1" x14ac:dyDescent="0.2">
      <c r="A66" s="555">
        <v>54202</v>
      </c>
      <c r="B66" s="560" t="s">
        <v>50</v>
      </c>
      <c r="C66" s="821">
        <f>'egresos 25% y F.P'!C138</f>
        <v>100</v>
      </c>
      <c r="D66" s="804">
        <v>0</v>
      </c>
      <c r="E66" s="804">
        <v>0</v>
      </c>
      <c r="F66" s="804">
        <f>'egresos 25% y F.P'!F138</f>
        <v>50</v>
      </c>
      <c r="G66" s="822">
        <f t="shared" si="27"/>
        <v>150</v>
      </c>
      <c r="H66" s="820">
        <f>'egresos 25% y F.P'!C34</f>
        <v>500</v>
      </c>
      <c r="I66" s="808">
        <v>0</v>
      </c>
      <c r="J66" s="808">
        <v>0</v>
      </c>
      <c r="K66" s="808">
        <f>'egresos 25% y F.P'!F34</f>
        <v>50</v>
      </c>
      <c r="L66" s="810">
        <f t="shared" si="25"/>
        <v>550</v>
      </c>
      <c r="M66" s="811">
        <v>0</v>
      </c>
      <c r="N66" s="812">
        <v>0</v>
      </c>
      <c r="O66" s="812">
        <v>0</v>
      </c>
      <c r="P66" s="812">
        <v>0</v>
      </c>
      <c r="Q66" s="812">
        <v>0</v>
      </c>
      <c r="R66" s="812">
        <v>0</v>
      </c>
      <c r="S66" s="796">
        <f t="shared" si="24"/>
        <v>0</v>
      </c>
      <c r="T66" s="813">
        <v>0</v>
      </c>
      <c r="U66" s="814">
        <v>0</v>
      </c>
      <c r="V66" s="812">
        <v>0</v>
      </c>
      <c r="W66" s="815">
        <f t="shared" si="3"/>
        <v>0</v>
      </c>
      <c r="X66" s="811"/>
      <c r="Y66" s="816"/>
      <c r="Z66" s="812"/>
      <c r="AA66" s="801"/>
      <c r="AB66" s="811"/>
      <c r="AC66" s="812"/>
      <c r="AD66" s="802"/>
      <c r="AE66" s="816"/>
      <c r="AF66" s="812"/>
      <c r="AG66" s="802"/>
      <c r="AH66" s="908">
        <f t="shared" si="18"/>
        <v>700</v>
      </c>
      <c r="AI66" s="747"/>
    </row>
    <row r="67" spans="1:35" s="817" customFormat="1" ht="18" customHeight="1" x14ac:dyDescent="0.2">
      <c r="A67" s="555">
        <v>54203</v>
      </c>
      <c r="B67" s="560" t="s">
        <v>51</v>
      </c>
      <c r="C67" s="821">
        <f>'egresos 25% y F.P'!C139</f>
        <v>1000</v>
      </c>
      <c r="D67" s="804">
        <f>'egresos 25% y F.P'!D139</f>
        <v>0</v>
      </c>
      <c r="E67" s="804">
        <f>'egresos 25% y F.P'!E139</f>
        <v>0</v>
      </c>
      <c r="F67" s="804">
        <f>'egresos 25% y F.P'!F139</f>
        <v>615</v>
      </c>
      <c r="G67" s="822">
        <f t="shared" si="27"/>
        <v>1615</v>
      </c>
      <c r="H67" s="820">
        <f>'egresos 25% y F.P'!C35</f>
        <v>4000</v>
      </c>
      <c r="I67" s="808">
        <v>0</v>
      </c>
      <c r="J67" s="808">
        <v>0</v>
      </c>
      <c r="K67" s="808">
        <f>'egresos 25% y F.P'!F35</f>
        <v>615</v>
      </c>
      <c r="L67" s="810">
        <f t="shared" si="25"/>
        <v>4615</v>
      </c>
      <c r="M67" s="811">
        <v>0</v>
      </c>
      <c r="N67" s="812">
        <v>0</v>
      </c>
      <c r="O67" s="812">
        <v>0</v>
      </c>
      <c r="P67" s="812">
        <v>0</v>
      </c>
      <c r="Q67" s="812">
        <v>0</v>
      </c>
      <c r="R67" s="812">
        <v>0</v>
      </c>
      <c r="S67" s="796">
        <f t="shared" si="24"/>
        <v>0</v>
      </c>
      <c r="T67" s="831">
        <v>0</v>
      </c>
      <c r="U67" s="814">
        <v>0</v>
      </c>
      <c r="V67" s="832">
        <v>0</v>
      </c>
      <c r="W67" s="815">
        <f t="shared" si="3"/>
        <v>0</v>
      </c>
      <c r="X67" s="831"/>
      <c r="Y67" s="816"/>
      <c r="Z67" s="812"/>
      <c r="AA67" s="801"/>
      <c r="AB67" s="811"/>
      <c r="AC67" s="812"/>
      <c r="AD67" s="802"/>
      <c r="AE67" s="816"/>
      <c r="AF67" s="812"/>
      <c r="AG67" s="802"/>
      <c r="AH67" s="908">
        <f t="shared" si="18"/>
        <v>6230</v>
      </c>
      <c r="AI67" s="747"/>
    </row>
    <row r="68" spans="1:35" s="817" customFormat="1" ht="18" hidden="1" customHeight="1" x14ac:dyDescent="0.2">
      <c r="A68" s="555">
        <v>54204</v>
      </c>
      <c r="B68" s="560" t="s">
        <v>52</v>
      </c>
      <c r="C68" s="821"/>
      <c r="D68" s="804"/>
      <c r="E68" s="804"/>
      <c r="F68" s="804"/>
      <c r="G68" s="822">
        <f t="shared" si="27"/>
        <v>0</v>
      </c>
      <c r="H68" s="820"/>
      <c r="I68" s="808">
        <v>0</v>
      </c>
      <c r="J68" s="808">
        <v>0</v>
      </c>
      <c r="K68" s="808"/>
      <c r="L68" s="810">
        <f t="shared" si="25"/>
        <v>0</v>
      </c>
      <c r="M68" s="811">
        <v>0</v>
      </c>
      <c r="N68" s="812">
        <v>0</v>
      </c>
      <c r="O68" s="812">
        <v>0</v>
      </c>
      <c r="P68" s="812">
        <v>0</v>
      </c>
      <c r="Q68" s="812">
        <v>0</v>
      </c>
      <c r="R68" s="812">
        <v>0</v>
      </c>
      <c r="S68" s="796">
        <f t="shared" si="24"/>
        <v>0</v>
      </c>
      <c r="T68" s="813">
        <v>0</v>
      </c>
      <c r="U68" s="814">
        <v>0</v>
      </c>
      <c r="V68" s="812">
        <v>0</v>
      </c>
      <c r="W68" s="815">
        <f t="shared" si="3"/>
        <v>0</v>
      </c>
      <c r="X68" s="811"/>
      <c r="Y68" s="816"/>
      <c r="Z68" s="812"/>
      <c r="AA68" s="801"/>
      <c r="AB68" s="811"/>
      <c r="AC68" s="812"/>
      <c r="AD68" s="802"/>
      <c r="AE68" s="816"/>
      <c r="AF68" s="812"/>
      <c r="AG68" s="802"/>
      <c r="AH68" s="908">
        <f t="shared" si="18"/>
        <v>0</v>
      </c>
      <c r="AI68" s="747"/>
    </row>
    <row r="69" spans="1:35" s="817" customFormat="1" ht="18" customHeight="1" x14ac:dyDescent="0.2">
      <c r="A69" s="555">
        <v>54205</v>
      </c>
      <c r="B69" s="560" t="s">
        <v>53</v>
      </c>
      <c r="C69" s="821">
        <v>0</v>
      </c>
      <c r="D69" s="804">
        <v>0</v>
      </c>
      <c r="E69" s="804">
        <v>0</v>
      </c>
      <c r="F69" s="804">
        <f>'egresos 25% y F.P'!F141</f>
        <v>3000</v>
      </c>
      <c r="G69" s="822">
        <f t="shared" si="27"/>
        <v>3000</v>
      </c>
      <c r="H69" s="820">
        <v>0</v>
      </c>
      <c r="I69" s="808">
        <v>0</v>
      </c>
      <c r="J69" s="808">
        <v>0</v>
      </c>
      <c r="K69" s="808">
        <f>'egresos 25% y F.P'!F37</f>
        <v>17000</v>
      </c>
      <c r="L69" s="810">
        <f t="shared" si="25"/>
        <v>17000</v>
      </c>
      <c r="M69" s="811">
        <v>0</v>
      </c>
      <c r="N69" s="812">
        <v>0</v>
      </c>
      <c r="O69" s="812">
        <v>0</v>
      </c>
      <c r="P69" s="812">
        <v>0</v>
      </c>
      <c r="Q69" s="812">
        <v>0</v>
      </c>
      <c r="R69" s="812">
        <v>0</v>
      </c>
      <c r="S69" s="796">
        <f t="shared" si="24"/>
        <v>0</v>
      </c>
      <c r="T69" s="813">
        <v>0</v>
      </c>
      <c r="U69" s="814">
        <v>0</v>
      </c>
      <c r="V69" s="812">
        <v>0</v>
      </c>
      <c r="W69" s="815">
        <f t="shared" si="3"/>
        <v>0</v>
      </c>
      <c r="X69" s="811"/>
      <c r="Y69" s="816"/>
      <c r="Z69" s="812"/>
      <c r="AA69" s="801"/>
      <c r="AB69" s="811"/>
      <c r="AC69" s="812"/>
      <c r="AD69" s="802"/>
      <c r="AE69" s="816"/>
      <c r="AF69" s="812"/>
      <c r="AG69" s="802"/>
      <c r="AH69" s="908">
        <f t="shared" si="18"/>
        <v>20000</v>
      </c>
      <c r="AI69" s="747"/>
    </row>
    <row r="70" spans="1:35" s="817" customFormat="1" ht="18" customHeight="1" x14ac:dyDescent="0.2">
      <c r="A70" s="551">
        <v>543</v>
      </c>
      <c r="B70" s="561" t="s">
        <v>54</v>
      </c>
      <c r="C70" s="787">
        <f t="shared" ref="C70:K70" si="28">SUM(C71:C85)</f>
        <v>4200</v>
      </c>
      <c r="D70" s="823">
        <f t="shared" si="28"/>
        <v>100</v>
      </c>
      <c r="E70" s="823">
        <f t="shared" si="28"/>
        <v>100</v>
      </c>
      <c r="F70" s="823">
        <f>SUM(F71:F85)</f>
        <v>3427.95</v>
      </c>
      <c r="G70" s="824">
        <f>SUM(G71:G85)</f>
        <v>7827.95</v>
      </c>
      <c r="H70" s="819">
        <f t="shared" si="28"/>
        <v>15750</v>
      </c>
      <c r="I70" s="791">
        <f t="shared" si="28"/>
        <v>300</v>
      </c>
      <c r="J70" s="791">
        <f t="shared" si="28"/>
        <v>100</v>
      </c>
      <c r="K70" s="791">
        <f t="shared" si="28"/>
        <v>5375</v>
      </c>
      <c r="L70" s="793">
        <f>SUM(H70:K70)</f>
        <v>21525</v>
      </c>
      <c r="M70" s="794">
        <v>0</v>
      </c>
      <c r="N70" s="795">
        <v>0</v>
      </c>
      <c r="O70" s="795">
        <v>0</v>
      </c>
      <c r="P70" s="795">
        <v>0</v>
      </c>
      <c r="Q70" s="795">
        <v>0</v>
      </c>
      <c r="R70" s="795">
        <v>0</v>
      </c>
      <c r="S70" s="825">
        <f>M70+N70+O70+P70+R70</f>
        <v>0</v>
      </c>
      <c r="T70" s="797">
        <v>0</v>
      </c>
      <c r="U70" s="798">
        <v>0</v>
      </c>
      <c r="V70" s="795">
        <v>0</v>
      </c>
      <c r="W70" s="799">
        <f t="shared" si="3"/>
        <v>0</v>
      </c>
      <c r="X70" s="811"/>
      <c r="Y70" s="816"/>
      <c r="Z70" s="812"/>
      <c r="AA70" s="801"/>
      <c r="AB70" s="811"/>
      <c r="AC70" s="812"/>
      <c r="AD70" s="802"/>
      <c r="AE70" s="816"/>
      <c r="AF70" s="812"/>
      <c r="AG70" s="802"/>
      <c r="AH70" s="847">
        <f t="shared" si="18"/>
        <v>29352.95</v>
      </c>
      <c r="AI70" s="747"/>
    </row>
    <row r="71" spans="1:35" s="817" customFormat="1" ht="18" customHeight="1" x14ac:dyDescent="0.2">
      <c r="A71" s="555">
        <v>54301</v>
      </c>
      <c r="B71" s="560" t="s">
        <v>55</v>
      </c>
      <c r="C71" s="821">
        <f>'egresos 25% y F.P'!C143</f>
        <v>100</v>
      </c>
      <c r="D71" s="804">
        <f>'egresos 25% y F.P'!D143</f>
        <v>100</v>
      </c>
      <c r="E71" s="804">
        <f>'egresos 25% y F.P'!E143</f>
        <v>100</v>
      </c>
      <c r="F71" s="804">
        <f>+'egresos 25% y F.P'!F143</f>
        <v>77.95</v>
      </c>
      <c r="G71" s="822">
        <f t="shared" si="27"/>
        <v>377.95</v>
      </c>
      <c r="H71" s="820">
        <f>'egresos 25% y F.P'!C39</f>
        <v>150</v>
      </c>
      <c r="I71" s="808">
        <f>'egresos 25% y F.P'!D39</f>
        <v>300</v>
      </c>
      <c r="J71" s="808">
        <f>'egresos 25% y F.P'!E39</f>
        <v>100</v>
      </c>
      <c r="K71" s="808">
        <f>'egresos 25% y F.P'!F39</f>
        <v>100</v>
      </c>
      <c r="L71" s="810">
        <f t="shared" ref="L71:L85" si="29">SUM(H71:K71)</f>
        <v>650</v>
      </c>
      <c r="M71" s="811">
        <v>0</v>
      </c>
      <c r="N71" s="812">
        <v>0</v>
      </c>
      <c r="O71" s="812">
        <v>0</v>
      </c>
      <c r="P71" s="812">
        <v>0</v>
      </c>
      <c r="Q71" s="812">
        <v>0</v>
      </c>
      <c r="R71" s="812">
        <v>0</v>
      </c>
      <c r="S71" s="796">
        <f>M71+N71+O71+P71+R71</f>
        <v>0</v>
      </c>
      <c r="T71" s="813">
        <v>0</v>
      </c>
      <c r="U71" s="814">
        <v>0</v>
      </c>
      <c r="V71" s="812">
        <v>0</v>
      </c>
      <c r="W71" s="815">
        <f t="shared" si="3"/>
        <v>0</v>
      </c>
      <c r="X71" s="811"/>
      <c r="Y71" s="816"/>
      <c r="Z71" s="812"/>
      <c r="AA71" s="801"/>
      <c r="AB71" s="811"/>
      <c r="AC71" s="812"/>
      <c r="AD71" s="802"/>
      <c r="AE71" s="816"/>
      <c r="AF71" s="812"/>
      <c r="AG71" s="802"/>
      <c r="AH71" s="908">
        <f t="shared" si="18"/>
        <v>1027.95</v>
      </c>
      <c r="AI71" s="747"/>
    </row>
    <row r="72" spans="1:35" s="817" customFormat="1" ht="18" customHeight="1" x14ac:dyDescent="0.2">
      <c r="A72" s="555">
        <v>54302</v>
      </c>
      <c r="B72" s="560" t="s">
        <v>56</v>
      </c>
      <c r="C72" s="821">
        <f>'egresos 25% y F.P'!C144</f>
        <v>500</v>
      </c>
      <c r="D72" s="804">
        <v>0</v>
      </c>
      <c r="E72" s="833">
        <v>0</v>
      </c>
      <c r="F72" s="804">
        <f>'egresos 25% y F.P'!F144</f>
        <v>800</v>
      </c>
      <c r="G72" s="834">
        <f t="shared" si="27"/>
        <v>1300</v>
      </c>
      <c r="H72" s="820">
        <f>'egresos 25% y F.P'!C40</f>
        <v>2000</v>
      </c>
      <c r="I72" s="808">
        <f>'egresos 25% y F.P'!D40</f>
        <v>0</v>
      </c>
      <c r="J72" s="808">
        <f>'egresos 25% y F.P'!E40</f>
        <v>0</v>
      </c>
      <c r="K72" s="808">
        <f>'egresos 25% y F.P'!F40</f>
        <v>2500</v>
      </c>
      <c r="L72" s="810">
        <f t="shared" si="29"/>
        <v>4500</v>
      </c>
      <c r="M72" s="811">
        <v>0</v>
      </c>
      <c r="N72" s="812">
        <v>0</v>
      </c>
      <c r="O72" s="812">
        <v>0</v>
      </c>
      <c r="P72" s="812">
        <v>0</v>
      </c>
      <c r="Q72" s="812">
        <v>0</v>
      </c>
      <c r="R72" s="812">
        <v>0</v>
      </c>
      <c r="S72" s="796">
        <f t="shared" ref="S72:S92" si="30">M72+N72+O72+P72+R72</f>
        <v>0</v>
      </c>
      <c r="T72" s="813">
        <v>0</v>
      </c>
      <c r="U72" s="814">
        <v>0</v>
      </c>
      <c r="V72" s="812">
        <v>0</v>
      </c>
      <c r="W72" s="815">
        <f t="shared" si="3"/>
        <v>0</v>
      </c>
      <c r="X72" s="811"/>
      <c r="Y72" s="816"/>
      <c r="Z72" s="812"/>
      <c r="AA72" s="801"/>
      <c r="AB72" s="811"/>
      <c r="AC72" s="812"/>
      <c r="AD72" s="802"/>
      <c r="AE72" s="816"/>
      <c r="AF72" s="812"/>
      <c r="AG72" s="802"/>
      <c r="AH72" s="908">
        <f t="shared" si="18"/>
        <v>5800</v>
      </c>
      <c r="AI72" s="747"/>
    </row>
    <row r="73" spans="1:35" s="817" customFormat="1" ht="18" hidden="1" customHeight="1" x14ac:dyDescent="0.2">
      <c r="A73" s="555">
        <v>54303</v>
      </c>
      <c r="B73" s="560" t="s">
        <v>57</v>
      </c>
      <c r="C73" s="821"/>
      <c r="D73" s="804">
        <v>0</v>
      </c>
      <c r="E73" s="804">
        <v>0</v>
      </c>
      <c r="F73" s="804"/>
      <c r="G73" s="822">
        <f t="shared" si="27"/>
        <v>0</v>
      </c>
      <c r="H73" s="820"/>
      <c r="I73" s="808"/>
      <c r="J73" s="808"/>
      <c r="K73" s="808"/>
      <c r="L73" s="810">
        <f t="shared" si="29"/>
        <v>0</v>
      </c>
      <c r="M73" s="811">
        <v>0</v>
      </c>
      <c r="N73" s="812">
        <v>0</v>
      </c>
      <c r="O73" s="812">
        <v>0</v>
      </c>
      <c r="P73" s="812">
        <v>0</v>
      </c>
      <c r="Q73" s="812">
        <v>0</v>
      </c>
      <c r="R73" s="812">
        <v>0</v>
      </c>
      <c r="S73" s="796">
        <f t="shared" si="30"/>
        <v>0</v>
      </c>
      <c r="T73" s="813">
        <v>0</v>
      </c>
      <c r="U73" s="814">
        <v>0</v>
      </c>
      <c r="V73" s="812">
        <v>0</v>
      </c>
      <c r="W73" s="815">
        <f t="shared" si="3"/>
        <v>0</v>
      </c>
      <c r="X73" s="811"/>
      <c r="Y73" s="816"/>
      <c r="Z73" s="812"/>
      <c r="AA73" s="801"/>
      <c r="AB73" s="811"/>
      <c r="AC73" s="812"/>
      <c r="AD73" s="802"/>
      <c r="AE73" s="816"/>
      <c r="AF73" s="812"/>
      <c r="AG73" s="802"/>
      <c r="AH73" s="908">
        <f t="shared" ref="AH73:AH104" si="31">+L73+S73+G73+AA73+AD73+AG73+T73+W73+X73</f>
        <v>0</v>
      </c>
      <c r="AI73" s="747"/>
    </row>
    <row r="74" spans="1:35" s="817" customFormat="1" ht="18" customHeight="1" x14ac:dyDescent="0.2">
      <c r="A74" s="555">
        <v>54304</v>
      </c>
      <c r="B74" s="560" t="s">
        <v>58</v>
      </c>
      <c r="C74" s="821">
        <f>'egresos 25% y F.P'!C146</f>
        <v>1000</v>
      </c>
      <c r="D74" s="804">
        <v>0</v>
      </c>
      <c r="E74" s="804">
        <v>0</v>
      </c>
      <c r="F74" s="804">
        <v>0</v>
      </c>
      <c r="G74" s="822">
        <f t="shared" si="27"/>
        <v>1000</v>
      </c>
      <c r="H74" s="820">
        <f>'egresos 25% y F.P'!C42</f>
        <v>4000</v>
      </c>
      <c r="I74" s="808">
        <f>'egresos 25% y F.P'!D42</f>
        <v>0</v>
      </c>
      <c r="J74" s="808">
        <f>'egresos 25% y F.P'!E42</f>
        <v>0</v>
      </c>
      <c r="K74" s="808">
        <f>'egresos 25% y F.P'!F42</f>
        <v>0</v>
      </c>
      <c r="L74" s="810">
        <f t="shared" si="29"/>
        <v>4000</v>
      </c>
      <c r="M74" s="811">
        <v>0</v>
      </c>
      <c r="N74" s="812">
        <v>0</v>
      </c>
      <c r="O74" s="812">
        <v>0</v>
      </c>
      <c r="P74" s="812">
        <v>0</v>
      </c>
      <c r="Q74" s="812">
        <v>0</v>
      </c>
      <c r="R74" s="812">
        <v>0</v>
      </c>
      <c r="S74" s="796">
        <f t="shared" si="30"/>
        <v>0</v>
      </c>
      <c r="T74" s="813">
        <v>0</v>
      </c>
      <c r="U74" s="814">
        <v>0</v>
      </c>
      <c r="V74" s="812">
        <v>0</v>
      </c>
      <c r="W74" s="815">
        <f t="shared" ref="W74:W141" si="32">+U74+V74</f>
        <v>0</v>
      </c>
      <c r="X74" s="811"/>
      <c r="Y74" s="816"/>
      <c r="Z74" s="812"/>
      <c r="AA74" s="801"/>
      <c r="AB74" s="811"/>
      <c r="AC74" s="812"/>
      <c r="AD74" s="802"/>
      <c r="AE74" s="816"/>
      <c r="AF74" s="812"/>
      <c r="AG74" s="802"/>
      <c r="AH74" s="908">
        <f t="shared" si="31"/>
        <v>5000</v>
      </c>
      <c r="AI74" s="747"/>
    </row>
    <row r="75" spans="1:35" s="817" customFormat="1" ht="18" customHeight="1" x14ac:dyDescent="0.2">
      <c r="A75" s="555">
        <v>54305</v>
      </c>
      <c r="B75" s="560" t="s">
        <v>59</v>
      </c>
      <c r="C75" s="821">
        <f>'egresos 25% y F.P'!C147</f>
        <v>100</v>
      </c>
      <c r="D75" s="805">
        <f>'egresos 25% y F.P'!D147</f>
        <v>0</v>
      </c>
      <c r="E75" s="804">
        <v>0</v>
      </c>
      <c r="F75" s="804">
        <v>0</v>
      </c>
      <c r="G75" s="822">
        <f t="shared" si="27"/>
        <v>100</v>
      </c>
      <c r="H75" s="820">
        <f>'egresos 25% y F.P'!C43</f>
        <v>100</v>
      </c>
      <c r="I75" s="808">
        <f>'egresos 25% y F.P'!D43</f>
        <v>0</v>
      </c>
      <c r="J75" s="808">
        <f>'egresos 25% y F.P'!E43</f>
        <v>0</v>
      </c>
      <c r="K75" s="808">
        <f>'egresos 25% y F.P'!F43</f>
        <v>0</v>
      </c>
      <c r="L75" s="810">
        <f t="shared" si="29"/>
        <v>100</v>
      </c>
      <c r="M75" s="811">
        <v>0</v>
      </c>
      <c r="N75" s="812">
        <v>0</v>
      </c>
      <c r="O75" s="812">
        <v>0</v>
      </c>
      <c r="P75" s="812">
        <v>0</v>
      </c>
      <c r="Q75" s="812">
        <v>0</v>
      </c>
      <c r="R75" s="812">
        <v>0</v>
      </c>
      <c r="S75" s="796">
        <f t="shared" si="30"/>
        <v>0</v>
      </c>
      <c r="T75" s="813">
        <v>0</v>
      </c>
      <c r="U75" s="814">
        <v>0</v>
      </c>
      <c r="V75" s="812">
        <v>0</v>
      </c>
      <c r="W75" s="815">
        <f t="shared" si="32"/>
        <v>0</v>
      </c>
      <c r="X75" s="811"/>
      <c r="Y75" s="816"/>
      <c r="Z75" s="812"/>
      <c r="AA75" s="801"/>
      <c r="AB75" s="811"/>
      <c r="AC75" s="812"/>
      <c r="AD75" s="802"/>
      <c r="AE75" s="816"/>
      <c r="AF75" s="812"/>
      <c r="AG75" s="802"/>
      <c r="AH75" s="908">
        <f t="shared" si="31"/>
        <v>200</v>
      </c>
      <c r="AI75" s="747"/>
    </row>
    <row r="76" spans="1:35" s="817" customFormat="1" ht="18" hidden="1" customHeight="1" x14ac:dyDescent="0.2">
      <c r="A76" s="555">
        <v>54306</v>
      </c>
      <c r="B76" s="560" t="s">
        <v>60</v>
      </c>
      <c r="C76" s="821">
        <f>'egresos 25% y F.P'!C148</f>
        <v>0</v>
      </c>
      <c r="D76" s="804"/>
      <c r="E76" s="804"/>
      <c r="F76" s="804"/>
      <c r="G76" s="822">
        <f t="shared" si="27"/>
        <v>0</v>
      </c>
      <c r="H76" s="820">
        <f>'egresos 25% y F.P'!C44</f>
        <v>0</v>
      </c>
      <c r="I76" s="808">
        <f>'egresos 25% y F.P'!D44</f>
        <v>0</v>
      </c>
      <c r="J76" s="808">
        <f>'egresos 25% y F.P'!E44</f>
        <v>0</v>
      </c>
      <c r="K76" s="808">
        <f>'egresos 25% y F.P'!F44</f>
        <v>0</v>
      </c>
      <c r="L76" s="810">
        <f t="shared" si="29"/>
        <v>0</v>
      </c>
      <c r="M76" s="811">
        <v>0</v>
      </c>
      <c r="N76" s="812">
        <v>0</v>
      </c>
      <c r="O76" s="812">
        <v>0</v>
      </c>
      <c r="P76" s="812">
        <v>0</v>
      </c>
      <c r="Q76" s="812">
        <v>0</v>
      </c>
      <c r="R76" s="812">
        <v>0</v>
      </c>
      <c r="S76" s="796">
        <f t="shared" si="30"/>
        <v>0</v>
      </c>
      <c r="T76" s="813">
        <v>0</v>
      </c>
      <c r="U76" s="814">
        <v>0</v>
      </c>
      <c r="V76" s="812">
        <v>0</v>
      </c>
      <c r="W76" s="815">
        <f t="shared" si="32"/>
        <v>0</v>
      </c>
      <c r="X76" s="811"/>
      <c r="Y76" s="816"/>
      <c r="Z76" s="812"/>
      <c r="AA76" s="801"/>
      <c r="AB76" s="811"/>
      <c r="AC76" s="812"/>
      <c r="AD76" s="802"/>
      <c r="AE76" s="816"/>
      <c r="AF76" s="812"/>
      <c r="AG76" s="802"/>
      <c r="AH76" s="908">
        <f t="shared" si="31"/>
        <v>0</v>
      </c>
      <c r="AI76" s="747"/>
    </row>
    <row r="77" spans="1:35" s="817" customFormat="1" ht="18" customHeight="1" x14ac:dyDescent="0.2">
      <c r="A77" s="555">
        <v>54307</v>
      </c>
      <c r="B77" s="560" t="s">
        <v>61</v>
      </c>
      <c r="C77" s="821">
        <f>'egresos 25% y F.P'!C149</f>
        <v>0</v>
      </c>
      <c r="D77" s="804">
        <v>0</v>
      </c>
      <c r="E77" s="804">
        <v>0</v>
      </c>
      <c r="F77" s="804">
        <v>0</v>
      </c>
      <c r="G77" s="822">
        <f t="shared" si="27"/>
        <v>0</v>
      </c>
      <c r="H77" s="820">
        <f>'egresos 25% y F.P'!C45</f>
        <v>1500</v>
      </c>
      <c r="I77" s="808">
        <f>'egresos 25% y F.P'!D45</f>
        <v>0</v>
      </c>
      <c r="J77" s="808">
        <f>'egresos 25% y F.P'!E45</f>
        <v>0</v>
      </c>
      <c r="K77" s="808">
        <f>'egresos 25% y F.P'!F45</f>
        <v>0</v>
      </c>
      <c r="L77" s="810">
        <f t="shared" si="29"/>
        <v>1500</v>
      </c>
      <c r="M77" s="811">
        <v>0</v>
      </c>
      <c r="N77" s="812">
        <v>0</v>
      </c>
      <c r="O77" s="812">
        <v>0</v>
      </c>
      <c r="P77" s="812">
        <v>0</v>
      </c>
      <c r="Q77" s="812">
        <v>0</v>
      </c>
      <c r="R77" s="812">
        <v>0</v>
      </c>
      <c r="S77" s="796">
        <f t="shared" si="30"/>
        <v>0</v>
      </c>
      <c r="T77" s="813">
        <v>0</v>
      </c>
      <c r="U77" s="814">
        <v>0</v>
      </c>
      <c r="V77" s="812">
        <v>0</v>
      </c>
      <c r="W77" s="815">
        <f t="shared" si="32"/>
        <v>0</v>
      </c>
      <c r="X77" s="811"/>
      <c r="Y77" s="816"/>
      <c r="Z77" s="812"/>
      <c r="AA77" s="801"/>
      <c r="AB77" s="811"/>
      <c r="AC77" s="812"/>
      <c r="AD77" s="802"/>
      <c r="AE77" s="816"/>
      <c r="AF77" s="812"/>
      <c r="AG77" s="802"/>
      <c r="AH77" s="908">
        <f t="shared" si="31"/>
        <v>1500</v>
      </c>
      <c r="AI77" s="747"/>
    </row>
    <row r="78" spans="1:35" s="817" customFormat="1" ht="18" hidden="1" customHeight="1" x14ac:dyDescent="0.2">
      <c r="A78" s="555">
        <v>54309</v>
      </c>
      <c r="B78" s="560" t="s">
        <v>62</v>
      </c>
      <c r="C78" s="821">
        <f>'egresos 25% y F.P'!C150</f>
        <v>0</v>
      </c>
      <c r="D78" s="804">
        <v>0</v>
      </c>
      <c r="E78" s="804">
        <v>0</v>
      </c>
      <c r="F78" s="804">
        <v>0</v>
      </c>
      <c r="G78" s="822">
        <f t="shared" si="27"/>
        <v>0</v>
      </c>
      <c r="H78" s="820">
        <f>'egresos 25% y F.P'!C46</f>
        <v>0</v>
      </c>
      <c r="I78" s="808">
        <f>'egresos 25% y F.P'!D46</f>
        <v>0</v>
      </c>
      <c r="J78" s="808">
        <f>'egresos 25% y F.P'!E46</f>
        <v>0</v>
      </c>
      <c r="K78" s="808">
        <f>'egresos 25% y F.P'!F46</f>
        <v>0</v>
      </c>
      <c r="L78" s="810">
        <f t="shared" si="29"/>
        <v>0</v>
      </c>
      <c r="M78" s="811">
        <v>0</v>
      </c>
      <c r="N78" s="812">
        <v>0</v>
      </c>
      <c r="O78" s="812">
        <v>0</v>
      </c>
      <c r="P78" s="812">
        <v>0</v>
      </c>
      <c r="Q78" s="812">
        <v>0</v>
      </c>
      <c r="R78" s="812">
        <v>0</v>
      </c>
      <c r="S78" s="796">
        <f t="shared" si="30"/>
        <v>0</v>
      </c>
      <c r="T78" s="813">
        <v>0</v>
      </c>
      <c r="U78" s="814">
        <v>0</v>
      </c>
      <c r="V78" s="812">
        <v>0</v>
      </c>
      <c r="W78" s="815">
        <f t="shared" si="32"/>
        <v>0</v>
      </c>
      <c r="X78" s="811"/>
      <c r="Y78" s="816"/>
      <c r="Z78" s="812"/>
      <c r="AA78" s="801"/>
      <c r="AB78" s="811"/>
      <c r="AC78" s="812"/>
      <c r="AD78" s="802"/>
      <c r="AE78" s="816"/>
      <c r="AF78" s="812"/>
      <c r="AG78" s="802"/>
      <c r="AH78" s="908">
        <f t="shared" si="31"/>
        <v>0</v>
      </c>
      <c r="AI78" s="747"/>
    </row>
    <row r="79" spans="1:35" s="817" customFormat="1" ht="18" customHeight="1" x14ac:dyDescent="0.2">
      <c r="A79" s="555">
        <v>54310</v>
      </c>
      <c r="B79" s="560" t="s">
        <v>63</v>
      </c>
      <c r="C79" s="821">
        <f>'egresos 25% y F.P'!C151</f>
        <v>0</v>
      </c>
      <c r="D79" s="804">
        <v>0</v>
      </c>
      <c r="E79" s="804">
        <v>0</v>
      </c>
      <c r="F79" s="804">
        <v>0</v>
      </c>
      <c r="G79" s="822">
        <f t="shared" si="27"/>
        <v>0</v>
      </c>
      <c r="H79" s="820">
        <f>'egresos 25% y F.P'!C47</f>
        <v>0</v>
      </c>
      <c r="I79" s="808">
        <f>'egresos 25% y F.P'!D47</f>
        <v>0</v>
      </c>
      <c r="J79" s="808">
        <f>'egresos 25% y F.P'!E47</f>
        <v>0</v>
      </c>
      <c r="K79" s="808">
        <f>'egresos 25% y F.P'!F47</f>
        <v>0</v>
      </c>
      <c r="L79" s="810">
        <f t="shared" si="29"/>
        <v>0</v>
      </c>
      <c r="M79" s="811">
        <v>0</v>
      </c>
      <c r="N79" s="812">
        <v>0</v>
      </c>
      <c r="O79" s="812">
        <v>0</v>
      </c>
      <c r="P79" s="812">
        <v>0</v>
      </c>
      <c r="Q79" s="812">
        <v>0</v>
      </c>
      <c r="R79" s="812">
        <v>0</v>
      </c>
      <c r="S79" s="796">
        <f t="shared" si="30"/>
        <v>0</v>
      </c>
      <c r="T79" s="813">
        <v>0</v>
      </c>
      <c r="U79" s="814">
        <v>0</v>
      </c>
      <c r="V79" s="812">
        <v>0</v>
      </c>
      <c r="W79" s="815">
        <f t="shared" si="32"/>
        <v>0</v>
      </c>
      <c r="X79" s="811"/>
      <c r="Y79" s="816"/>
      <c r="Z79" s="812"/>
      <c r="AA79" s="801"/>
      <c r="AB79" s="811"/>
      <c r="AC79" s="812"/>
      <c r="AD79" s="802"/>
      <c r="AE79" s="816"/>
      <c r="AF79" s="812"/>
      <c r="AG79" s="802"/>
      <c r="AH79" s="908">
        <f t="shared" si="31"/>
        <v>0</v>
      </c>
      <c r="AI79" s="747"/>
    </row>
    <row r="80" spans="1:35" s="817" customFormat="1" ht="18" hidden="1" customHeight="1" x14ac:dyDescent="0.2">
      <c r="A80" s="555">
        <v>54311</v>
      </c>
      <c r="B80" s="560" t="s">
        <v>64</v>
      </c>
      <c r="C80" s="821">
        <f>'egresos 25% y F.P'!C152</f>
        <v>0</v>
      </c>
      <c r="D80" s="804">
        <v>0</v>
      </c>
      <c r="E80" s="804">
        <v>0</v>
      </c>
      <c r="F80" s="804">
        <v>0</v>
      </c>
      <c r="G80" s="822">
        <f t="shared" si="27"/>
        <v>0</v>
      </c>
      <c r="H80" s="820">
        <f>'egresos 25% y F.P'!C48</f>
        <v>0</v>
      </c>
      <c r="I80" s="808">
        <f>'egresos 25% y F.P'!D48</f>
        <v>0</v>
      </c>
      <c r="J80" s="808">
        <f>'egresos 25% y F.P'!E48</f>
        <v>0</v>
      </c>
      <c r="K80" s="808">
        <f>'egresos 25% y F.P'!F48</f>
        <v>0</v>
      </c>
      <c r="L80" s="810">
        <f t="shared" si="29"/>
        <v>0</v>
      </c>
      <c r="M80" s="811">
        <v>0</v>
      </c>
      <c r="N80" s="812">
        <v>0</v>
      </c>
      <c r="O80" s="812">
        <v>0</v>
      </c>
      <c r="P80" s="812">
        <v>0</v>
      </c>
      <c r="Q80" s="812">
        <v>0</v>
      </c>
      <c r="R80" s="812">
        <v>0</v>
      </c>
      <c r="S80" s="796">
        <f t="shared" si="30"/>
        <v>0</v>
      </c>
      <c r="T80" s="813">
        <v>0</v>
      </c>
      <c r="U80" s="814">
        <v>0</v>
      </c>
      <c r="V80" s="812">
        <v>0</v>
      </c>
      <c r="W80" s="815">
        <f t="shared" si="32"/>
        <v>0</v>
      </c>
      <c r="X80" s="811"/>
      <c r="Y80" s="816"/>
      <c r="Z80" s="812"/>
      <c r="AA80" s="801"/>
      <c r="AB80" s="811"/>
      <c r="AC80" s="812"/>
      <c r="AD80" s="802"/>
      <c r="AE80" s="816"/>
      <c r="AF80" s="812"/>
      <c r="AG80" s="802"/>
      <c r="AH80" s="908">
        <f t="shared" si="31"/>
        <v>0</v>
      </c>
      <c r="AI80" s="747"/>
    </row>
    <row r="81" spans="1:35" s="817" customFormat="1" ht="18" hidden="1" customHeight="1" x14ac:dyDescent="0.2">
      <c r="A81" s="555">
        <v>54313</v>
      </c>
      <c r="B81" s="560" t="s">
        <v>65</v>
      </c>
      <c r="C81" s="821">
        <f>'egresos 25% y F.P'!C153</f>
        <v>0</v>
      </c>
      <c r="D81" s="804">
        <v>0</v>
      </c>
      <c r="E81" s="804">
        <v>0</v>
      </c>
      <c r="F81" s="804">
        <v>0</v>
      </c>
      <c r="G81" s="822">
        <f t="shared" si="27"/>
        <v>0</v>
      </c>
      <c r="H81" s="820">
        <f>'egresos 25% y F.P'!C49</f>
        <v>0</v>
      </c>
      <c r="I81" s="808">
        <f>'egresos 25% y F.P'!D49</f>
        <v>0</v>
      </c>
      <c r="J81" s="808">
        <f>'egresos 25% y F.P'!E49</f>
        <v>0</v>
      </c>
      <c r="K81" s="808">
        <f>'egresos 25% y F.P'!F49</f>
        <v>0</v>
      </c>
      <c r="L81" s="810">
        <f t="shared" si="29"/>
        <v>0</v>
      </c>
      <c r="M81" s="811">
        <v>0</v>
      </c>
      <c r="N81" s="812">
        <v>0</v>
      </c>
      <c r="O81" s="812">
        <v>0</v>
      </c>
      <c r="P81" s="812">
        <v>0</v>
      </c>
      <c r="Q81" s="812">
        <v>0</v>
      </c>
      <c r="R81" s="812">
        <v>0</v>
      </c>
      <c r="S81" s="796">
        <f t="shared" si="30"/>
        <v>0</v>
      </c>
      <c r="T81" s="813">
        <v>0</v>
      </c>
      <c r="U81" s="814">
        <v>0</v>
      </c>
      <c r="V81" s="812">
        <v>0</v>
      </c>
      <c r="W81" s="815">
        <f t="shared" si="32"/>
        <v>0</v>
      </c>
      <c r="X81" s="811"/>
      <c r="Y81" s="816"/>
      <c r="Z81" s="812"/>
      <c r="AA81" s="801"/>
      <c r="AB81" s="811"/>
      <c r="AC81" s="812"/>
      <c r="AD81" s="802"/>
      <c r="AE81" s="816"/>
      <c r="AF81" s="812"/>
      <c r="AG81" s="802"/>
      <c r="AH81" s="908">
        <f t="shared" si="31"/>
        <v>0</v>
      </c>
      <c r="AI81" s="747"/>
    </row>
    <row r="82" spans="1:35" s="817" customFormat="1" ht="18" customHeight="1" x14ac:dyDescent="0.2">
      <c r="A82" s="555">
        <v>54314</v>
      </c>
      <c r="B82" s="560" t="s">
        <v>66</v>
      </c>
      <c r="C82" s="821">
        <f>'egresos 25% y F.P'!C155</f>
        <v>2000</v>
      </c>
      <c r="D82" s="804">
        <v>0</v>
      </c>
      <c r="E82" s="804">
        <v>0</v>
      </c>
      <c r="F82" s="804">
        <v>0</v>
      </c>
      <c r="G82" s="822">
        <f t="shared" si="27"/>
        <v>2000</v>
      </c>
      <c r="H82" s="820">
        <f>'egresos 25% y F.P'!C50</f>
        <v>6000</v>
      </c>
      <c r="I82" s="808">
        <f>'egresos 25% y F.P'!D50</f>
        <v>0</v>
      </c>
      <c r="J82" s="808">
        <f>'egresos 25% y F.P'!E50</f>
        <v>0</v>
      </c>
      <c r="K82" s="808">
        <f>'egresos 25% y F.P'!F50</f>
        <v>0</v>
      </c>
      <c r="L82" s="810">
        <f t="shared" si="29"/>
        <v>6000</v>
      </c>
      <c r="M82" s="811">
        <v>0</v>
      </c>
      <c r="N82" s="812">
        <v>0</v>
      </c>
      <c r="O82" s="812">
        <v>0</v>
      </c>
      <c r="P82" s="812">
        <v>0</v>
      </c>
      <c r="Q82" s="812">
        <v>0</v>
      </c>
      <c r="R82" s="812">
        <v>0</v>
      </c>
      <c r="S82" s="796">
        <f t="shared" si="30"/>
        <v>0</v>
      </c>
      <c r="T82" s="813">
        <v>0</v>
      </c>
      <c r="U82" s="814">
        <v>0</v>
      </c>
      <c r="V82" s="812">
        <v>0</v>
      </c>
      <c r="W82" s="815">
        <f t="shared" si="32"/>
        <v>0</v>
      </c>
      <c r="X82" s="811"/>
      <c r="Y82" s="816"/>
      <c r="Z82" s="812"/>
      <c r="AA82" s="801"/>
      <c r="AB82" s="811"/>
      <c r="AC82" s="812"/>
      <c r="AD82" s="802"/>
      <c r="AE82" s="816"/>
      <c r="AF82" s="812"/>
      <c r="AG82" s="802"/>
      <c r="AH82" s="908">
        <f t="shared" si="31"/>
        <v>8000</v>
      </c>
      <c r="AI82" s="747"/>
    </row>
    <row r="83" spans="1:35" s="817" customFormat="1" ht="18" hidden="1" customHeight="1" x14ac:dyDescent="0.2">
      <c r="A83" s="555">
        <v>54316</v>
      </c>
      <c r="B83" s="560" t="s">
        <v>67</v>
      </c>
      <c r="C83" s="821"/>
      <c r="D83" s="804"/>
      <c r="E83" s="804"/>
      <c r="F83" s="833"/>
      <c r="G83" s="834">
        <f t="shared" si="27"/>
        <v>0</v>
      </c>
      <c r="H83" s="820">
        <f>'egresos 25% y F.P'!C51</f>
        <v>0</v>
      </c>
      <c r="I83" s="808">
        <f>'egresos 25% y F.P'!D51</f>
        <v>0</v>
      </c>
      <c r="J83" s="808">
        <f>'egresos 25% y F.P'!E51</f>
        <v>0</v>
      </c>
      <c r="K83" s="808">
        <f>'egresos 25% y F.P'!F51</f>
        <v>0</v>
      </c>
      <c r="L83" s="810">
        <f t="shared" si="29"/>
        <v>0</v>
      </c>
      <c r="M83" s="811">
        <v>0</v>
      </c>
      <c r="N83" s="812">
        <v>0</v>
      </c>
      <c r="O83" s="812">
        <v>0</v>
      </c>
      <c r="P83" s="812">
        <v>0</v>
      </c>
      <c r="Q83" s="812">
        <v>0</v>
      </c>
      <c r="R83" s="812">
        <v>0</v>
      </c>
      <c r="S83" s="796">
        <f t="shared" si="30"/>
        <v>0</v>
      </c>
      <c r="T83" s="813">
        <v>0</v>
      </c>
      <c r="U83" s="814">
        <v>0</v>
      </c>
      <c r="V83" s="812">
        <v>0</v>
      </c>
      <c r="W83" s="815">
        <f t="shared" si="32"/>
        <v>0</v>
      </c>
      <c r="X83" s="811"/>
      <c r="Y83" s="816"/>
      <c r="Z83" s="812"/>
      <c r="AA83" s="801"/>
      <c r="AB83" s="811"/>
      <c r="AC83" s="812"/>
      <c r="AD83" s="802"/>
      <c r="AE83" s="816"/>
      <c r="AF83" s="812"/>
      <c r="AG83" s="802"/>
      <c r="AH83" s="908">
        <f t="shared" si="31"/>
        <v>0</v>
      </c>
      <c r="AI83" s="747"/>
    </row>
    <row r="84" spans="1:35" s="817" customFormat="1" ht="18" customHeight="1" x14ac:dyDescent="0.2">
      <c r="A84" s="555">
        <v>54317</v>
      </c>
      <c r="B84" s="560" t="s">
        <v>68</v>
      </c>
      <c r="C84" s="821">
        <f>'egresos 25% y F.P'!C156</f>
        <v>0</v>
      </c>
      <c r="D84" s="804">
        <v>0</v>
      </c>
      <c r="E84" s="804">
        <v>0</v>
      </c>
      <c r="F84" s="833">
        <f>'egresos 25% y F.P'!F157</f>
        <v>2400</v>
      </c>
      <c r="G84" s="806">
        <f t="shared" si="27"/>
        <v>2400</v>
      </c>
      <c r="H84" s="820">
        <f>'egresos 25% y F.P'!C52</f>
        <v>0</v>
      </c>
      <c r="I84" s="808">
        <f>'egresos 25% y F.P'!D52</f>
        <v>0</v>
      </c>
      <c r="J84" s="808">
        <f>'egresos 25% y F.P'!E52</f>
        <v>0</v>
      </c>
      <c r="K84" s="808">
        <f>'egresos 25% y F.P'!F52</f>
        <v>2400</v>
      </c>
      <c r="L84" s="810">
        <f t="shared" si="29"/>
        <v>2400</v>
      </c>
      <c r="M84" s="811">
        <v>0</v>
      </c>
      <c r="N84" s="812">
        <v>0</v>
      </c>
      <c r="O84" s="812">
        <v>0</v>
      </c>
      <c r="P84" s="812">
        <v>0</v>
      </c>
      <c r="Q84" s="812">
        <v>0</v>
      </c>
      <c r="R84" s="812">
        <v>0</v>
      </c>
      <c r="S84" s="796">
        <f t="shared" si="30"/>
        <v>0</v>
      </c>
      <c r="T84" s="813">
        <v>0</v>
      </c>
      <c r="U84" s="814">
        <v>0</v>
      </c>
      <c r="V84" s="812">
        <v>0</v>
      </c>
      <c r="W84" s="815">
        <f t="shared" si="32"/>
        <v>0</v>
      </c>
      <c r="X84" s="811"/>
      <c r="Y84" s="816"/>
      <c r="Z84" s="812"/>
      <c r="AA84" s="801"/>
      <c r="AB84" s="811"/>
      <c r="AC84" s="812"/>
      <c r="AD84" s="802"/>
      <c r="AE84" s="816"/>
      <c r="AF84" s="812"/>
      <c r="AG84" s="802"/>
      <c r="AH84" s="908">
        <f t="shared" si="31"/>
        <v>4800</v>
      </c>
      <c r="AI84" s="747"/>
    </row>
    <row r="85" spans="1:35" s="817" customFormat="1" ht="18" customHeight="1" x14ac:dyDescent="0.2">
      <c r="A85" s="555">
        <v>54399</v>
      </c>
      <c r="B85" s="560" t="s">
        <v>69</v>
      </c>
      <c r="C85" s="821">
        <f>'egresos 25% y F.P'!C158</f>
        <v>500</v>
      </c>
      <c r="D85" s="804">
        <v>0</v>
      </c>
      <c r="E85" s="804">
        <v>0</v>
      </c>
      <c r="F85" s="833">
        <f>+'egresos 25% y F.P'!F158</f>
        <v>150</v>
      </c>
      <c r="G85" s="806">
        <f t="shared" si="27"/>
        <v>650</v>
      </c>
      <c r="H85" s="820">
        <f>'egresos 25% y F.P'!C53</f>
        <v>2000</v>
      </c>
      <c r="I85" s="808">
        <f>'egresos 25% y F.P'!D53</f>
        <v>0</v>
      </c>
      <c r="J85" s="808">
        <f>'egresos 25% y F.P'!E53</f>
        <v>0</v>
      </c>
      <c r="K85" s="808">
        <f>'egresos 25% y F.P'!F53</f>
        <v>375</v>
      </c>
      <c r="L85" s="810">
        <f t="shared" si="29"/>
        <v>2375</v>
      </c>
      <c r="M85" s="811">
        <v>0</v>
      </c>
      <c r="N85" s="812">
        <v>0</v>
      </c>
      <c r="O85" s="812">
        <v>0</v>
      </c>
      <c r="P85" s="812">
        <v>0</v>
      </c>
      <c r="Q85" s="812">
        <v>0</v>
      </c>
      <c r="R85" s="812">
        <v>0</v>
      </c>
      <c r="S85" s="796">
        <f t="shared" si="30"/>
        <v>0</v>
      </c>
      <c r="T85" s="813">
        <v>0</v>
      </c>
      <c r="U85" s="814">
        <v>0</v>
      </c>
      <c r="V85" s="812">
        <v>0</v>
      </c>
      <c r="W85" s="815">
        <f t="shared" si="32"/>
        <v>0</v>
      </c>
      <c r="X85" s="811"/>
      <c r="Y85" s="816"/>
      <c r="Z85" s="812"/>
      <c r="AA85" s="801"/>
      <c r="AB85" s="811"/>
      <c r="AC85" s="812"/>
      <c r="AD85" s="802"/>
      <c r="AE85" s="816"/>
      <c r="AF85" s="812"/>
      <c r="AG85" s="802"/>
      <c r="AH85" s="908">
        <f t="shared" si="31"/>
        <v>3025</v>
      </c>
      <c r="AI85" s="747"/>
    </row>
    <row r="86" spans="1:35" s="817" customFormat="1" ht="18" customHeight="1" x14ac:dyDescent="0.2">
      <c r="A86" s="551">
        <v>544</v>
      </c>
      <c r="B86" s="561" t="s">
        <v>70</v>
      </c>
      <c r="C86" s="787">
        <f>SUM(C87:C90)</f>
        <v>150</v>
      </c>
      <c r="D86" s="788">
        <f>SUM(D87:D90)</f>
        <v>0</v>
      </c>
      <c r="E86" s="788">
        <f>SUM(E87:E90)</f>
        <v>50</v>
      </c>
      <c r="F86" s="835">
        <f>SUM(F87:F90)</f>
        <v>80</v>
      </c>
      <c r="G86" s="789">
        <f>SUM(C86:F86)</f>
        <v>280</v>
      </c>
      <c r="H86" s="819">
        <f>SUM(H87:H90)</f>
        <v>250</v>
      </c>
      <c r="I86" s="791">
        <f>SUM(I87:I89)</f>
        <v>70</v>
      </c>
      <c r="J86" s="791">
        <f>SUM(J87:J89)</f>
        <v>150</v>
      </c>
      <c r="K86" s="791">
        <f>SUM(K87:K89)</f>
        <v>150</v>
      </c>
      <c r="L86" s="793">
        <f>SUM(H86:K86)</f>
        <v>620</v>
      </c>
      <c r="M86" s="811">
        <v>0</v>
      </c>
      <c r="N86" s="812">
        <v>0</v>
      </c>
      <c r="O86" s="812">
        <v>0</v>
      </c>
      <c r="P86" s="812">
        <v>0</v>
      </c>
      <c r="Q86" s="812">
        <v>0</v>
      </c>
      <c r="R86" s="812">
        <v>0</v>
      </c>
      <c r="S86" s="825">
        <f t="shared" si="30"/>
        <v>0</v>
      </c>
      <c r="T86" s="813">
        <v>0</v>
      </c>
      <c r="U86" s="814">
        <v>0</v>
      </c>
      <c r="V86" s="812">
        <v>0</v>
      </c>
      <c r="W86" s="799">
        <f t="shared" si="32"/>
        <v>0</v>
      </c>
      <c r="X86" s="811"/>
      <c r="Y86" s="816"/>
      <c r="Z86" s="812"/>
      <c r="AA86" s="801"/>
      <c r="AB86" s="811"/>
      <c r="AC86" s="812"/>
      <c r="AD86" s="802"/>
      <c r="AE86" s="816"/>
      <c r="AF86" s="812"/>
      <c r="AG86" s="802"/>
      <c r="AH86" s="847">
        <f t="shared" si="31"/>
        <v>900</v>
      </c>
      <c r="AI86" s="747"/>
    </row>
    <row r="87" spans="1:35" s="817" customFormat="1" ht="18" customHeight="1" x14ac:dyDescent="0.2">
      <c r="A87" s="555">
        <v>54401</v>
      </c>
      <c r="B87" s="560" t="s">
        <v>71</v>
      </c>
      <c r="C87" s="821">
        <f>'egresos 25% y F.P'!C160</f>
        <v>50</v>
      </c>
      <c r="D87" s="804">
        <f>'egresos 25% y F.P'!D160</f>
        <v>0</v>
      </c>
      <c r="E87" s="804">
        <f>'egresos 25% y F.P'!E160</f>
        <v>30</v>
      </c>
      <c r="F87" s="804">
        <f>'egresos 25% y F.P'!F160</f>
        <v>30</v>
      </c>
      <c r="G87" s="822">
        <f t="shared" si="27"/>
        <v>110</v>
      </c>
      <c r="H87" s="820">
        <f>'egresos 25% y F.P'!C55</f>
        <v>100</v>
      </c>
      <c r="I87" s="808">
        <f>'egresos 25% y F.P'!D55</f>
        <v>20</v>
      </c>
      <c r="J87" s="808">
        <f>'egresos 25% y F.P'!E55</f>
        <v>50</v>
      </c>
      <c r="K87" s="808">
        <f>'egresos 25% y F.P'!F55</f>
        <v>50</v>
      </c>
      <c r="L87" s="810">
        <f>SUM(H87:K87)</f>
        <v>220</v>
      </c>
      <c r="M87" s="811">
        <v>0</v>
      </c>
      <c r="N87" s="812">
        <v>0</v>
      </c>
      <c r="O87" s="812">
        <v>0</v>
      </c>
      <c r="P87" s="812">
        <v>0</v>
      </c>
      <c r="Q87" s="812">
        <v>0</v>
      </c>
      <c r="R87" s="812">
        <v>0</v>
      </c>
      <c r="S87" s="796">
        <f t="shared" si="30"/>
        <v>0</v>
      </c>
      <c r="T87" s="813">
        <v>0</v>
      </c>
      <c r="U87" s="814">
        <v>0</v>
      </c>
      <c r="V87" s="812">
        <v>0</v>
      </c>
      <c r="W87" s="815">
        <f t="shared" si="32"/>
        <v>0</v>
      </c>
      <c r="X87" s="811"/>
      <c r="Y87" s="816"/>
      <c r="Z87" s="812"/>
      <c r="AA87" s="801"/>
      <c r="AB87" s="811"/>
      <c r="AC87" s="812"/>
      <c r="AD87" s="802"/>
      <c r="AE87" s="816"/>
      <c r="AF87" s="812"/>
      <c r="AG87" s="802"/>
      <c r="AH87" s="908">
        <f t="shared" si="31"/>
        <v>330</v>
      </c>
      <c r="AI87" s="747"/>
    </row>
    <row r="88" spans="1:35" s="817" customFormat="1" ht="18" hidden="1" customHeight="1" x14ac:dyDescent="0.2">
      <c r="A88" s="555">
        <v>54402</v>
      </c>
      <c r="B88" s="560" t="s">
        <v>72</v>
      </c>
      <c r="C88" s="821"/>
      <c r="D88" s="804"/>
      <c r="E88" s="833"/>
      <c r="F88" s="833"/>
      <c r="G88" s="806">
        <f t="shared" si="27"/>
        <v>0</v>
      </c>
      <c r="H88" s="820"/>
      <c r="I88" s="808"/>
      <c r="J88" s="808"/>
      <c r="K88" s="808"/>
      <c r="L88" s="810">
        <f>SUM(H88:J88)</f>
        <v>0</v>
      </c>
      <c r="M88" s="811">
        <v>0</v>
      </c>
      <c r="N88" s="812">
        <v>0</v>
      </c>
      <c r="O88" s="812">
        <v>0</v>
      </c>
      <c r="P88" s="812">
        <v>0</v>
      </c>
      <c r="Q88" s="812">
        <v>0</v>
      </c>
      <c r="R88" s="812">
        <v>0</v>
      </c>
      <c r="S88" s="796">
        <f t="shared" si="30"/>
        <v>0</v>
      </c>
      <c r="T88" s="813">
        <v>0</v>
      </c>
      <c r="U88" s="814">
        <v>0</v>
      </c>
      <c r="V88" s="812">
        <v>0</v>
      </c>
      <c r="W88" s="815">
        <f t="shared" si="32"/>
        <v>0</v>
      </c>
      <c r="X88" s="811"/>
      <c r="Y88" s="816"/>
      <c r="Z88" s="812"/>
      <c r="AA88" s="801"/>
      <c r="AB88" s="811"/>
      <c r="AC88" s="812"/>
      <c r="AD88" s="802"/>
      <c r="AE88" s="816"/>
      <c r="AF88" s="812"/>
      <c r="AG88" s="802"/>
      <c r="AH88" s="908">
        <f t="shared" si="31"/>
        <v>0</v>
      </c>
      <c r="AI88" s="747"/>
    </row>
    <row r="89" spans="1:35" s="817" customFormat="1" ht="18" customHeight="1" x14ac:dyDescent="0.2">
      <c r="A89" s="555">
        <v>54403</v>
      </c>
      <c r="B89" s="560" t="s">
        <v>73</v>
      </c>
      <c r="C89" s="821">
        <f>'egresos 25% y F.P'!C162</f>
        <v>100</v>
      </c>
      <c r="D89" s="804">
        <f>'egresos 25% y F.P'!D162</f>
        <v>0</v>
      </c>
      <c r="E89" s="833">
        <f>'egresos 25% y F.P'!E162</f>
        <v>20</v>
      </c>
      <c r="F89" s="833">
        <f>'egresos 25% y F.P'!F162</f>
        <v>50</v>
      </c>
      <c r="G89" s="806">
        <f>SUM(C89:F89)</f>
        <v>170</v>
      </c>
      <c r="H89" s="820">
        <f>'egresos 25% y F.P'!C57</f>
        <v>150</v>
      </c>
      <c r="I89" s="808">
        <f>'egresos 25% y F.P'!D57</f>
        <v>50</v>
      </c>
      <c r="J89" s="808">
        <f>'egresos 25% y F.P'!E57</f>
        <v>100</v>
      </c>
      <c r="K89" s="808">
        <f>'egresos 25% y F.P'!F57</f>
        <v>100</v>
      </c>
      <c r="L89" s="810">
        <f>SUM(H89:K89)</f>
        <v>400</v>
      </c>
      <c r="M89" s="811">
        <v>0</v>
      </c>
      <c r="N89" s="812">
        <v>0</v>
      </c>
      <c r="O89" s="812">
        <v>0</v>
      </c>
      <c r="P89" s="812">
        <v>0</v>
      </c>
      <c r="Q89" s="812">
        <v>0</v>
      </c>
      <c r="R89" s="812">
        <v>0</v>
      </c>
      <c r="S89" s="796">
        <f t="shared" si="30"/>
        <v>0</v>
      </c>
      <c r="T89" s="813">
        <v>0</v>
      </c>
      <c r="U89" s="814">
        <v>0</v>
      </c>
      <c r="V89" s="812">
        <v>0</v>
      </c>
      <c r="W89" s="815">
        <f t="shared" si="32"/>
        <v>0</v>
      </c>
      <c r="X89" s="811"/>
      <c r="Y89" s="816"/>
      <c r="Z89" s="812"/>
      <c r="AA89" s="801"/>
      <c r="AB89" s="811"/>
      <c r="AC89" s="812"/>
      <c r="AD89" s="802"/>
      <c r="AE89" s="816"/>
      <c r="AF89" s="812"/>
      <c r="AG89" s="802"/>
      <c r="AH89" s="908">
        <f t="shared" si="31"/>
        <v>570</v>
      </c>
      <c r="AI89" s="747"/>
    </row>
    <row r="90" spans="1:35" s="817" customFormat="1" ht="18" customHeight="1" x14ac:dyDescent="0.2">
      <c r="A90" s="555">
        <v>54404</v>
      </c>
      <c r="B90" s="560" t="s">
        <v>74</v>
      </c>
      <c r="C90" s="821">
        <f>'egresos 25% y F.P'!C163</f>
        <v>0</v>
      </c>
      <c r="D90" s="804">
        <f>'egresos 25% y F.P'!D163</f>
        <v>0</v>
      </c>
      <c r="E90" s="833">
        <f>'egresos 25% y F.P'!E163</f>
        <v>0</v>
      </c>
      <c r="F90" s="833">
        <f>'egresos 25% y F.P'!F163</f>
        <v>0</v>
      </c>
      <c r="G90" s="806">
        <f t="shared" si="27"/>
        <v>0</v>
      </c>
      <c r="H90" s="820">
        <f>'egresos 25% y F.P'!C58</f>
        <v>0</v>
      </c>
      <c r="I90" s="808">
        <f>'egresos 25% y F.P'!D42</f>
        <v>0</v>
      </c>
      <c r="J90" s="808">
        <f>'egresos 25% y F.P'!E42</f>
        <v>0</v>
      </c>
      <c r="K90" s="808">
        <f>'egresos 25% y F.P'!F42</f>
        <v>0</v>
      </c>
      <c r="L90" s="810">
        <f t="shared" ref="L90:L99" si="33">SUM(H90:J90)</f>
        <v>0</v>
      </c>
      <c r="M90" s="811">
        <v>0</v>
      </c>
      <c r="N90" s="812">
        <v>0</v>
      </c>
      <c r="O90" s="812">
        <v>0</v>
      </c>
      <c r="P90" s="812">
        <v>0</v>
      </c>
      <c r="Q90" s="812">
        <v>0</v>
      </c>
      <c r="R90" s="812">
        <v>0</v>
      </c>
      <c r="S90" s="796">
        <f t="shared" si="30"/>
        <v>0</v>
      </c>
      <c r="T90" s="813">
        <v>0</v>
      </c>
      <c r="U90" s="814">
        <v>0</v>
      </c>
      <c r="V90" s="812">
        <v>0</v>
      </c>
      <c r="W90" s="815">
        <f t="shared" si="32"/>
        <v>0</v>
      </c>
      <c r="X90" s="811"/>
      <c r="Y90" s="816"/>
      <c r="Z90" s="812"/>
      <c r="AA90" s="801"/>
      <c r="AB90" s="811"/>
      <c r="AC90" s="812"/>
      <c r="AD90" s="802"/>
      <c r="AE90" s="816"/>
      <c r="AF90" s="812"/>
      <c r="AG90" s="802"/>
      <c r="AH90" s="908">
        <f t="shared" si="31"/>
        <v>0</v>
      </c>
      <c r="AI90" s="747"/>
    </row>
    <row r="91" spans="1:35" s="786" customFormat="1" ht="18" customHeight="1" x14ac:dyDescent="0.2">
      <c r="A91" s="562">
        <v>545</v>
      </c>
      <c r="B91" s="563" t="s">
        <v>75</v>
      </c>
      <c r="C91" s="787">
        <f>SUM(C92)</f>
        <v>200</v>
      </c>
      <c r="D91" s="823">
        <v>0</v>
      </c>
      <c r="E91" s="836">
        <v>0</v>
      </c>
      <c r="F91" s="836">
        <v>0</v>
      </c>
      <c r="G91" s="789">
        <f>SUM(C91:F91)</f>
        <v>200</v>
      </c>
      <c r="H91" s="819">
        <f>SUM(H92)</f>
        <v>300</v>
      </c>
      <c r="I91" s="791">
        <v>0</v>
      </c>
      <c r="J91" s="791">
        <v>0</v>
      </c>
      <c r="K91" s="791">
        <v>0</v>
      </c>
      <c r="L91" s="793">
        <f>SUM(L92)</f>
        <v>300</v>
      </c>
      <c r="M91" s="794">
        <v>0</v>
      </c>
      <c r="N91" s="795">
        <v>0</v>
      </c>
      <c r="O91" s="795">
        <v>0</v>
      </c>
      <c r="P91" s="795">
        <v>0</v>
      </c>
      <c r="Q91" s="795">
        <v>0</v>
      </c>
      <c r="R91" s="795">
        <v>0</v>
      </c>
      <c r="S91" s="796">
        <f t="shared" si="30"/>
        <v>0</v>
      </c>
      <c r="T91" s="797">
        <f>+T93</f>
        <v>0</v>
      </c>
      <c r="U91" s="798">
        <v>0</v>
      </c>
      <c r="V91" s="795">
        <v>0</v>
      </c>
      <c r="W91" s="799">
        <f t="shared" si="32"/>
        <v>0</v>
      </c>
      <c r="X91" s="794"/>
      <c r="Y91" s="800"/>
      <c r="Z91" s="795"/>
      <c r="AA91" s="837"/>
      <c r="AB91" s="794"/>
      <c r="AC91" s="795"/>
      <c r="AD91" s="838"/>
      <c r="AE91" s="800"/>
      <c r="AF91" s="795"/>
      <c r="AG91" s="838"/>
      <c r="AH91" s="847">
        <f t="shared" si="31"/>
        <v>500</v>
      </c>
      <c r="AI91" s="785"/>
    </row>
    <row r="92" spans="1:35" s="817" customFormat="1" ht="18" customHeight="1" x14ac:dyDescent="0.2">
      <c r="A92" s="564">
        <v>54503</v>
      </c>
      <c r="B92" s="565" t="s">
        <v>77</v>
      </c>
      <c r="C92" s="821">
        <f>+'egresos 25% y F.P'!C166</f>
        <v>200</v>
      </c>
      <c r="D92" s="804">
        <v>0</v>
      </c>
      <c r="E92" s="833">
        <v>0</v>
      </c>
      <c r="F92" s="833">
        <v>0</v>
      </c>
      <c r="G92" s="806">
        <f>SUM(C92:F92)</f>
        <v>200</v>
      </c>
      <c r="H92" s="820">
        <f>+'egresos 25% y F.P'!C61</f>
        <v>300</v>
      </c>
      <c r="I92" s="808">
        <v>0</v>
      </c>
      <c r="J92" s="808">
        <v>0</v>
      </c>
      <c r="K92" s="808">
        <v>0</v>
      </c>
      <c r="L92" s="810">
        <f>+'egresos 25% y F.P'!G61</f>
        <v>300</v>
      </c>
      <c r="M92" s="811">
        <v>0</v>
      </c>
      <c r="N92" s="812">
        <v>0</v>
      </c>
      <c r="O92" s="812">
        <v>0</v>
      </c>
      <c r="P92" s="812">
        <v>0</v>
      </c>
      <c r="Q92" s="812">
        <v>0</v>
      </c>
      <c r="R92" s="812">
        <v>0</v>
      </c>
      <c r="S92" s="796">
        <f t="shared" si="30"/>
        <v>0</v>
      </c>
      <c r="T92" s="813">
        <v>0</v>
      </c>
      <c r="U92" s="814">
        <v>0</v>
      </c>
      <c r="V92" s="812">
        <v>0</v>
      </c>
      <c r="W92" s="815">
        <f t="shared" si="32"/>
        <v>0</v>
      </c>
      <c r="X92" s="811"/>
      <c r="Y92" s="816"/>
      <c r="Z92" s="812"/>
      <c r="AA92" s="801"/>
      <c r="AB92" s="811"/>
      <c r="AC92" s="812"/>
      <c r="AD92" s="802"/>
      <c r="AE92" s="816"/>
      <c r="AF92" s="812"/>
      <c r="AG92" s="802"/>
      <c r="AH92" s="908">
        <f t="shared" si="31"/>
        <v>500</v>
      </c>
      <c r="AI92" s="747"/>
    </row>
    <row r="93" spans="1:35" s="817" customFormat="1" ht="18" customHeight="1" x14ac:dyDescent="0.2">
      <c r="A93" s="555">
        <v>54599</v>
      </c>
      <c r="B93" s="560" t="s">
        <v>528</v>
      </c>
      <c r="C93" s="821">
        <v>0</v>
      </c>
      <c r="D93" s="804">
        <v>0</v>
      </c>
      <c r="E93" s="833">
        <v>0</v>
      </c>
      <c r="F93" s="833">
        <v>0</v>
      </c>
      <c r="G93" s="806">
        <v>0</v>
      </c>
      <c r="H93" s="820">
        <v>0</v>
      </c>
      <c r="I93" s="808">
        <v>0</v>
      </c>
      <c r="J93" s="808">
        <v>0</v>
      </c>
      <c r="K93" s="808">
        <v>0</v>
      </c>
      <c r="L93" s="810">
        <v>0</v>
      </c>
      <c r="M93" s="811">
        <v>0</v>
      </c>
      <c r="N93" s="812">
        <v>0</v>
      </c>
      <c r="O93" s="812">
        <v>0</v>
      </c>
      <c r="P93" s="812">
        <v>0</v>
      </c>
      <c r="Q93" s="812">
        <v>0</v>
      </c>
      <c r="R93" s="812">
        <v>0</v>
      </c>
      <c r="S93" s="796">
        <v>0</v>
      </c>
      <c r="T93" s="813">
        <f>+'AG4'!F16</f>
        <v>0</v>
      </c>
      <c r="U93" s="814">
        <v>0</v>
      </c>
      <c r="V93" s="812">
        <v>0</v>
      </c>
      <c r="W93" s="815">
        <v>0</v>
      </c>
      <c r="X93" s="811"/>
      <c r="Y93" s="816"/>
      <c r="Z93" s="812"/>
      <c r="AA93" s="801"/>
      <c r="AB93" s="811"/>
      <c r="AC93" s="812"/>
      <c r="AD93" s="802"/>
      <c r="AE93" s="816"/>
      <c r="AF93" s="812"/>
      <c r="AG93" s="802"/>
      <c r="AH93" s="908">
        <f t="shared" si="31"/>
        <v>0</v>
      </c>
      <c r="AI93" s="747"/>
    </row>
    <row r="94" spans="1:35" s="817" customFormat="1" ht="18" customHeight="1" x14ac:dyDescent="0.2">
      <c r="A94" s="551">
        <v>55</v>
      </c>
      <c r="B94" s="561" t="s">
        <v>83</v>
      </c>
      <c r="C94" s="839">
        <f>+C95+C101+C103</f>
        <v>0</v>
      </c>
      <c r="D94" s="788">
        <f>D95+D103+D107</f>
        <v>150</v>
      </c>
      <c r="E94" s="835">
        <f>E95+E103+E107</f>
        <v>0</v>
      </c>
      <c r="F94" s="835">
        <f>F95+F103+F107</f>
        <v>0</v>
      </c>
      <c r="G94" s="789">
        <f>F94+D94+C94</f>
        <v>150</v>
      </c>
      <c r="H94" s="819">
        <f>H95+H101+H103</f>
        <v>1991.2599999999998</v>
      </c>
      <c r="I94" s="792">
        <f t="shared" ref="I94:J94" si="34">I95+I101+I103</f>
        <v>269.52</v>
      </c>
      <c r="J94" s="791">
        <f t="shared" si="34"/>
        <v>0</v>
      </c>
      <c r="K94" s="791">
        <f>K95+K101+K103</f>
        <v>900.74</v>
      </c>
      <c r="L94" s="793">
        <f>SUM(H94:K94)</f>
        <v>3161.5199999999995</v>
      </c>
      <c r="M94" s="811">
        <v>0</v>
      </c>
      <c r="N94" s="812">
        <v>0</v>
      </c>
      <c r="O94" s="812">
        <v>0</v>
      </c>
      <c r="P94" s="795">
        <f>P95+P103</f>
        <v>0</v>
      </c>
      <c r="Q94" s="795">
        <f>Q95+Q103</f>
        <v>82763.959999999992</v>
      </c>
      <c r="R94" s="795">
        <f>R95+R103</f>
        <v>4225</v>
      </c>
      <c r="S94" s="825">
        <f>M94+N94+O94+P94+Q94+R94</f>
        <v>86988.959999999992</v>
      </c>
      <c r="T94" s="797">
        <v>0</v>
      </c>
      <c r="U94" s="798">
        <v>0</v>
      </c>
      <c r="V94" s="795">
        <v>0</v>
      </c>
      <c r="W94" s="799">
        <f t="shared" si="32"/>
        <v>0</v>
      </c>
      <c r="X94" s="811"/>
      <c r="Y94" s="816"/>
      <c r="Z94" s="812"/>
      <c r="AA94" s="801"/>
      <c r="AB94" s="811"/>
      <c r="AC94" s="812"/>
      <c r="AD94" s="802"/>
      <c r="AE94" s="816"/>
      <c r="AF94" s="812"/>
      <c r="AG94" s="802"/>
      <c r="AH94" s="847">
        <f t="shared" si="31"/>
        <v>90300.479999999996</v>
      </c>
      <c r="AI94" s="747"/>
    </row>
    <row r="95" spans="1:35" s="817" customFormat="1" ht="18" customHeight="1" x14ac:dyDescent="0.2">
      <c r="A95" s="551">
        <v>553</v>
      </c>
      <c r="B95" s="561" t="s">
        <v>84</v>
      </c>
      <c r="C95" s="839">
        <f>C97+C98+C99</f>
        <v>0</v>
      </c>
      <c r="D95" s="788">
        <f>D97+D98+D99</f>
        <v>0</v>
      </c>
      <c r="E95" s="788">
        <f>E97+E98+E99</f>
        <v>0</v>
      </c>
      <c r="F95" s="835">
        <f>F97+F98+F99</f>
        <v>0</v>
      </c>
      <c r="G95" s="789">
        <v>0</v>
      </c>
      <c r="H95" s="819">
        <f>SUM(H97:H99)</f>
        <v>0</v>
      </c>
      <c r="I95" s="791">
        <f>SUM(I97:I99)</f>
        <v>0</v>
      </c>
      <c r="J95" s="791">
        <f>SUM(J97:J99)</f>
        <v>0</v>
      </c>
      <c r="K95" s="791">
        <f>SUM(K97:K99)</f>
        <v>0</v>
      </c>
      <c r="L95" s="793">
        <f t="shared" si="33"/>
        <v>0</v>
      </c>
      <c r="M95" s="811">
        <v>0</v>
      </c>
      <c r="N95" s="812">
        <v>0</v>
      </c>
      <c r="O95" s="812">
        <v>0</v>
      </c>
      <c r="P95" s="795">
        <f>SUM(P96:P102)</f>
        <v>0</v>
      </c>
      <c r="Q95" s="795">
        <f>SUM(Q96:Q100)</f>
        <v>82763.959999999992</v>
      </c>
      <c r="R95" s="795">
        <f>SUM(R96:R102)</f>
        <v>4225</v>
      </c>
      <c r="S95" s="825">
        <f>M95+N95+O95+P95+Q95+R95</f>
        <v>86988.959999999992</v>
      </c>
      <c r="T95" s="797">
        <v>0</v>
      </c>
      <c r="U95" s="798">
        <v>0</v>
      </c>
      <c r="V95" s="795">
        <v>0</v>
      </c>
      <c r="W95" s="799">
        <f t="shared" si="32"/>
        <v>0</v>
      </c>
      <c r="X95" s="811"/>
      <c r="Y95" s="816"/>
      <c r="Z95" s="812"/>
      <c r="AA95" s="801"/>
      <c r="AB95" s="811"/>
      <c r="AC95" s="812"/>
      <c r="AD95" s="802"/>
      <c r="AE95" s="816"/>
      <c r="AF95" s="812"/>
      <c r="AG95" s="802"/>
      <c r="AH95" s="847">
        <f>+L95+S95+G95+AA95+AD95+AG95+T95+W95+X95</f>
        <v>86988.959999999992</v>
      </c>
      <c r="AI95" s="747"/>
    </row>
    <row r="96" spans="1:35" s="817" customFormat="1" ht="18" customHeight="1" x14ac:dyDescent="0.2">
      <c r="A96" s="555">
        <v>55302</v>
      </c>
      <c r="B96" s="560" t="s">
        <v>545</v>
      </c>
      <c r="C96" s="840">
        <v>0</v>
      </c>
      <c r="D96" s="805">
        <v>0</v>
      </c>
      <c r="E96" s="804">
        <v>0</v>
      </c>
      <c r="F96" s="804">
        <v>0</v>
      </c>
      <c r="G96" s="822">
        <v>0</v>
      </c>
      <c r="H96" s="820">
        <v>0</v>
      </c>
      <c r="I96" s="808">
        <v>0</v>
      </c>
      <c r="J96" s="808">
        <v>0</v>
      </c>
      <c r="K96" s="808">
        <v>0</v>
      </c>
      <c r="L96" s="810">
        <f t="shared" si="33"/>
        <v>0</v>
      </c>
      <c r="M96" s="811">
        <v>0</v>
      </c>
      <c r="N96" s="812">
        <v>0</v>
      </c>
      <c r="O96" s="812">
        <v>0</v>
      </c>
      <c r="P96" s="812">
        <v>0</v>
      </c>
      <c r="Q96" s="812">
        <v>0</v>
      </c>
      <c r="R96" s="812">
        <f>'AG5'!C19</f>
        <v>4225</v>
      </c>
      <c r="S96" s="796">
        <f>M96+N96+O96+P96+Q96+R96</f>
        <v>4225</v>
      </c>
      <c r="T96" s="813">
        <v>0</v>
      </c>
      <c r="U96" s="814">
        <v>0</v>
      </c>
      <c r="V96" s="812"/>
      <c r="W96" s="815"/>
      <c r="X96" s="811"/>
      <c r="Y96" s="816"/>
      <c r="Z96" s="812"/>
      <c r="AA96" s="801"/>
      <c r="AB96" s="811"/>
      <c r="AC96" s="812"/>
      <c r="AD96" s="802"/>
      <c r="AE96" s="816"/>
      <c r="AF96" s="812"/>
      <c r="AG96" s="802"/>
      <c r="AH96" s="908">
        <f t="shared" si="31"/>
        <v>4225</v>
      </c>
      <c r="AI96" s="747"/>
    </row>
    <row r="97" spans="1:35" s="817" customFormat="1" ht="18" hidden="1" customHeight="1" x14ac:dyDescent="0.2">
      <c r="A97" s="555">
        <v>55303</v>
      </c>
      <c r="B97" s="560" t="s">
        <v>85</v>
      </c>
      <c r="C97" s="840"/>
      <c r="D97" s="805"/>
      <c r="E97" s="804"/>
      <c r="F97" s="804">
        <v>0</v>
      </c>
      <c r="G97" s="822">
        <v>0</v>
      </c>
      <c r="H97" s="820"/>
      <c r="I97" s="808"/>
      <c r="J97" s="808"/>
      <c r="K97" s="808"/>
      <c r="L97" s="810">
        <f t="shared" si="33"/>
        <v>0</v>
      </c>
      <c r="M97" s="811">
        <v>0</v>
      </c>
      <c r="N97" s="812">
        <v>0</v>
      </c>
      <c r="O97" s="812">
        <v>0</v>
      </c>
      <c r="P97" s="812">
        <f>+'AG5'!C20</f>
        <v>0</v>
      </c>
      <c r="Q97" s="812"/>
      <c r="R97" s="812"/>
      <c r="S97" s="796">
        <f t="shared" ref="S97:S98" si="35">M97+N97+O97+P97+Q97+R97</f>
        <v>0</v>
      </c>
      <c r="T97" s="813"/>
      <c r="U97" s="814"/>
      <c r="V97" s="812"/>
      <c r="W97" s="815">
        <f t="shared" si="32"/>
        <v>0</v>
      </c>
      <c r="X97" s="811"/>
      <c r="Y97" s="816"/>
      <c r="Z97" s="812"/>
      <c r="AA97" s="801"/>
      <c r="AB97" s="811"/>
      <c r="AC97" s="812"/>
      <c r="AD97" s="802"/>
      <c r="AE97" s="816"/>
      <c r="AF97" s="812"/>
      <c r="AG97" s="802"/>
      <c r="AH97" s="908">
        <f t="shared" si="31"/>
        <v>0</v>
      </c>
      <c r="AI97" s="747"/>
    </row>
    <row r="98" spans="1:35" s="817" customFormat="1" ht="18" customHeight="1" x14ac:dyDescent="0.2">
      <c r="A98" s="555">
        <v>55304</v>
      </c>
      <c r="B98" s="560" t="s">
        <v>86</v>
      </c>
      <c r="C98" s="840">
        <v>0</v>
      </c>
      <c r="D98" s="805">
        <v>0</v>
      </c>
      <c r="E98" s="804">
        <v>0</v>
      </c>
      <c r="F98" s="804">
        <v>0</v>
      </c>
      <c r="G98" s="822">
        <v>0</v>
      </c>
      <c r="H98" s="820">
        <v>0</v>
      </c>
      <c r="I98" s="808">
        <v>0</v>
      </c>
      <c r="J98" s="808">
        <v>0</v>
      </c>
      <c r="K98" s="808">
        <v>0</v>
      </c>
      <c r="L98" s="810">
        <f t="shared" si="33"/>
        <v>0</v>
      </c>
      <c r="M98" s="811">
        <v>0</v>
      </c>
      <c r="N98" s="812">
        <v>0</v>
      </c>
      <c r="O98" s="812">
        <v>0</v>
      </c>
      <c r="P98" s="812">
        <v>0</v>
      </c>
      <c r="Q98" s="812">
        <f>+'AG5'!C21</f>
        <v>82763.959999999992</v>
      </c>
      <c r="R98" s="812">
        <v>0</v>
      </c>
      <c r="S98" s="796">
        <f t="shared" si="35"/>
        <v>82763.959999999992</v>
      </c>
      <c r="T98" s="813">
        <v>0</v>
      </c>
      <c r="U98" s="814">
        <v>0</v>
      </c>
      <c r="V98" s="812">
        <v>0</v>
      </c>
      <c r="W98" s="815">
        <v>0</v>
      </c>
      <c r="X98" s="811"/>
      <c r="Y98" s="816"/>
      <c r="Z98" s="812"/>
      <c r="AA98" s="801"/>
      <c r="AB98" s="811"/>
      <c r="AC98" s="812"/>
      <c r="AD98" s="802"/>
      <c r="AE98" s="816"/>
      <c r="AF98" s="812"/>
      <c r="AG98" s="802"/>
      <c r="AH98" s="908">
        <f t="shared" si="31"/>
        <v>82763.959999999992</v>
      </c>
      <c r="AI98" s="747"/>
    </row>
    <row r="99" spans="1:35" s="817" customFormat="1" ht="18" hidden="1" customHeight="1" x14ac:dyDescent="0.2">
      <c r="A99" s="555">
        <v>55306</v>
      </c>
      <c r="B99" s="560" t="s">
        <v>259</v>
      </c>
      <c r="C99" s="840"/>
      <c r="D99" s="805"/>
      <c r="E99" s="804"/>
      <c r="F99" s="804"/>
      <c r="G99" s="822"/>
      <c r="H99" s="820">
        <v>0</v>
      </c>
      <c r="I99" s="808">
        <v>0</v>
      </c>
      <c r="J99" s="808">
        <v>0</v>
      </c>
      <c r="K99" s="808">
        <v>0</v>
      </c>
      <c r="L99" s="810">
        <f t="shared" si="33"/>
        <v>0</v>
      </c>
      <c r="M99" s="811">
        <v>0</v>
      </c>
      <c r="N99" s="812">
        <v>0</v>
      </c>
      <c r="O99" s="812">
        <v>0</v>
      </c>
      <c r="P99" s="812"/>
      <c r="Q99" s="812"/>
      <c r="R99" s="812"/>
      <c r="S99" s="796">
        <f>M99+N99+O99+P99</f>
        <v>0</v>
      </c>
      <c r="T99" s="813">
        <v>0</v>
      </c>
      <c r="U99" s="814">
        <v>0</v>
      </c>
      <c r="V99" s="812">
        <v>0</v>
      </c>
      <c r="W99" s="815">
        <v>0</v>
      </c>
      <c r="X99" s="811"/>
      <c r="Y99" s="816"/>
      <c r="Z99" s="812"/>
      <c r="AA99" s="801"/>
      <c r="AB99" s="811"/>
      <c r="AC99" s="812"/>
      <c r="AD99" s="802"/>
      <c r="AE99" s="816"/>
      <c r="AF99" s="812"/>
      <c r="AG99" s="802"/>
      <c r="AH99" s="908">
        <f t="shared" si="31"/>
        <v>0</v>
      </c>
      <c r="AI99" s="747"/>
    </row>
    <row r="100" spans="1:35" s="817" customFormat="1" ht="18" hidden="1" customHeight="1" x14ac:dyDescent="0.2">
      <c r="A100" s="555">
        <v>55308</v>
      </c>
      <c r="B100" s="560" t="s">
        <v>239</v>
      </c>
      <c r="C100" s="840"/>
      <c r="D100" s="805"/>
      <c r="E100" s="804"/>
      <c r="F100" s="804"/>
      <c r="G100" s="822"/>
      <c r="H100" s="820">
        <v>0</v>
      </c>
      <c r="I100" s="808">
        <v>0</v>
      </c>
      <c r="J100" s="808">
        <v>0</v>
      </c>
      <c r="K100" s="808">
        <v>0</v>
      </c>
      <c r="L100" s="810"/>
      <c r="M100" s="811">
        <v>0</v>
      </c>
      <c r="N100" s="812">
        <v>0</v>
      </c>
      <c r="O100" s="812">
        <v>0</v>
      </c>
      <c r="P100" s="812"/>
      <c r="Q100" s="812"/>
      <c r="R100" s="812"/>
      <c r="S100" s="796"/>
      <c r="T100" s="813">
        <v>0</v>
      </c>
      <c r="U100" s="814">
        <v>0</v>
      </c>
      <c r="V100" s="812">
        <v>0</v>
      </c>
      <c r="W100" s="815">
        <v>0</v>
      </c>
      <c r="X100" s="811"/>
      <c r="Y100" s="816"/>
      <c r="Z100" s="812"/>
      <c r="AA100" s="801"/>
      <c r="AB100" s="811"/>
      <c r="AC100" s="812"/>
      <c r="AD100" s="802"/>
      <c r="AE100" s="816"/>
      <c r="AF100" s="812"/>
      <c r="AG100" s="802"/>
      <c r="AH100" s="908">
        <f t="shared" si="31"/>
        <v>0</v>
      </c>
      <c r="AI100" s="747"/>
    </row>
    <row r="101" spans="1:35" s="786" customFormat="1" ht="18" customHeight="1" x14ac:dyDescent="0.2">
      <c r="A101" s="551">
        <v>555</v>
      </c>
      <c r="B101" s="561" t="s">
        <v>509</v>
      </c>
      <c r="C101" s="839">
        <f>SUM(C102)</f>
        <v>0</v>
      </c>
      <c r="D101" s="788">
        <v>0</v>
      </c>
      <c r="E101" s="823">
        <v>0</v>
      </c>
      <c r="F101" s="823">
        <v>0</v>
      </c>
      <c r="G101" s="824">
        <f>+C101+D101+E101+F101</f>
        <v>0</v>
      </c>
      <c r="H101" s="791">
        <f t="shared" ref="H101:J101" si="36">H102</f>
        <v>28.86</v>
      </c>
      <c r="I101" s="791">
        <f t="shared" si="36"/>
        <v>0</v>
      </c>
      <c r="J101" s="791">
        <f t="shared" si="36"/>
        <v>0</v>
      </c>
      <c r="K101" s="791">
        <f>K102</f>
        <v>86.58</v>
      </c>
      <c r="L101" s="793">
        <f>L102</f>
        <v>115.44</v>
      </c>
      <c r="M101" s="794">
        <v>0</v>
      </c>
      <c r="N101" s="795">
        <v>0</v>
      </c>
      <c r="O101" s="795">
        <v>0</v>
      </c>
      <c r="P101" s="795">
        <v>0</v>
      </c>
      <c r="Q101" s="795">
        <v>0</v>
      </c>
      <c r="R101" s="795">
        <v>0</v>
      </c>
      <c r="S101" s="825">
        <v>0</v>
      </c>
      <c r="T101" s="797">
        <v>0</v>
      </c>
      <c r="U101" s="798">
        <v>0</v>
      </c>
      <c r="V101" s="795">
        <v>0</v>
      </c>
      <c r="W101" s="799">
        <v>0</v>
      </c>
      <c r="X101" s="794"/>
      <c r="Y101" s="800"/>
      <c r="Z101" s="795"/>
      <c r="AA101" s="837"/>
      <c r="AB101" s="794"/>
      <c r="AC101" s="795"/>
      <c r="AD101" s="838"/>
      <c r="AE101" s="800"/>
      <c r="AF101" s="795"/>
      <c r="AG101" s="838"/>
      <c r="AH101" s="847">
        <f t="shared" si="31"/>
        <v>115.44</v>
      </c>
      <c r="AI101" s="785"/>
    </row>
    <row r="102" spans="1:35" s="817" customFormat="1" ht="18" customHeight="1" x14ac:dyDescent="0.2">
      <c r="A102" s="555">
        <v>55508</v>
      </c>
      <c r="B102" s="560" t="s">
        <v>340</v>
      </c>
      <c r="C102" s="840">
        <f>+'egresos 25% y F.P'!C179</f>
        <v>0</v>
      </c>
      <c r="D102" s="805">
        <v>0</v>
      </c>
      <c r="E102" s="804">
        <v>0</v>
      </c>
      <c r="F102" s="804">
        <v>0</v>
      </c>
      <c r="G102" s="822">
        <f>SUM(C102:F102)</f>
        <v>0</v>
      </c>
      <c r="H102" s="820">
        <f>'egresos 25% y F.P'!C74</f>
        <v>28.86</v>
      </c>
      <c r="I102" s="808">
        <f>'egresos 25% y F.P'!D74</f>
        <v>0</v>
      </c>
      <c r="J102" s="808">
        <f>'egresos 25% y F.P'!E74</f>
        <v>0</v>
      </c>
      <c r="K102" s="808">
        <f>'egresos 25% y F.P'!F74</f>
        <v>86.58</v>
      </c>
      <c r="L102" s="810">
        <f>+K102+J102+I102+H102</f>
        <v>115.44</v>
      </c>
      <c r="M102" s="811">
        <v>0</v>
      </c>
      <c r="N102" s="812">
        <v>0</v>
      </c>
      <c r="O102" s="812">
        <v>0</v>
      </c>
      <c r="P102" s="812">
        <v>0</v>
      </c>
      <c r="Q102" s="812">
        <v>0</v>
      </c>
      <c r="R102" s="812">
        <v>0</v>
      </c>
      <c r="S102" s="796">
        <f t="shared" ref="S102" si="37">M102+N102+O102+P102+Q102+R102</f>
        <v>0</v>
      </c>
      <c r="T102" s="813">
        <v>0</v>
      </c>
      <c r="U102" s="814">
        <v>0</v>
      </c>
      <c r="V102" s="812">
        <v>0</v>
      </c>
      <c r="W102" s="815">
        <v>0</v>
      </c>
      <c r="X102" s="811"/>
      <c r="Y102" s="816"/>
      <c r="Z102" s="812"/>
      <c r="AA102" s="801"/>
      <c r="AB102" s="811"/>
      <c r="AC102" s="812"/>
      <c r="AD102" s="802"/>
      <c r="AE102" s="816"/>
      <c r="AF102" s="812"/>
      <c r="AG102" s="802"/>
      <c r="AH102" s="908">
        <f t="shared" si="31"/>
        <v>115.44</v>
      </c>
      <c r="AI102" s="747"/>
    </row>
    <row r="103" spans="1:35" s="817" customFormat="1" ht="18" customHeight="1" x14ac:dyDescent="0.2">
      <c r="A103" s="551">
        <v>556</v>
      </c>
      <c r="B103" s="561" t="s">
        <v>88</v>
      </c>
      <c r="C103" s="839">
        <f>C104+C105+C106</f>
        <v>0</v>
      </c>
      <c r="D103" s="788">
        <f>D104+D105+D106</f>
        <v>150</v>
      </c>
      <c r="E103" s="788">
        <f>E104+E105+E106</f>
        <v>0</v>
      </c>
      <c r="F103" s="788">
        <f>F104+F105+F106</f>
        <v>0</v>
      </c>
      <c r="G103" s="824">
        <f>SUM(G105:G106)</f>
        <v>150</v>
      </c>
      <c r="H103" s="819">
        <f>SUM(H104:H106)</f>
        <v>1962.3999999999999</v>
      </c>
      <c r="I103" s="791">
        <f>SUM(I104:I106)</f>
        <v>269.52</v>
      </c>
      <c r="J103" s="791">
        <f>SUM(J104:J106)</f>
        <v>0</v>
      </c>
      <c r="K103" s="791">
        <f>SUM(K104:K106)</f>
        <v>814.16</v>
      </c>
      <c r="L103" s="793">
        <f>SUM(H103:K103)</f>
        <v>3046.08</v>
      </c>
      <c r="M103" s="794">
        <v>0</v>
      </c>
      <c r="N103" s="795">
        <v>0</v>
      </c>
      <c r="O103" s="795">
        <v>0</v>
      </c>
      <c r="P103" s="795">
        <v>0</v>
      </c>
      <c r="Q103" s="795">
        <f>Q106</f>
        <v>0</v>
      </c>
      <c r="R103" s="795">
        <f>R106</f>
        <v>0</v>
      </c>
      <c r="S103" s="825">
        <f>M103+N103+O103+P103+R103</f>
        <v>0</v>
      </c>
      <c r="T103" s="797">
        <v>0</v>
      </c>
      <c r="U103" s="798">
        <v>0</v>
      </c>
      <c r="V103" s="795">
        <v>0</v>
      </c>
      <c r="W103" s="799">
        <f t="shared" si="32"/>
        <v>0</v>
      </c>
      <c r="X103" s="811"/>
      <c r="Y103" s="816"/>
      <c r="Z103" s="812"/>
      <c r="AA103" s="801"/>
      <c r="AB103" s="811"/>
      <c r="AC103" s="812"/>
      <c r="AD103" s="802"/>
      <c r="AE103" s="816"/>
      <c r="AF103" s="812"/>
      <c r="AG103" s="802"/>
      <c r="AH103" s="847">
        <f>+L103+S103+G103+AA103+AD103+AG103+T103+W103+X103</f>
        <v>3196.08</v>
      </c>
      <c r="AI103" s="747"/>
    </row>
    <row r="104" spans="1:35" s="817" customFormat="1" ht="18" customHeight="1" x14ac:dyDescent="0.2">
      <c r="A104" s="555">
        <v>55601</v>
      </c>
      <c r="B104" s="560" t="s">
        <v>89</v>
      </c>
      <c r="C104" s="840">
        <v>0</v>
      </c>
      <c r="D104" s="805">
        <v>0</v>
      </c>
      <c r="E104" s="804">
        <v>0</v>
      </c>
      <c r="F104" s="804">
        <v>0</v>
      </c>
      <c r="G104" s="822">
        <v>0</v>
      </c>
      <c r="H104" s="820">
        <f>'egresos 25% y F.P'!C76</f>
        <v>0</v>
      </c>
      <c r="I104" s="808">
        <f>'egresos 25% y F.P'!D76</f>
        <v>169.52</v>
      </c>
      <c r="J104" s="808">
        <f>'egresos 25% y F.P'!E76</f>
        <v>0</v>
      </c>
      <c r="K104" s="808">
        <f>'egresos 25% y F.P'!F76</f>
        <v>0</v>
      </c>
      <c r="L104" s="810">
        <f t="shared" ref="L104:L115" si="38">SUM(H104:J104)</f>
        <v>169.52</v>
      </c>
      <c r="M104" s="811">
        <v>0</v>
      </c>
      <c r="N104" s="812">
        <v>0</v>
      </c>
      <c r="O104" s="812">
        <v>0</v>
      </c>
      <c r="P104" s="812">
        <v>0</v>
      </c>
      <c r="Q104" s="812">
        <v>0</v>
      </c>
      <c r="R104" s="812">
        <v>0</v>
      </c>
      <c r="S104" s="796">
        <f>M104+N104+O104+P104</f>
        <v>0</v>
      </c>
      <c r="T104" s="813">
        <v>0</v>
      </c>
      <c r="U104" s="814">
        <v>0</v>
      </c>
      <c r="V104" s="812">
        <v>0</v>
      </c>
      <c r="W104" s="815">
        <f t="shared" si="32"/>
        <v>0</v>
      </c>
      <c r="X104" s="811"/>
      <c r="Y104" s="816"/>
      <c r="Z104" s="812"/>
      <c r="AA104" s="801"/>
      <c r="AB104" s="811"/>
      <c r="AC104" s="812"/>
      <c r="AD104" s="802"/>
      <c r="AE104" s="816"/>
      <c r="AF104" s="812"/>
      <c r="AG104" s="802"/>
      <c r="AH104" s="908">
        <f t="shared" si="31"/>
        <v>169.52</v>
      </c>
      <c r="AI104" s="747"/>
    </row>
    <row r="105" spans="1:35" s="817" customFormat="1" ht="18" customHeight="1" x14ac:dyDescent="0.2">
      <c r="A105" s="555">
        <v>55602</v>
      </c>
      <c r="B105" s="560" t="s">
        <v>90</v>
      </c>
      <c r="C105" s="840">
        <v>0</v>
      </c>
      <c r="D105" s="805">
        <v>0</v>
      </c>
      <c r="E105" s="804">
        <v>0</v>
      </c>
      <c r="F105" s="804">
        <v>0</v>
      </c>
      <c r="G105" s="822">
        <f>C105</f>
        <v>0</v>
      </c>
      <c r="H105" s="820">
        <f>'egresos 25% y F.P'!C77</f>
        <v>1962.3999999999999</v>
      </c>
      <c r="I105" s="808">
        <f>'egresos 25% y F.P'!D77</f>
        <v>0</v>
      </c>
      <c r="J105" s="808">
        <f>'egresos 25% y F.P'!E77</f>
        <v>0</v>
      </c>
      <c r="K105" s="808">
        <f>'egresos 25% y F.P'!F77</f>
        <v>814.16</v>
      </c>
      <c r="L105" s="810">
        <f t="shared" si="38"/>
        <v>1962.3999999999999</v>
      </c>
      <c r="M105" s="811">
        <v>0</v>
      </c>
      <c r="N105" s="812">
        <v>0</v>
      </c>
      <c r="O105" s="812">
        <v>0</v>
      </c>
      <c r="P105" s="812">
        <v>0</v>
      </c>
      <c r="Q105" s="812">
        <v>0</v>
      </c>
      <c r="R105" s="812">
        <v>0</v>
      </c>
      <c r="S105" s="796">
        <f>M105+N105+O105+P105</f>
        <v>0</v>
      </c>
      <c r="T105" s="813">
        <v>0</v>
      </c>
      <c r="U105" s="814">
        <v>0</v>
      </c>
      <c r="V105" s="812">
        <v>0</v>
      </c>
      <c r="W105" s="815">
        <f t="shared" si="32"/>
        <v>0</v>
      </c>
      <c r="X105" s="811"/>
      <c r="Y105" s="816"/>
      <c r="Z105" s="812"/>
      <c r="AA105" s="801"/>
      <c r="AB105" s="811"/>
      <c r="AC105" s="812"/>
      <c r="AD105" s="802"/>
      <c r="AE105" s="816"/>
      <c r="AF105" s="812"/>
      <c r="AG105" s="802"/>
      <c r="AH105" s="908">
        <f t="shared" ref="AH105:AH136" si="39">+L105+S105+G105+AA105+AD105+AG105+T105+W105+X105</f>
        <v>1962.3999999999999</v>
      </c>
      <c r="AI105" s="747"/>
    </row>
    <row r="106" spans="1:35" s="817" customFormat="1" ht="18" customHeight="1" x14ac:dyDescent="0.2">
      <c r="A106" s="555">
        <v>55603</v>
      </c>
      <c r="B106" s="560" t="s">
        <v>91</v>
      </c>
      <c r="C106" s="840">
        <v>0</v>
      </c>
      <c r="D106" s="805">
        <f>'egresos 25% y F.P'!D183</f>
        <v>150</v>
      </c>
      <c r="E106" s="804">
        <v>0</v>
      </c>
      <c r="F106" s="804">
        <v>0</v>
      </c>
      <c r="G106" s="822">
        <f>D106</f>
        <v>150</v>
      </c>
      <c r="H106" s="820">
        <f>'egresos 25% y F.P'!C78</f>
        <v>0</v>
      </c>
      <c r="I106" s="808">
        <f>'egresos 25% y F.P'!D78</f>
        <v>100</v>
      </c>
      <c r="J106" s="808">
        <f>'egresos 25% y F.P'!E78</f>
        <v>0</v>
      </c>
      <c r="K106" s="808">
        <f>'egresos 25% y F.P'!F78</f>
        <v>0</v>
      </c>
      <c r="L106" s="810">
        <f t="shared" si="38"/>
        <v>100</v>
      </c>
      <c r="M106" s="811">
        <v>0</v>
      </c>
      <c r="N106" s="812">
        <v>0</v>
      </c>
      <c r="O106" s="812">
        <v>0</v>
      </c>
      <c r="P106" s="812">
        <v>0</v>
      </c>
      <c r="Q106" s="812">
        <v>0</v>
      </c>
      <c r="R106" s="812">
        <f>'AG5'!C24</f>
        <v>0</v>
      </c>
      <c r="S106" s="796">
        <f t="shared" ref="S106" si="40">M106+N106+O106+P106+Q106+R106</f>
        <v>0</v>
      </c>
      <c r="T106" s="813">
        <v>0</v>
      </c>
      <c r="U106" s="814">
        <v>0</v>
      </c>
      <c r="V106" s="812">
        <v>0</v>
      </c>
      <c r="W106" s="815">
        <f t="shared" si="32"/>
        <v>0</v>
      </c>
      <c r="X106" s="811"/>
      <c r="Y106" s="816"/>
      <c r="Z106" s="812"/>
      <c r="AA106" s="801"/>
      <c r="AB106" s="811"/>
      <c r="AC106" s="812"/>
      <c r="AD106" s="802"/>
      <c r="AE106" s="816"/>
      <c r="AF106" s="812"/>
      <c r="AG106" s="802"/>
      <c r="AH106" s="908">
        <f t="shared" si="39"/>
        <v>250</v>
      </c>
      <c r="AI106" s="747"/>
    </row>
    <row r="107" spans="1:35" s="817" customFormat="1" ht="18" hidden="1" customHeight="1" x14ac:dyDescent="0.2">
      <c r="A107" s="551">
        <v>557</v>
      </c>
      <c r="B107" s="561" t="s">
        <v>92</v>
      </c>
      <c r="C107" s="839">
        <f>C108+C109+C110</f>
        <v>0</v>
      </c>
      <c r="D107" s="788">
        <f>D108+D109+D110</f>
        <v>0</v>
      </c>
      <c r="E107" s="804"/>
      <c r="F107" s="804"/>
      <c r="G107" s="822"/>
      <c r="H107" s="819">
        <f>SUM(H108:H110)</f>
        <v>0</v>
      </c>
      <c r="I107" s="791">
        <f>SUM(I108:I110)</f>
        <v>0</v>
      </c>
      <c r="J107" s="791">
        <f>SUM(J108:J110)</f>
        <v>0</v>
      </c>
      <c r="K107" s="791">
        <f>SUM(K108:K110)</f>
        <v>0</v>
      </c>
      <c r="L107" s="793">
        <f t="shared" si="38"/>
        <v>0</v>
      </c>
      <c r="M107" s="811">
        <v>0</v>
      </c>
      <c r="N107" s="812">
        <v>0</v>
      </c>
      <c r="O107" s="812">
        <v>0</v>
      </c>
      <c r="P107" s="812">
        <v>0</v>
      </c>
      <c r="Q107" s="812"/>
      <c r="R107" s="812"/>
      <c r="S107" s="796">
        <f>M107+N107+O107+P107</f>
        <v>0</v>
      </c>
      <c r="T107" s="813"/>
      <c r="U107" s="814"/>
      <c r="V107" s="812"/>
      <c r="W107" s="815">
        <f t="shared" si="32"/>
        <v>0</v>
      </c>
      <c r="X107" s="811"/>
      <c r="Y107" s="816"/>
      <c r="Z107" s="812"/>
      <c r="AA107" s="801"/>
      <c r="AB107" s="811"/>
      <c r="AC107" s="812"/>
      <c r="AD107" s="802"/>
      <c r="AE107" s="816"/>
      <c r="AF107" s="812"/>
      <c r="AG107" s="802"/>
      <c r="AH107" s="847">
        <f t="shared" si="39"/>
        <v>0</v>
      </c>
      <c r="AI107" s="747"/>
    </row>
    <row r="108" spans="1:35" s="817" customFormat="1" ht="18" hidden="1" customHeight="1" x14ac:dyDescent="0.2">
      <c r="A108" s="555">
        <v>55701</v>
      </c>
      <c r="B108" s="560" t="s">
        <v>93</v>
      </c>
      <c r="C108" s="840"/>
      <c r="D108" s="805"/>
      <c r="E108" s="804"/>
      <c r="F108" s="804"/>
      <c r="G108" s="822"/>
      <c r="H108" s="820"/>
      <c r="I108" s="808"/>
      <c r="J108" s="808"/>
      <c r="K108" s="808"/>
      <c r="L108" s="793">
        <f t="shared" si="38"/>
        <v>0</v>
      </c>
      <c r="M108" s="811">
        <v>0</v>
      </c>
      <c r="N108" s="812">
        <v>0</v>
      </c>
      <c r="O108" s="812">
        <v>0</v>
      </c>
      <c r="P108" s="812">
        <v>0</v>
      </c>
      <c r="Q108" s="812"/>
      <c r="R108" s="812"/>
      <c r="S108" s="796">
        <f>M108+N108+O108+P108</f>
        <v>0</v>
      </c>
      <c r="T108" s="813"/>
      <c r="U108" s="814"/>
      <c r="V108" s="812"/>
      <c r="W108" s="815">
        <f t="shared" si="32"/>
        <v>0</v>
      </c>
      <c r="X108" s="811"/>
      <c r="Y108" s="816"/>
      <c r="Z108" s="812"/>
      <c r="AA108" s="801"/>
      <c r="AB108" s="811"/>
      <c r="AC108" s="812"/>
      <c r="AD108" s="802"/>
      <c r="AE108" s="816"/>
      <c r="AF108" s="812"/>
      <c r="AG108" s="802"/>
      <c r="AH108" s="847">
        <f t="shared" si="39"/>
        <v>0</v>
      </c>
      <c r="AI108" s="747"/>
    </row>
    <row r="109" spans="1:35" s="817" customFormat="1" ht="18" hidden="1" customHeight="1" x14ac:dyDescent="0.2">
      <c r="A109" s="555">
        <v>55702</v>
      </c>
      <c r="B109" s="560" t="s">
        <v>94</v>
      </c>
      <c r="C109" s="840"/>
      <c r="D109" s="805"/>
      <c r="E109" s="804"/>
      <c r="F109" s="804"/>
      <c r="G109" s="822"/>
      <c r="H109" s="820"/>
      <c r="I109" s="808"/>
      <c r="J109" s="808"/>
      <c r="K109" s="808"/>
      <c r="L109" s="793">
        <f t="shared" si="38"/>
        <v>0</v>
      </c>
      <c r="M109" s="794">
        <v>0</v>
      </c>
      <c r="N109" s="795">
        <v>0</v>
      </c>
      <c r="O109" s="795">
        <v>0</v>
      </c>
      <c r="P109" s="795">
        <v>0</v>
      </c>
      <c r="Q109" s="795"/>
      <c r="R109" s="795"/>
      <c r="S109" s="796">
        <f>M109+N109+O109+P109</f>
        <v>0</v>
      </c>
      <c r="T109" s="797"/>
      <c r="U109" s="798"/>
      <c r="V109" s="795"/>
      <c r="W109" s="815">
        <f t="shared" si="32"/>
        <v>0</v>
      </c>
      <c r="X109" s="794"/>
      <c r="Y109" s="800"/>
      <c r="Z109" s="795"/>
      <c r="AA109" s="837"/>
      <c r="AB109" s="794"/>
      <c r="AC109" s="795"/>
      <c r="AD109" s="838"/>
      <c r="AE109" s="800"/>
      <c r="AF109" s="795"/>
      <c r="AG109" s="838"/>
      <c r="AH109" s="847">
        <f t="shared" si="39"/>
        <v>0</v>
      </c>
      <c r="AI109" s="747"/>
    </row>
    <row r="110" spans="1:35" s="817" customFormat="1" ht="18" hidden="1" customHeight="1" x14ac:dyDescent="0.2">
      <c r="A110" s="555">
        <v>55799</v>
      </c>
      <c r="B110" s="560" t="s">
        <v>95</v>
      </c>
      <c r="C110" s="840"/>
      <c r="D110" s="805"/>
      <c r="E110" s="804"/>
      <c r="F110" s="804"/>
      <c r="G110" s="822">
        <f>C110</f>
        <v>0</v>
      </c>
      <c r="H110" s="820"/>
      <c r="I110" s="808"/>
      <c r="J110" s="808"/>
      <c r="K110" s="808"/>
      <c r="L110" s="793">
        <f t="shared" si="38"/>
        <v>0</v>
      </c>
      <c r="M110" s="811">
        <v>0</v>
      </c>
      <c r="N110" s="812">
        <v>0</v>
      </c>
      <c r="O110" s="812">
        <v>0</v>
      </c>
      <c r="P110" s="812">
        <v>0</v>
      </c>
      <c r="Q110" s="812"/>
      <c r="R110" s="812"/>
      <c r="S110" s="796">
        <f>M110+N110+O110+P110</f>
        <v>0</v>
      </c>
      <c r="T110" s="813"/>
      <c r="U110" s="814"/>
      <c r="V110" s="812"/>
      <c r="W110" s="815">
        <f t="shared" si="32"/>
        <v>0</v>
      </c>
      <c r="X110" s="811"/>
      <c r="Y110" s="816"/>
      <c r="Z110" s="812"/>
      <c r="AA110" s="801"/>
      <c r="AB110" s="811"/>
      <c r="AC110" s="812"/>
      <c r="AD110" s="802"/>
      <c r="AE110" s="816"/>
      <c r="AF110" s="812"/>
      <c r="AG110" s="802"/>
      <c r="AH110" s="847">
        <f t="shared" si="39"/>
        <v>0</v>
      </c>
      <c r="AI110" s="747"/>
    </row>
    <row r="111" spans="1:35" s="817" customFormat="1" ht="18" hidden="1" customHeight="1" x14ac:dyDescent="0.2">
      <c r="A111" s="555"/>
      <c r="B111" s="560"/>
      <c r="C111" s="840"/>
      <c r="D111" s="805"/>
      <c r="E111" s="805"/>
      <c r="F111" s="805"/>
      <c r="G111" s="841"/>
      <c r="H111" s="820"/>
      <c r="I111" s="808"/>
      <c r="J111" s="808"/>
      <c r="K111" s="808"/>
      <c r="L111" s="793">
        <f t="shared" si="38"/>
        <v>0</v>
      </c>
      <c r="M111" s="811">
        <v>0</v>
      </c>
      <c r="N111" s="812">
        <v>0</v>
      </c>
      <c r="O111" s="812">
        <v>0</v>
      </c>
      <c r="P111" s="812">
        <v>0</v>
      </c>
      <c r="Q111" s="812"/>
      <c r="R111" s="812"/>
      <c r="S111" s="796">
        <f>M111+N111+O111+P111</f>
        <v>0</v>
      </c>
      <c r="T111" s="813"/>
      <c r="U111" s="814"/>
      <c r="V111" s="812"/>
      <c r="W111" s="815">
        <f t="shared" si="32"/>
        <v>0</v>
      </c>
      <c r="X111" s="811"/>
      <c r="Y111" s="816"/>
      <c r="Z111" s="812"/>
      <c r="AA111" s="801"/>
      <c r="AB111" s="811"/>
      <c r="AC111" s="812"/>
      <c r="AD111" s="802"/>
      <c r="AE111" s="816"/>
      <c r="AF111" s="812"/>
      <c r="AG111" s="802"/>
      <c r="AH111" s="847">
        <f t="shared" si="39"/>
        <v>0</v>
      </c>
      <c r="AI111" s="747"/>
    </row>
    <row r="112" spans="1:35" s="817" customFormat="1" ht="18" customHeight="1" x14ac:dyDescent="0.2">
      <c r="A112" s="551">
        <v>56</v>
      </c>
      <c r="B112" s="561" t="s">
        <v>96</v>
      </c>
      <c r="C112" s="839">
        <f>C113+C116</f>
        <v>2904.7229083333332</v>
      </c>
      <c r="D112" s="788">
        <f>D113+D116</f>
        <v>0</v>
      </c>
      <c r="E112" s="788">
        <f>E113+E116</f>
        <v>0</v>
      </c>
      <c r="F112" s="788">
        <f>F113+F116</f>
        <v>0</v>
      </c>
      <c r="G112" s="842">
        <f>F112+D112+C112</f>
        <v>2904.7229083333332</v>
      </c>
      <c r="H112" s="819">
        <f>H113+H116</f>
        <v>17875.001791666669</v>
      </c>
      <c r="I112" s="791">
        <f>I113+I116</f>
        <v>0</v>
      </c>
      <c r="J112" s="791">
        <f>J113+J116</f>
        <v>0</v>
      </c>
      <c r="K112" s="791">
        <f>K113+K116</f>
        <v>0</v>
      </c>
      <c r="L112" s="793">
        <f t="shared" si="38"/>
        <v>17875.001791666669</v>
      </c>
      <c r="M112" s="811">
        <f t="shared" ref="M112:N112" si="41">M113+M116</f>
        <v>0</v>
      </c>
      <c r="N112" s="795">
        <f t="shared" si="41"/>
        <v>177584.41</v>
      </c>
      <c r="O112" s="812">
        <v>0</v>
      </c>
      <c r="P112" s="812">
        <v>0</v>
      </c>
      <c r="Q112" s="812">
        <v>0</v>
      </c>
      <c r="R112" s="812">
        <v>0</v>
      </c>
      <c r="S112" s="825">
        <f>M112+N112+O112+P112+R112</f>
        <v>177584.41</v>
      </c>
      <c r="T112" s="797">
        <v>0</v>
      </c>
      <c r="U112" s="798">
        <v>0</v>
      </c>
      <c r="V112" s="795">
        <v>0</v>
      </c>
      <c r="W112" s="799">
        <f t="shared" si="32"/>
        <v>0</v>
      </c>
      <c r="X112" s="811"/>
      <c r="Y112" s="816"/>
      <c r="Z112" s="812"/>
      <c r="AA112" s="801"/>
      <c r="AB112" s="811"/>
      <c r="AC112" s="812"/>
      <c r="AD112" s="802"/>
      <c r="AE112" s="816"/>
      <c r="AF112" s="812"/>
      <c r="AG112" s="802"/>
      <c r="AH112" s="847">
        <f t="shared" si="39"/>
        <v>198364.1347</v>
      </c>
      <c r="AI112" s="747"/>
    </row>
    <row r="113" spans="1:35" s="817" customFormat="1" ht="18" customHeight="1" x14ac:dyDescent="0.2">
      <c r="A113" s="551">
        <v>562</v>
      </c>
      <c r="B113" s="561" t="s">
        <v>97</v>
      </c>
      <c r="C113" s="839">
        <f>C114+C115</f>
        <v>1904.7229083333334</v>
      </c>
      <c r="D113" s="788">
        <f>D114+D115</f>
        <v>0</v>
      </c>
      <c r="E113" s="805">
        <v>0</v>
      </c>
      <c r="F113" s="805">
        <v>0</v>
      </c>
      <c r="G113" s="842">
        <f t="shared" ref="G113:G119" si="42">F113+D113+C113</f>
        <v>1904.7229083333334</v>
      </c>
      <c r="H113" s="819">
        <f>H114+H115</f>
        <v>14875.001791666667</v>
      </c>
      <c r="I113" s="791">
        <f>I114+I115</f>
        <v>0</v>
      </c>
      <c r="J113" s="791">
        <f>J114+J115</f>
        <v>0</v>
      </c>
      <c r="K113" s="791">
        <f>K114+K115</f>
        <v>0</v>
      </c>
      <c r="L113" s="793">
        <f t="shared" si="38"/>
        <v>14875.001791666667</v>
      </c>
      <c r="M113" s="811">
        <v>0</v>
      </c>
      <c r="N113" s="812">
        <v>0</v>
      </c>
      <c r="O113" s="812">
        <v>0</v>
      </c>
      <c r="P113" s="812">
        <v>0</v>
      </c>
      <c r="Q113" s="812">
        <v>0</v>
      </c>
      <c r="R113" s="812">
        <v>0</v>
      </c>
      <c r="S113" s="825">
        <f t="shared" ref="S113:S116" si="43">M113+N113+O113+P113+R113</f>
        <v>0</v>
      </c>
      <c r="T113" s="797">
        <v>0</v>
      </c>
      <c r="U113" s="798">
        <v>0</v>
      </c>
      <c r="V113" s="795">
        <v>0</v>
      </c>
      <c r="W113" s="799">
        <f t="shared" si="32"/>
        <v>0</v>
      </c>
      <c r="X113" s="811"/>
      <c r="Y113" s="816"/>
      <c r="Z113" s="812"/>
      <c r="AA113" s="801"/>
      <c r="AB113" s="811"/>
      <c r="AC113" s="812"/>
      <c r="AD113" s="802"/>
      <c r="AE113" s="816"/>
      <c r="AF113" s="812"/>
      <c r="AG113" s="802"/>
      <c r="AH113" s="847">
        <f t="shared" si="39"/>
        <v>16779.724700000002</v>
      </c>
      <c r="AI113" s="747"/>
    </row>
    <row r="114" spans="1:35" s="817" customFormat="1" ht="18" customHeight="1" x14ac:dyDescent="0.2">
      <c r="A114" s="555">
        <v>56201</v>
      </c>
      <c r="B114" s="560" t="s">
        <v>638</v>
      </c>
      <c r="C114" s="821">
        <f>'egresos 25% y F.P'!C192</f>
        <v>1904.7229083333334</v>
      </c>
      <c r="D114" s="805"/>
      <c r="E114" s="805">
        <v>0</v>
      </c>
      <c r="F114" s="805">
        <v>0</v>
      </c>
      <c r="G114" s="841">
        <f t="shared" si="42"/>
        <v>1904.7229083333334</v>
      </c>
      <c r="H114" s="820">
        <f>'egresos 25% y F.P'!C88</f>
        <v>14875.001791666667</v>
      </c>
      <c r="I114" s="808">
        <v>0</v>
      </c>
      <c r="J114" s="808">
        <v>0</v>
      </c>
      <c r="K114" s="808">
        <v>0</v>
      </c>
      <c r="L114" s="793">
        <f t="shared" si="38"/>
        <v>14875.001791666667</v>
      </c>
      <c r="M114" s="811">
        <v>0</v>
      </c>
      <c r="N114" s="812">
        <v>0</v>
      </c>
      <c r="O114" s="812">
        <v>0</v>
      </c>
      <c r="P114" s="812">
        <v>0</v>
      </c>
      <c r="Q114" s="812">
        <v>0</v>
      </c>
      <c r="R114" s="812">
        <v>0</v>
      </c>
      <c r="S114" s="796">
        <f t="shared" ref="S114:S119" si="44">M114+N114+O114+P114+Q114+R114</f>
        <v>0</v>
      </c>
      <c r="T114" s="813">
        <v>0</v>
      </c>
      <c r="U114" s="814">
        <v>0</v>
      </c>
      <c r="V114" s="812">
        <v>0</v>
      </c>
      <c r="W114" s="815">
        <f t="shared" si="32"/>
        <v>0</v>
      </c>
      <c r="X114" s="811"/>
      <c r="Y114" s="816"/>
      <c r="Z114" s="812"/>
      <c r="AA114" s="801"/>
      <c r="AB114" s="811"/>
      <c r="AC114" s="812"/>
      <c r="AD114" s="802"/>
      <c r="AE114" s="816"/>
      <c r="AF114" s="812"/>
      <c r="AG114" s="802"/>
      <c r="AH114" s="908">
        <f t="shared" si="39"/>
        <v>16779.724700000002</v>
      </c>
      <c r="AI114" s="747"/>
    </row>
    <row r="115" spans="1:35" s="817" customFormat="1" ht="18" customHeight="1" x14ac:dyDescent="0.2">
      <c r="A115" s="555">
        <v>56202</v>
      </c>
      <c r="B115" s="560" t="s">
        <v>240</v>
      </c>
      <c r="C115" s="840"/>
      <c r="D115" s="805"/>
      <c r="E115" s="805">
        <v>0</v>
      </c>
      <c r="F115" s="805">
        <v>0</v>
      </c>
      <c r="G115" s="841">
        <f t="shared" si="42"/>
        <v>0</v>
      </c>
      <c r="H115" s="820"/>
      <c r="I115" s="808"/>
      <c r="J115" s="808"/>
      <c r="K115" s="808"/>
      <c r="L115" s="793">
        <f t="shared" si="38"/>
        <v>0</v>
      </c>
      <c r="M115" s="811">
        <v>0</v>
      </c>
      <c r="N115" s="812">
        <v>0</v>
      </c>
      <c r="O115" s="812">
        <v>0</v>
      </c>
      <c r="P115" s="812">
        <v>0</v>
      </c>
      <c r="Q115" s="812">
        <v>0</v>
      </c>
      <c r="R115" s="812">
        <v>0</v>
      </c>
      <c r="S115" s="796">
        <f t="shared" si="44"/>
        <v>0</v>
      </c>
      <c r="T115" s="813"/>
      <c r="U115" s="814"/>
      <c r="V115" s="812"/>
      <c r="W115" s="815">
        <f t="shared" si="32"/>
        <v>0</v>
      </c>
      <c r="X115" s="811"/>
      <c r="Y115" s="816"/>
      <c r="Z115" s="812"/>
      <c r="AA115" s="801"/>
      <c r="AB115" s="811"/>
      <c r="AC115" s="812"/>
      <c r="AD115" s="802"/>
      <c r="AE115" s="816"/>
      <c r="AF115" s="812"/>
      <c r="AG115" s="802"/>
      <c r="AH115" s="847">
        <f t="shared" si="39"/>
        <v>0</v>
      </c>
      <c r="AI115" s="747"/>
    </row>
    <row r="116" spans="1:35" s="817" customFormat="1" ht="18" customHeight="1" x14ac:dyDescent="0.2">
      <c r="A116" s="551">
        <v>563</v>
      </c>
      <c r="B116" s="561" t="s">
        <v>99</v>
      </c>
      <c r="C116" s="839">
        <f>C117+C118</f>
        <v>1000</v>
      </c>
      <c r="D116" s="788">
        <f>D117+D118</f>
        <v>0</v>
      </c>
      <c r="E116" s="805">
        <v>0</v>
      </c>
      <c r="F116" s="805">
        <v>0</v>
      </c>
      <c r="G116" s="842">
        <f t="shared" si="42"/>
        <v>1000</v>
      </c>
      <c r="H116" s="819">
        <f>H117+H118</f>
        <v>3000</v>
      </c>
      <c r="I116" s="791">
        <f>I117+I118</f>
        <v>0</v>
      </c>
      <c r="J116" s="791">
        <f>J117+J118</f>
        <v>0</v>
      </c>
      <c r="K116" s="791">
        <f>K117+K118</f>
        <v>0</v>
      </c>
      <c r="L116" s="793">
        <f>SUM(H116:J116)</f>
        <v>3000</v>
      </c>
      <c r="M116" s="794">
        <f>SUM(M117:M119)</f>
        <v>0</v>
      </c>
      <c r="N116" s="795">
        <f t="shared" ref="N116:O116" si="45">SUM(N117:N119)</f>
        <v>177584.41</v>
      </c>
      <c r="O116" s="795">
        <f t="shared" si="45"/>
        <v>0</v>
      </c>
      <c r="P116" s="795">
        <v>0</v>
      </c>
      <c r="Q116" s="795">
        <v>0</v>
      </c>
      <c r="R116" s="795">
        <v>0</v>
      </c>
      <c r="S116" s="825">
        <f t="shared" si="43"/>
        <v>177584.41</v>
      </c>
      <c r="T116" s="797">
        <v>0</v>
      </c>
      <c r="U116" s="798">
        <v>0</v>
      </c>
      <c r="V116" s="795">
        <v>0</v>
      </c>
      <c r="W116" s="799">
        <f t="shared" si="32"/>
        <v>0</v>
      </c>
      <c r="X116" s="811"/>
      <c r="Y116" s="816"/>
      <c r="Z116" s="812"/>
      <c r="AA116" s="801"/>
      <c r="AB116" s="811"/>
      <c r="AC116" s="812"/>
      <c r="AD116" s="802"/>
      <c r="AE116" s="816"/>
      <c r="AF116" s="812"/>
      <c r="AG116" s="802"/>
      <c r="AH116" s="847">
        <f t="shared" si="39"/>
        <v>181584.41</v>
      </c>
      <c r="AI116" s="747"/>
    </row>
    <row r="117" spans="1:35" s="817" customFormat="1" ht="18" customHeight="1" x14ac:dyDescent="0.2">
      <c r="A117" s="555">
        <v>56303</v>
      </c>
      <c r="B117" s="560" t="s">
        <v>98</v>
      </c>
      <c r="C117" s="840"/>
      <c r="D117" s="805"/>
      <c r="E117" s="805">
        <v>0</v>
      </c>
      <c r="F117" s="805">
        <v>0</v>
      </c>
      <c r="G117" s="841">
        <f t="shared" si="42"/>
        <v>0</v>
      </c>
      <c r="H117" s="820"/>
      <c r="I117" s="808"/>
      <c r="J117" s="808"/>
      <c r="K117" s="808"/>
      <c r="L117" s="793">
        <f t="shared" ref="L117:L160" si="46">SUM(H117:J117)</f>
        <v>0</v>
      </c>
      <c r="M117" s="811">
        <v>0</v>
      </c>
      <c r="N117" s="812">
        <v>0</v>
      </c>
      <c r="O117" s="812">
        <v>0</v>
      </c>
      <c r="P117" s="812">
        <v>0</v>
      </c>
      <c r="Q117" s="812">
        <v>0</v>
      </c>
      <c r="R117" s="812">
        <v>0</v>
      </c>
      <c r="S117" s="796">
        <f t="shared" si="44"/>
        <v>0</v>
      </c>
      <c r="T117" s="813"/>
      <c r="U117" s="814"/>
      <c r="V117" s="812"/>
      <c r="W117" s="815">
        <f t="shared" si="32"/>
        <v>0</v>
      </c>
      <c r="X117" s="811"/>
      <c r="Y117" s="816"/>
      <c r="Z117" s="812"/>
      <c r="AA117" s="801"/>
      <c r="AB117" s="811"/>
      <c r="AC117" s="812"/>
      <c r="AD117" s="802"/>
      <c r="AE117" s="816"/>
      <c r="AF117" s="812"/>
      <c r="AG117" s="802"/>
      <c r="AH117" s="847">
        <f t="shared" si="39"/>
        <v>0</v>
      </c>
      <c r="AI117" s="747"/>
    </row>
    <row r="118" spans="1:35" s="817" customFormat="1" ht="18" customHeight="1" x14ac:dyDescent="0.2">
      <c r="A118" s="555">
        <v>56304</v>
      </c>
      <c r="B118" s="560" t="s">
        <v>109</v>
      </c>
      <c r="C118" s="821">
        <f>'egresos 25% y F.P'!C195</f>
        <v>1000</v>
      </c>
      <c r="D118" s="805">
        <v>0</v>
      </c>
      <c r="E118" s="805">
        <v>0</v>
      </c>
      <c r="F118" s="805">
        <v>0</v>
      </c>
      <c r="G118" s="841">
        <f t="shared" si="42"/>
        <v>1000</v>
      </c>
      <c r="H118" s="820">
        <f>'egresos 25% y F.P'!C91</f>
        <v>3000</v>
      </c>
      <c r="I118" s="808">
        <v>0</v>
      </c>
      <c r="J118" s="808">
        <v>0</v>
      </c>
      <c r="K118" s="808">
        <v>0</v>
      </c>
      <c r="L118" s="793">
        <f t="shared" si="46"/>
        <v>3000</v>
      </c>
      <c r="M118" s="811">
        <v>0</v>
      </c>
      <c r="N118" s="812">
        <f>'AG3'!D56+'AG3'!D63</f>
        <v>82250</v>
      </c>
      <c r="O118" s="812">
        <v>0</v>
      </c>
      <c r="P118" s="812">
        <v>0</v>
      </c>
      <c r="Q118" s="812">
        <v>0</v>
      </c>
      <c r="R118" s="812">
        <v>0</v>
      </c>
      <c r="S118" s="796">
        <f t="shared" si="44"/>
        <v>82250</v>
      </c>
      <c r="T118" s="813">
        <v>0</v>
      </c>
      <c r="U118" s="814">
        <v>0</v>
      </c>
      <c r="V118" s="812">
        <v>0</v>
      </c>
      <c r="W118" s="815">
        <f t="shared" si="32"/>
        <v>0</v>
      </c>
      <c r="X118" s="811"/>
      <c r="Y118" s="816"/>
      <c r="Z118" s="812"/>
      <c r="AA118" s="801"/>
      <c r="AB118" s="811"/>
      <c r="AC118" s="812"/>
      <c r="AD118" s="802"/>
      <c r="AE118" s="816"/>
      <c r="AF118" s="812"/>
      <c r="AG118" s="802"/>
      <c r="AH118" s="908">
        <f t="shared" si="39"/>
        <v>86250</v>
      </c>
      <c r="AI118" s="747"/>
    </row>
    <row r="119" spans="1:35" s="817" customFormat="1" ht="18" customHeight="1" x14ac:dyDescent="0.2">
      <c r="A119" s="555">
        <v>56305</v>
      </c>
      <c r="B119" s="560" t="s">
        <v>254</v>
      </c>
      <c r="C119" s="840">
        <v>0</v>
      </c>
      <c r="D119" s="805">
        <v>0</v>
      </c>
      <c r="E119" s="805">
        <v>0</v>
      </c>
      <c r="F119" s="805">
        <v>0</v>
      </c>
      <c r="G119" s="841">
        <f t="shared" si="42"/>
        <v>0</v>
      </c>
      <c r="H119" s="820">
        <v>0</v>
      </c>
      <c r="I119" s="808">
        <v>0</v>
      </c>
      <c r="J119" s="808">
        <v>0</v>
      </c>
      <c r="K119" s="808">
        <v>0</v>
      </c>
      <c r="L119" s="793">
        <f t="shared" si="46"/>
        <v>0</v>
      </c>
      <c r="M119" s="811">
        <v>0</v>
      </c>
      <c r="N119" s="812">
        <f>'AG3'!D57</f>
        <v>95334.41</v>
      </c>
      <c r="O119" s="812">
        <v>0</v>
      </c>
      <c r="P119" s="812">
        <v>0</v>
      </c>
      <c r="Q119" s="812">
        <v>0</v>
      </c>
      <c r="R119" s="812">
        <v>0</v>
      </c>
      <c r="S119" s="796">
        <f t="shared" si="44"/>
        <v>95334.41</v>
      </c>
      <c r="T119" s="813">
        <v>0</v>
      </c>
      <c r="U119" s="814">
        <v>0</v>
      </c>
      <c r="V119" s="812">
        <v>0</v>
      </c>
      <c r="W119" s="815">
        <f t="shared" si="32"/>
        <v>0</v>
      </c>
      <c r="X119" s="811"/>
      <c r="Y119" s="816"/>
      <c r="Z119" s="812"/>
      <c r="AA119" s="801"/>
      <c r="AB119" s="811"/>
      <c r="AC119" s="812"/>
      <c r="AD119" s="802"/>
      <c r="AE119" s="816"/>
      <c r="AF119" s="812"/>
      <c r="AG119" s="802"/>
      <c r="AH119" s="908">
        <f t="shared" si="39"/>
        <v>95334.41</v>
      </c>
      <c r="AI119" s="747"/>
    </row>
    <row r="120" spans="1:35" s="817" customFormat="1" ht="18" customHeight="1" x14ac:dyDescent="0.2">
      <c r="A120" s="557" t="s">
        <v>162</v>
      </c>
      <c r="B120" s="566" t="s">
        <v>163</v>
      </c>
      <c r="C120" s="839">
        <v>0</v>
      </c>
      <c r="D120" s="788">
        <v>0</v>
      </c>
      <c r="E120" s="788">
        <v>0</v>
      </c>
      <c r="F120" s="788">
        <f>F139</f>
        <v>0</v>
      </c>
      <c r="G120" s="842">
        <f>G121+G130+G134+G139</f>
        <v>0</v>
      </c>
      <c r="H120" s="819">
        <f>H121+H130+H134+H139</f>
        <v>0</v>
      </c>
      <c r="I120" s="791">
        <f>I121+I130+I134+I139</f>
        <v>0</v>
      </c>
      <c r="J120" s="791">
        <f>J141</f>
        <v>0</v>
      </c>
      <c r="K120" s="791">
        <f>K121+K130+K134+K139</f>
        <v>0</v>
      </c>
      <c r="L120" s="793">
        <f>SUM(H120:K120)</f>
        <v>0</v>
      </c>
      <c r="M120" s="797">
        <f>M121+M130+M134+M139</f>
        <v>218621.09</v>
      </c>
      <c r="N120" s="795">
        <f>N121+N130+N134+N139</f>
        <v>216765.93000000002</v>
      </c>
      <c r="O120" s="795">
        <f>O121+O130+O134+O139</f>
        <v>88575.69</v>
      </c>
      <c r="P120" s="795">
        <v>0</v>
      </c>
      <c r="Q120" s="795">
        <v>0</v>
      </c>
      <c r="R120" s="795">
        <v>0</v>
      </c>
      <c r="S120" s="825">
        <f>M120+N120+O120+P120+R120</f>
        <v>523962.71</v>
      </c>
      <c r="T120" s="797">
        <f>T121+T130+T134+T139</f>
        <v>22906.04</v>
      </c>
      <c r="U120" s="798">
        <f>U121+U130+U134+U139</f>
        <v>23906.229999999996</v>
      </c>
      <c r="V120" s="795">
        <f>V121+V130+V134+V139</f>
        <v>25437.11</v>
      </c>
      <c r="W120" s="799">
        <f t="shared" si="32"/>
        <v>49343.34</v>
      </c>
      <c r="X120" s="794">
        <f>X121+X130+X134+X139</f>
        <v>0</v>
      </c>
      <c r="Y120" s="816"/>
      <c r="Z120" s="812"/>
      <c r="AA120" s="801"/>
      <c r="AB120" s="811"/>
      <c r="AC120" s="812"/>
      <c r="AD120" s="802"/>
      <c r="AE120" s="816"/>
      <c r="AF120" s="812"/>
      <c r="AG120" s="802"/>
      <c r="AH120" s="847">
        <f t="shared" si="39"/>
        <v>596212.09</v>
      </c>
      <c r="AI120" s="747"/>
    </row>
    <row r="121" spans="1:35" s="817" customFormat="1" ht="18" customHeight="1" x14ac:dyDescent="0.2">
      <c r="A121" s="557" t="s">
        <v>164</v>
      </c>
      <c r="B121" s="566" t="s">
        <v>165</v>
      </c>
      <c r="C121" s="839">
        <v>0</v>
      </c>
      <c r="D121" s="788">
        <v>0</v>
      </c>
      <c r="E121" s="788">
        <v>0</v>
      </c>
      <c r="F121" s="788">
        <v>0</v>
      </c>
      <c r="G121" s="842">
        <v>0</v>
      </c>
      <c r="H121" s="819">
        <v>0</v>
      </c>
      <c r="I121" s="791">
        <v>0</v>
      </c>
      <c r="J121" s="791">
        <v>0</v>
      </c>
      <c r="K121" s="791">
        <v>0</v>
      </c>
      <c r="L121" s="793">
        <f t="shared" si="46"/>
        <v>0</v>
      </c>
      <c r="M121" s="797">
        <f>SUM(M122:M129)</f>
        <v>59140.09</v>
      </c>
      <c r="N121" s="795">
        <f>SUM(N122:N129)</f>
        <v>0</v>
      </c>
      <c r="O121" s="795">
        <f>SUM(O122:O129)</f>
        <v>0</v>
      </c>
      <c r="P121" s="795">
        <v>0</v>
      </c>
      <c r="Q121" s="795">
        <v>0</v>
      </c>
      <c r="R121" s="795">
        <v>0</v>
      </c>
      <c r="S121" s="825">
        <f>M121+N121+O121+P121+R121</f>
        <v>59140.09</v>
      </c>
      <c r="T121" s="797">
        <f>SUM(T122:T129)</f>
        <v>22906.04</v>
      </c>
      <c r="U121" s="798">
        <v>0</v>
      </c>
      <c r="V121" s="795">
        <v>0</v>
      </c>
      <c r="W121" s="799">
        <f t="shared" si="32"/>
        <v>0</v>
      </c>
      <c r="X121" s="811"/>
      <c r="Y121" s="816"/>
      <c r="Z121" s="812"/>
      <c r="AA121" s="801"/>
      <c r="AB121" s="811"/>
      <c r="AC121" s="812"/>
      <c r="AD121" s="802"/>
      <c r="AE121" s="816"/>
      <c r="AF121" s="812"/>
      <c r="AG121" s="802"/>
      <c r="AH121" s="847">
        <f t="shared" si="39"/>
        <v>82046.13</v>
      </c>
      <c r="AI121" s="747"/>
    </row>
    <row r="122" spans="1:35" s="817" customFormat="1" ht="18" customHeight="1" x14ac:dyDescent="0.2">
      <c r="A122" s="553" t="s">
        <v>166</v>
      </c>
      <c r="B122" s="567" t="s">
        <v>167</v>
      </c>
      <c r="C122" s="840">
        <v>0</v>
      </c>
      <c r="D122" s="805">
        <v>0</v>
      </c>
      <c r="E122" s="805">
        <v>0</v>
      </c>
      <c r="F122" s="805">
        <v>0</v>
      </c>
      <c r="G122" s="841">
        <v>0</v>
      </c>
      <c r="H122" s="820">
        <v>0</v>
      </c>
      <c r="I122" s="808">
        <v>0</v>
      </c>
      <c r="J122" s="808">
        <v>0</v>
      </c>
      <c r="K122" s="808">
        <v>0</v>
      </c>
      <c r="L122" s="793">
        <f t="shared" si="46"/>
        <v>0</v>
      </c>
      <c r="M122" s="813">
        <f>'AG3'!D28</f>
        <v>5140.09</v>
      </c>
      <c r="N122" s="812">
        <v>0</v>
      </c>
      <c r="O122" s="812">
        <v>0</v>
      </c>
      <c r="P122" s="812">
        <v>0</v>
      </c>
      <c r="Q122" s="812">
        <v>0</v>
      </c>
      <c r="R122" s="812">
        <v>0</v>
      </c>
      <c r="S122" s="796">
        <f>M122+N122+O122+P122+Q122+R122</f>
        <v>5140.09</v>
      </c>
      <c r="T122" s="813">
        <v>0</v>
      </c>
      <c r="U122" s="814">
        <v>0</v>
      </c>
      <c r="V122" s="812">
        <v>0</v>
      </c>
      <c r="W122" s="815">
        <f t="shared" si="32"/>
        <v>0</v>
      </c>
      <c r="X122" s="811"/>
      <c r="Y122" s="816"/>
      <c r="Z122" s="812"/>
      <c r="AA122" s="801"/>
      <c r="AB122" s="811"/>
      <c r="AC122" s="812"/>
      <c r="AD122" s="802"/>
      <c r="AE122" s="816"/>
      <c r="AF122" s="812"/>
      <c r="AG122" s="802"/>
      <c r="AH122" s="908">
        <f t="shared" si="39"/>
        <v>5140.09</v>
      </c>
      <c r="AI122" s="747"/>
    </row>
    <row r="123" spans="1:35" s="817" customFormat="1" ht="18" customHeight="1" x14ac:dyDescent="0.2">
      <c r="A123" s="553" t="s">
        <v>168</v>
      </c>
      <c r="B123" s="567" t="s">
        <v>169</v>
      </c>
      <c r="C123" s="840">
        <v>0</v>
      </c>
      <c r="D123" s="805">
        <v>0</v>
      </c>
      <c r="E123" s="805">
        <v>0</v>
      </c>
      <c r="F123" s="805">
        <v>0</v>
      </c>
      <c r="G123" s="841">
        <v>0</v>
      </c>
      <c r="H123" s="820">
        <v>0</v>
      </c>
      <c r="I123" s="808">
        <v>0</v>
      </c>
      <c r="J123" s="808">
        <v>0</v>
      </c>
      <c r="K123" s="808">
        <v>0</v>
      </c>
      <c r="L123" s="793">
        <f t="shared" si="46"/>
        <v>0</v>
      </c>
      <c r="M123" s="813">
        <v>0</v>
      </c>
      <c r="N123" s="812">
        <v>0</v>
      </c>
      <c r="O123" s="812">
        <v>0</v>
      </c>
      <c r="P123" s="812">
        <v>0</v>
      </c>
      <c r="Q123" s="812">
        <v>0</v>
      </c>
      <c r="R123" s="812">
        <v>0</v>
      </c>
      <c r="S123" s="796">
        <f>M123+N123+O123+P123+Q123+R123</f>
        <v>0</v>
      </c>
      <c r="T123" s="813">
        <v>0</v>
      </c>
      <c r="U123" s="814">
        <v>0</v>
      </c>
      <c r="V123" s="812">
        <v>0</v>
      </c>
      <c r="W123" s="815">
        <f t="shared" si="32"/>
        <v>0</v>
      </c>
      <c r="X123" s="811"/>
      <c r="Y123" s="816"/>
      <c r="Z123" s="812"/>
      <c r="AA123" s="801"/>
      <c r="AB123" s="811"/>
      <c r="AC123" s="812"/>
      <c r="AD123" s="802"/>
      <c r="AE123" s="816"/>
      <c r="AF123" s="812"/>
      <c r="AG123" s="802"/>
      <c r="AH123" s="908">
        <f t="shared" si="39"/>
        <v>0</v>
      </c>
      <c r="AI123" s="747"/>
    </row>
    <row r="124" spans="1:35" s="817" customFormat="1" ht="18" customHeight="1" x14ac:dyDescent="0.2">
      <c r="A124" s="553" t="s">
        <v>170</v>
      </c>
      <c r="B124" s="567" t="s">
        <v>171</v>
      </c>
      <c r="C124" s="840">
        <v>0</v>
      </c>
      <c r="D124" s="805">
        <v>0</v>
      </c>
      <c r="E124" s="805">
        <v>0</v>
      </c>
      <c r="F124" s="805">
        <v>0</v>
      </c>
      <c r="G124" s="841">
        <v>0</v>
      </c>
      <c r="H124" s="820">
        <v>0</v>
      </c>
      <c r="I124" s="808">
        <v>0</v>
      </c>
      <c r="J124" s="808">
        <v>0</v>
      </c>
      <c r="K124" s="808">
        <v>0</v>
      </c>
      <c r="L124" s="793">
        <f t="shared" si="46"/>
        <v>0</v>
      </c>
      <c r="M124" s="813">
        <v>0</v>
      </c>
      <c r="N124" s="812">
        <v>0</v>
      </c>
      <c r="O124" s="812">
        <v>0</v>
      </c>
      <c r="P124" s="812">
        <v>0</v>
      </c>
      <c r="Q124" s="812">
        <v>0</v>
      </c>
      <c r="R124" s="812">
        <v>0</v>
      </c>
      <c r="S124" s="796">
        <f t="shared" ref="S124:S132" si="47">M124+N124+O124+P124+Q124+R124</f>
        <v>0</v>
      </c>
      <c r="T124" s="813">
        <v>0</v>
      </c>
      <c r="U124" s="814">
        <v>0</v>
      </c>
      <c r="V124" s="812">
        <v>0</v>
      </c>
      <c r="W124" s="815">
        <f t="shared" si="32"/>
        <v>0</v>
      </c>
      <c r="X124" s="811"/>
      <c r="Y124" s="816"/>
      <c r="Z124" s="812"/>
      <c r="AA124" s="801"/>
      <c r="AB124" s="811"/>
      <c r="AC124" s="812"/>
      <c r="AD124" s="802"/>
      <c r="AE124" s="816"/>
      <c r="AF124" s="812"/>
      <c r="AG124" s="802"/>
      <c r="AH124" s="908">
        <f t="shared" si="39"/>
        <v>0</v>
      </c>
      <c r="AI124" s="747"/>
    </row>
    <row r="125" spans="1:35" s="817" customFormat="1" ht="18" customHeight="1" x14ac:dyDescent="0.2">
      <c r="A125" s="553" t="s">
        <v>172</v>
      </c>
      <c r="B125" s="567" t="s">
        <v>173</v>
      </c>
      <c r="C125" s="840">
        <v>0</v>
      </c>
      <c r="D125" s="805">
        <v>0</v>
      </c>
      <c r="E125" s="805">
        <v>0</v>
      </c>
      <c r="F125" s="805">
        <v>0</v>
      </c>
      <c r="G125" s="841">
        <v>0</v>
      </c>
      <c r="H125" s="820">
        <v>0</v>
      </c>
      <c r="I125" s="808">
        <v>0</v>
      </c>
      <c r="J125" s="808">
        <v>0</v>
      </c>
      <c r="K125" s="808">
        <v>0</v>
      </c>
      <c r="L125" s="793">
        <f t="shared" si="46"/>
        <v>0</v>
      </c>
      <c r="M125" s="813">
        <f>'AG3'!D29</f>
        <v>5000</v>
      </c>
      <c r="N125" s="812">
        <v>0</v>
      </c>
      <c r="O125" s="812">
        <v>0</v>
      </c>
      <c r="P125" s="812">
        <v>0</v>
      </c>
      <c r="Q125" s="812">
        <v>0</v>
      </c>
      <c r="R125" s="812">
        <v>0</v>
      </c>
      <c r="S125" s="796">
        <f t="shared" si="47"/>
        <v>5000</v>
      </c>
      <c r="T125" s="813">
        <v>0</v>
      </c>
      <c r="U125" s="814">
        <v>0</v>
      </c>
      <c r="V125" s="812">
        <v>0</v>
      </c>
      <c r="W125" s="815">
        <f t="shared" si="32"/>
        <v>0</v>
      </c>
      <c r="X125" s="811"/>
      <c r="Y125" s="816"/>
      <c r="Z125" s="812"/>
      <c r="AA125" s="801"/>
      <c r="AB125" s="811"/>
      <c r="AC125" s="812"/>
      <c r="AD125" s="802"/>
      <c r="AE125" s="816"/>
      <c r="AF125" s="812"/>
      <c r="AG125" s="802"/>
      <c r="AH125" s="908">
        <f t="shared" si="39"/>
        <v>5000</v>
      </c>
      <c r="AI125" s="747"/>
    </row>
    <row r="126" spans="1:35" s="817" customFormat="1" ht="18" customHeight="1" x14ac:dyDescent="0.2">
      <c r="A126" s="553" t="s">
        <v>174</v>
      </c>
      <c r="B126" s="567" t="s">
        <v>175</v>
      </c>
      <c r="C126" s="840">
        <v>0</v>
      </c>
      <c r="D126" s="805">
        <v>0</v>
      </c>
      <c r="E126" s="805">
        <v>0</v>
      </c>
      <c r="F126" s="805">
        <v>0</v>
      </c>
      <c r="G126" s="841">
        <v>0</v>
      </c>
      <c r="H126" s="820">
        <v>0</v>
      </c>
      <c r="I126" s="808">
        <v>0</v>
      </c>
      <c r="J126" s="808">
        <v>0</v>
      </c>
      <c r="K126" s="808">
        <v>0</v>
      </c>
      <c r="L126" s="793">
        <f t="shared" si="46"/>
        <v>0</v>
      </c>
      <c r="M126" s="813">
        <f>+'AG3'!D15</f>
        <v>39000</v>
      </c>
      <c r="N126" s="812">
        <v>0</v>
      </c>
      <c r="O126" s="812">
        <v>0</v>
      </c>
      <c r="P126" s="812">
        <v>0</v>
      </c>
      <c r="Q126" s="812">
        <v>0</v>
      </c>
      <c r="R126" s="812">
        <v>0</v>
      </c>
      <c r="S126" s="796">
        <f t="shared" si="47"/>
        <v>39000</v>
      </c>
      <c r="T126" s="813">
        <f>'AG4'!F13</f>
        <v>22906.04</v>
      </c>
      <c r="U126" s="814">
        <v>0</v>
      </c>
      <c r="V126" s="812">
        <v>0</v>
      </c>
      <c r="W126" s="815">
        <f t="shared" si="32"/>
        <v>0</v>
      </c>
      <c r="X126" s="811"/>
      <c r="Y126" s="816"/>
      <c r="Z126" s="812"/>
      <c r="AA126" s="801"/>
      <c r="AB126" s="811"/>
      <c r="AC126" s="812"/>
      <c r="AD126" s="802"/>
      <c r="AE126" s="816"/>
      <c r="AF126" s="812"/>
      <c r="AG126" s="802"/>
      <c r="AH126" s="908">
        <f t="shared" si="39"/>
        <v>61906.04</v>
      </c>
      <c r="AI126" s="747"/>
    </row>
    <row r="127" spans="1:35" s="817" customFormat="1" ht="18" customHeight="1" x14ac:dyDescent="0.2">
      <c r="A127" s="553" t="s">
        <v>176</v>
      </c>
      <c r="B127" s="567" t="s">
        <v>177</v>
      </c>
      <c r="C127" s="840">
        <v>0</v>
      </c>
      <c r="D127" s="805">
        <v>0</v>
      </c>
      <c r="E127" s="805">
        <v>0</v>
      </c>
      <c r="F127" s="805">
        <v>0</v>
      </c>
      <c r="G127" s="841">
        <v>0</v>
      </c>
      <c r="H127" s="820">
        <v>0</v>
      </c>
      <c r="I127" s="808">
        <v>0</v>
      </c>
      <c r="J127" s="808">
        <v>0</v>
      </c>
      <c r="K127" s="808">
        <v>0</v>
      </c>
      <c r="L127" s="793">
        <f t="shared" si="46"/>
        <v>0</v>
      </c>
      <c r="M127" s="813">
        <v>0</v>
      </c>
      <c r="N127" s="812">
        <v>0</v>
      </c>
      <c r="O127" s="812">
        <v>0</v>
      </c>
      <c r="P127" s="812">
        <v>0</v>
      </c>
      <c r="Q127" s="812">
        <v>0</v>
      </c>
      <c r="R127" s="812">
        <v>0</v>
      </c>
      <c r="S127" s="796">
        <f t="shared" si="47"/>
        <v>0</v>
      </c>
      <c r="T127" s="813">
        <v>0</v>
      </c>
      <c r="U127" s="814">
        <v>0</v>
      </c>
      <c r="V127" s="812">
        <v>0</v>
      </c>
      <c r="W127" s="815">
        <f t="shared" si="32"/>
        <v>0</v>
      </c>
      <c r="X127" s="811"/>
      <c r="Y127" s="816"/>
      <c r="Z127" s="812"/>
      <c r="AA127" s="801"/>
      <c r="AB127" s="811"/>
      <c r="AC127" s="812"/>
      <c r="AD127" s="802"/>
      <c r="AE127" s="816"/>
      <c r="AF127" s="812"/>
      <c r="AG127" s="802"/>
      <c r="AH127" s="908">
        <f t="shared" si="39"/>
        <v>0</v>
      </c>
      <c r="AI127" s="747"/>
    </row>
    <row r="128" spans="1:35" s="817" customFormat="1" ht="18" customHeight="1" x14ac:dyDescent="0.2">
      <c r="A128" s="553" t="s">
        <v>178</v>
      </c>
      <c r="B128" s="567" t="s">
        <v>179</v>
      </c>
      <c r="C128" s="840">
        <v>0</v>
      </c>
      <c r="D128" s="805">
        <v>0</v>
      </c>
      <c r="E128" s="805">
        <v>0</v>
      </c>
      <c r="F128" s="805">
        <v>0</v>
      </c>
      <c r="G128" s="841">
        <v>0</v>
      </c>
      <c r="H128" s="820">
        <v>0</v>
      </c>
      <c r="I128" s="808">
        <v>0</v>
      </c>
      <c r="J128" s="808">
        <v>0</v>
      </c>
      <c r="K128" s="808">
        <v>0</v>
      </c>
      <c r="L128" s="793">
        <f t="shared" si="46"/>
        <v>0</v>
      </c>
      <c r="M128" s="813">
        <v>0</v>
      </c>
      <c r="N128" s="812">
        <v>0</v>
      </c>
      <c r="O128" s="812">
        <v>0</v>
      </c>
      <c r="P128" s="812">
        <v>0</v>
      </c>
      <c r="Q128" s="812">
        <v>0</v>
      </c>
      <c r="R128" s="812">
        <v>0</v>
      </c>
      <c r="S128" s="796">
        <f t="shared" si="47"/>
        <v>0</v>
      </c>
      <c r="T128" s="813">
        <v>0</v>
      </c>
      <c r="U128" s="814">
        <v>0</v>
      </c>
      <c r="V128" s="812">
        <v>0</v>
      </c>
      <c r="W128" s="815">
        <f t="shared" si="32"/>
        <v>0</v>
      </c>
      <c r="X128" s="811"/>
      <c r="Y128" s="816"/>
      <c r="Z128" s="812"/>
      <c r="AA128" s="801"/>
      <c r="AB128" s="811"/>
      <c r="AC128" s="812"/>
      <c r="AD128" s="802"/>
      <c r="AE128" s="816"/>
      <c r="AF128" s="812"/>
      <c r="AG128" s="802"/>
      <c r="AH128" s="908">
        <f t="shared" si="39"/>
        <v>0</v>
      </c>
      <c r="AI128" s="747"/>
    </row>
    <row r="129" spans="1:35" s="817" customFormat="1" ht="18" customHeight="1" x14ac:dyDescent="0.2">
      <c r="A129" s="553" t="s">
        <v>180</v>
      </c>
      <c r="B129" s="567" t="s">
        <v>181</v>
      </c>
      <c r="C129" s="840">
        <v>0</v>
      </c>
      <c r="D129" s="805">
        <v>0</v>
      </c>
      <c r="E129" s="805">
        <v>0</v>
      </c>
      <c r="F129" s="805">
        <v>0</v>
      </c>
      <c r="G129" s="841">
        <v>0</v>
      </c>
      <c r="H129" s="820">
        <v>0</v>
      </c>
      <c r="I129" s="808">
        <v>0</v>
      </c>
      <c r="J129" s="808">
        <v>0</v>
      </c>
      <c r="K129" s="808">
        <v>0</v>
      </c>
      <c r="L129" s="793">
        <f t="shared" si="46"/>
        <v>0</v>
      </c>
      <c r="M129" s="813">
        <f>'AG3'!D30</f>
        <v>10000</v>
      </c>
      <c r="N129" s="812">
        <v>0</v>
      </c>
      <c r="O129" s="812">
        <v>0</v>
      </c>
      <c r="P129" s="812">
        <v>0</v>
      </c>
      <c r="Q129" s="812">
        <v>0</v>
      </c>
      <c r="R129" s="812">
        <v>0</v>
      </c>
      <c r="S129" s="796">
        <f t="shared" si="47"/>
        <v>10000</v>
      </c>
      <c r="T129" s="813">
        <v>0</v>
      </c>
      <c r="U129" s="814">
        <v>0</v>
      </c>
      <c r="V129" s="812">
        <v>0</v>
      </c>
      <c r="W129" s="815">
        <f t="shared" si="32"/>
        <v>0</v>
      </c>
      <c r="X129" s="811"/>
      <c r="Y129" s="816"/>
      <c r="Z129" s="812"/>
      <c r="AA129" s="801"/>
      <c r="AB129" s="811"/>
      <c r="AC129" s="812"/>
      <c r="AD129" s="802"/>
      <c r="AE129" s="816"/>
      <c r="AF129" s="812"/>
      <c r="AG129" s="802"/>
      <c r="AH129" s="908">
        <f t="shared" si="39"/>
        <v>10000</v>
      </c>
      <c r="AI129" s="747"/>
    </row>
    <row r="130" spans="1:35" s="817" customFormat="1" ht="18" customHeight="1" x14ac:dyDescent="0.2">
      <c r="A130" s="557" t="s">
        <v>241</v>
      </c>
      <c r="B130" s="566" t="s">
        <v>193</v>
      </c>
      <c r="C130" s="839">
        <v>0</v>
      </c>
      <c r="D130" s="788">
        <v>0</v>
      </c>
      <c r="E130" s="788">
        <v>0</v>
      </c>
      <c r="F130" s="788">
        <v>0</v>
      </c>
      <c r="G130" s="842">
        <v>0</v>
      </c>
      <c r="H130" s="819">
        <v>0</v>
      </c>
      <c r="I130" s="791">
        <v>0</v>
      </c>
      <c r="J130" s="791">
        <v>0</v>
      </c>
      <c r="K130" s="791">
        <v>0</v>
      </c>
      <c r="L130" s="793">
        <f t="shared" si="46"/>
        <v>0</v>
      </c>
      <c r="M130" s="797">
        <f>M131+M132+M133</f>
        <v>8749.75</v>
      </c>
      <c r="N130" s="795">
        <f>N131+N132+N133</f>
        <v>0</v>
      </c>
      <c r="O130" s="795">
        <v>0</v>
      </c>
      <c r="P130" s="795">
        <v>0</v>
      </c>
      <c r="Q130" s="795">
        <v>0</v>
      </c>
      <c r="R130" s="795">
        <v>0</v>
      </c>
      <c r="S130" s="825">
        <f>M130+N130+O130+P130+R130</f>
        <v>8749.75</v>
      </c>
      <c r="T130" s="797">
        <v>0</v>
      </c>
      <c r="U130" s="798">
        <v>0</v>
      </c>
      <c r="V130" s="795">
        <v>0</v>
      </c>
      <c r="W130" s="799">
        <f t="shared" si="32"/>
        <v>0</v>
      </c>
      <c r="X130" s="811"/>
      <c r="Y130" s="816"/>
      <c r="Z130" s="812"/>
      <c r="AA130" s="801"/>
      <c r="AB130" s="811"/>
      <c r="AC130" s="812"/>
      <c r="AD130" s="802"/>
      <c r="AE130" s="816"/>
      <c r="AF130" s="812"/>
      <c r="AG130" s="802"/>
      <c r="AH130" s="847">
        <f t="shared" si="39"/>
        <v>8749.75</v>
      </c>
      <c r="AI130" s="747"/>
    </row>
    <row r="131" spans="1:35" s="817" customFormat="1" ht="18" customHeight="1" x14ac:dyDescent="0.2">
      <c r="A131" s="553" t="s">
        <v>242</v>
      </c>
      <c r="B131" s="567" t="s">
        <v>243</v>
      </c>
      <c r="C131" s="840">
        <v>0</v>
      </c>
      <c r="D131" s="805">
        <v>0</v>
      </c>
      <c r="E131" s="805">
        <v>0</v>
      </c>
      <c r="F131" s="805">
        <v>0</v>
      </c>
      <c r="G131" s="841">
        <v>0</v>
      </c>
      <c r="H131" s="820">
        <v>0</v>
      </c>
      <c r="I131" s="808">
        <v>0</v>
      </c>
      <c r="J131" s="808">
        <v>0</v>
      </c>
      <c r="K131" s="808">
        <v>0</v>
      </c>
      <c r="L131" s="793">
        <f t="shared" si="46"/>
        <v>0</v>
      </c>
      <c r="M131" s="813">
        <v>0</v>
      </c>
      <c r="N131" s="812">
        <v>0</v>
      </c>
      <c r="O131" s="812">
        <v>0</v>
      </c>
      <c r="P131" s="812">
        <v>0</v>
      </c>
      <c r="Q131" s="812">
        <v>0</v>
      </c>
      <c r="R131" s="812">
        <v>0</v>
      </c>
      <c r="S131" s="796">
        <f>M131+N131+O131+P131+Q131+R131</f>
        <v>0</v>
      </c>
      <c r="T131" s="813">
        <v>0</v>
      </c>
      <c r="U131" s="814">
        <v>0</v>
      </c>
      <c r="V131" s="812">
        <v>0</v>
      </c>
      <c r="W131" s="815">
        <f t="shared" si="32"/>
        <v>0</v>
      </c>
      <c r="X131" s="811"/>
      <c r="Y131" s="816"/>
      <c r="Z131" s="812"/>
      <c r="AA131" s="801"/>
      <c r="AB131" s="811"/>
      <c r="AC131" s="812"/>
      <c r="AD131" s="802"/>
      <c r="AE131" s="816"/>
      <c r="AF131" s="812"/>
      <c r="AG131" s="802"/>
      <c r="AH131" s="847">
        <f t="shared" si="39"/>
        <v>0</v>
      </c>
      <c r="AI131" s="747"/>
    </row>
    <row r="132" spans="1:35" s="817" customFormat="1" ht="18" customHeight="1" x14ac:dyDescent="0.2">
      <c r="A132" s="553" t="s">
        <v>244</v>
      </c>
      <c r="B132" s="567" t="s">
        <v>245</v>
      </c>
      <c r="C132" s="840">
        <v>0</v>
      </c>
      <c r="D132" s="805">
        <v>0</v>
      </c>
      <c r="E132" s="805">
        <v>0</v>
      </c>
      <c r="F132" s="805">
        <v>0</v>
      </c>
      <c r="G132" s="841">
        <v>0</v>
      </c>
      <c r="H132" s="820">
        <v>0</v>
      </c>
      <c r="I132" s="808">
        <v>0</v>
      </c>
      <c r="J132" s="808">
        <v>0</v>
      </c>
      <c r="K132" s="808">
        <v>0</v>
      </c>
      <c r="L132" s="793">
        <f t="shared" si="46"/>
        <v>0</v>
      </c>
      <c r="M132" s="813">
        <f>'AG3'!D25</f>
        <v>8749.75</v>
      </c>
      <c r="N132" s="812">
        <v>0</v>
      </c>
      <c r="O132" s="812">
        <v>0</v>
      </c>
      <c r="P132" s="812">
        <v>0</v>
      </c>
      <c r="Q132" s="812">
        <v>0</v>
      </c>
      <c r="R132" s="812">
        <v>0</v>
      </c>
      <c r="S132" s="796">
        <f t="shared" si="47"/>
        <v>8749.75</v>
      </c>
      <c r="T132" s="813">
        <v>0</v>
      </c>
      <c r="U132" s="814">
        <v>0</v>
      </c>
      <c r="V132" s="812">
        <v>0</v>
      </c>
      <c r="W132" s="815">
        <f t="shared" si="32"/>
        <v>0</v>
      </c>
      <c r="X132" s="811"/>
      <c r="Y132" s="816"/>
      <c r="Z132" s="812"/>
      <c r="AA132" s="801"/>
      <c r="AB132" s="811"/>
      <c r="AC132" s="812"/>
      <c r="AD132" s="802"/>
      <c r="AE132" s="816"/>
      <c r="AF132" s="812"/>
      <c r="AG132" s="802"/>
      <c r="AH132" s="908">
        <f t="shared" si="39"/>
        <v>8749.75</v>
      </c>
      <c r="AI132" s="747"/>
    </row>
    <row r="133" spans="1:35" s="817" customFormat="1" ht="18" customHeight="1" x14ac:dyDescent="0.2">
      <c r="A133" s="553" t="s">
        <v>246</v>
      </c>
      <c r="B133" s="567" t="s">
        <v>247</v>
      </c>
      <c r="C133" s="840">
        <v>0</v>
      </c>
      <c r="D133" s="805">
        <v>0</v>
      </c>
      <c r="E133" s="805">
        <v>0</v>
      </c>
      <c r="F133" s="805">
        <v>0</v>
      </c>
      <c r="G133" s="841">
        <v>0</v>
      </c>
      <c r="H133" s="820">
        <v>0</v>
      </c>
      <c r="I133" s="808">
        <v>0</v>
      </c>
      <c r="J133" s="808">
        <v>0</v>
      </c>
      <c r="K133" s="808">
        <v>0</v>
      </c>
      <c r="L133" s="793">
        <f t="shared" si="46"/>
        <v>0</v>
      </c>
      <c r="M133" s="813">
        <v>0</v>
      </c>
      <c r="N133" s="812">
        <v>0</v>
      </c>
      <c r="O133" s="812">
        <v>0</v>
      </c>
      <c r="P133" s="812">
        <v>0</v>
      </c>
      <c r="Q133" s="812">
        <v>0</v>
      </c>
      <c r="R133" s="812">
        <v>0</v>
      </c>
      <c r="S133" s="796">
        <f>M133+N133+O133+P133+Q133+R133</f>
        <v>0</v>
      </c>
      <c r="T133" s="813">
        <v>0</v>
      </c>
      <c r="U133" s="814">
        <v>0</v>
      </c>
      <c r="V133" s="812">
        <v>0</v>
      </c>
      <c r="W133" s="815">
        <f t="shared" si="32"/>
        <v>0</v>
      </c>
      <c r="X133" s="811"/>
      <c r="Y133" s="816"/>
      <c r="Z133" s="812"/>
      <c r="AA133" s="801"/>
      <c r="AB133" s="811"/>
      <c r="AC133" s="812"/>
      <c r="AD133" s="802"/>
      <c r="AE133" s="816"/>
      <c r="AF133" s="812"/>
      <c r="AG133" s="802"/>
      <c r="AH133" s="847">
        <f t="shared" si="39"/>
        <v>0</v>
      </c>
      <c r="AI133" s="747"/>
    </row>
    <row r="134" spans="1:35" s="817" customFormat="1" ht="18" customHeight="1" x14ac:dyDescent="0.2">
      <c r="A134" s="551">
        <v>615</v>
      </c>
      <c r="B134" s="566" t="s">
        <v>195</v>
      </c>
      <c r="C134" s="839">
        <v>0</v>
      </c>
      <c r="D134" s="788">
        <v>0</v>
      </c>
      <c r="E134" s="788">
        <v>0</v>
      </c>
      <c r="F134" s="788">
        <v>0</v>
      </c>
      <c r="G134" s="842">
        <v>0</v>
      </c>
      <c r="H134" s="819">
        <v>0</v>
      </c>
      <c r="I134" s="791">
        <v>0</v>
      </c>
      <c r="J134" s="791">
        <v>0</v>
      </c>
      <c r="K134" s="791">
        <v>0</v>
      </c>
      <c r="L134" s="793">
        <f t="shared" si="46"/>
        <v>0</v>
      </c>
      <c r="M134" s="797">
        <f>M135+M136+M137+M138</f>
        <v>58208.39</v>
      </c>
      <c r="N134" s="795">
        <v>0</v>
      </c>
      <c r="O134" s="795">
        <v>0</v>
      </c>
      <c r="P134" s="795">
        <v>0</v>
      </c>
      <c r="Q134" s="795">
        <v>0</v>
      </c>
      <c r="R134" s="795">
        <v>0</v>
      </c>
      <c r="S134" s="825">
        <f>M134+N134+O134+P134+R134</f>
        <v>58208.39</v>
      </c>
      <c r="T134" s="797">
        <v>0</v>
      </c>
      <c r="U134" s="798">
        <v>0</v>
      </c>
      <c r="V134" s="795">
        <v>0</v>
      </c>
      <c r="W134" s="799">
        <f t="shared" si="32"/>
        <v>0</v>
      </c>
      <c r="X134" s="811"/>
      <c r="Y134" s="816"/>
      <c r="Z134" s="812"/>
      <c r="AA134" s="801"/>
      <c r="AB134" s="811"/>
      <c r="AC134" s="812"/>
      <c r="AD134" s="802"/>
      <c r="AE134" s="816"/>
      <c r="AF134" s="812"/>
      <c r="AG134" s="802"/>
      <c r="AH134" s="847">
        <f t="shared" si="39"/>
        <v>58208.39</v>
      </c>
      <c r="AI134" s="747"/>
    </row>
    <row r="135" spans="1:35" s="817" customFormat="1" ht="18" customHeight="1" x14ac:dyDescent="0.2">
      <c r="A135" s="555">
        <v>61501</v>
      </c>
      <c r="B135" s="567" t="s">
        <v>196</v>
      </c>
      <c r="C135" s="840">
        <v>0</v>
      </c>
      <c r="D135" s="805">
        <v>0</v>
      </c>
      <c r="E135" s="805">
        <v>0</v>
      </c>
      <c r="F135" s="805">
        <v>0</v>
      </c>
      <c r="G135" s="841">
        <v>0</v>
      </c>
      <c r="H135" s="820">
        <v>0</v>
      </c>
      <c r="I135" s="808">
        <v>0</v>
      </c>
      <c r="J135" s="808">
        <v>0</v>
      </c>
      <c r="K135" s="808">
        <v>0</v>
      </c>
      <c r="L135" s="793">
        <f t="shared" si="46"/>
        <v>0</v>
      </c>
      <c r="M135" s="813">
        <v>0</v>
      </c>
      <c r="N135" s="812">
        <v>0</v>
      </c>
      <c r="O135" s="812">
        <v>0</v>
      </c>
      <c r="P135" s="812">
        <v>0</v>
      </c>
      <c r="Q135" s="812">
        <v>0</v>
      </c>
      <c r="R135" s="812">
        <v>0</v>
      </c>
      <c r="S135" s="796">
        <f t="shared" ref="S135:S146" si="48">M135+N135+O135+P135+Q135+R135</f>
        <v>0</v>
      </c>
      <c r="T135" s="813">
        <v>0</v>
      </c>
      <c r="U135" s="814">
        <v>0</v>
      </c>
      <c r="V135" s="812">
        <v>0</v>
      </c>
      <c r="W135" s="799">
        <f t="shared" si="32"/>
        <v>0</v>
      </c>
      <c r="X135" s="811"/>
      <c r="Y135" s="816"/>
      <c r="Z135" s="812"/>
      <c r="AA135" s="801"/>
      <c r="AB135" s="811"/>
      <c r="AC135" s="812"/>
      <c r="AD135" s="802"/>
      <c r="AE135" s="816"/>
      <c r="AF135" s="812"/>
      <c r="AG135" s="802"/>
      <c r="AH135" s="847">
        <f t="shared" si="39"/>
        <v>0</v>
      </c>
      <c r="AI135" s="747"/>
    </row>
    <row r="136" spans="1:35" s="817" customFormat="1" ht="18" customHeight="1" x14ac:dyDescent="0.2">
      <c r="A136" s="555">
        <v>61502</v>
      </c>
      <c r="B136" s="567" t="s">
        <v>197</v>
      </c>
      <c r="C136" s="840">
        <v>0</v>
      </c>
      <c r="D136" s="805">
        <v>0</v>
      </c>
      <c r="E136" s="805">
        <v>0</v>
      </c>
      <c r="F136" s="805">
        <v>0</v>
      </c>
      <c r="G136" s="841">
        <v>0</v>
      </c>
      <c r="H136" s="820">
        <v>0</v>
      </c>
      <c r="I136" s="808">
        <v>0</v>
      </c>
      <c r="J136" s="808">
        <v>0</v>
      </c>
      <c r="K136" s="808">
        <v>0</v>
      </c>
      <c r="L136" s="793">
        <f t="shared" si="46"/>
        <v>0</v>
      </c>
      <c r="M136" s="813">
        <v>0</v>
      </c>
      <c r="N136" s="812">
        <v>0</v>
      </c>
      <c r="O136" s="812">
        <v>0</v>
      </c>
      <c r="P136" s="812">
        <v>0</v>
      </c>
      <c r="Q136" s="812">
        <v>0</v>
      </c>
      <c r="R136" s="812">
        <v>0</v>
      </c>
      <c r="S136" s="796">
        <f t="shared" si="48"/>
        <v>0</v>
      </c>
      <c r="T136" s="813">
        <v>0</v>
      </c>
      <c r="U136" s="814">
        <v>0</v>
      </c>
      <c r="V136" s="812">
        <v>0</v>
      </c>
      <c r="W136" s="799">
        <f t="shared" si="32"/>
        <v>0</v>
      </c>
      <c r="X136" s="811"/>
      <c r="Y136" s="816"/>
      <c r="Z136" s="812"/>
      <c r="AA136" s="801"/>
      <c r="AB136" s="811"/>
      <c r="AC136" s="812"/>
      <c r="AD136" s="802"/>
      <c r="AE136" s="816"/>
      <c r="AF136" s="812"/>
      <c r="AG136" s="802"/>
      <c r="AH136" s="847">
        <f t="shared" si="39"/>
        <v>0</v>
      </c>
      <c r="AI136" s="747"/>
    </row>
    <row r="137" spans="1:35" s="817" customFormat="1" ht="18" customHeight="1" x14ac:dyDescent="0.2">
      <c r="A137" s="555">
        <v>61503</v>
      </c>
      <c r="B137" s="567" t="s">
        <v>198</v>
      </c>
      <c r="C137" s="840">
        <v>0</v>
      </c>
      <c r="D137" s="805">
        <v>0</v>
      </c>
      <c r="E137" s="805">
        <v>0</v>
      </c>
      <c r="F137" s="805">
        <v>0</v>
      </c>
      <c r="G137" s="841">
        <v>0</v>
      </c>
      <c r="H137" s="820">
        <v>0</v>
      </c>
      <c r="I137" s="808">
        <v>0</v>
      </c>
      <c r="J137" s="808">
        <v>0</v>
      </c>
      <c r="K137" s="808">
        <v>0</v>
      </c>
      <c r="L137" s="793">
        <f t="shared" si="46"/>
        <v>0</v>
      </c>
      <c r="M137" s="813">
        <v>0</v>
      </c>
      <c r="N137" s="812">
        <v>0</v>
      </c>
      <c r="O137" s="812">
        <v>0</v>
      </c>
      <c r="P137" s="812">
        <v>0</v>
      </c>
      <c r="Q137" s="812">
        <v>0</v>
      </c>
      <c r="R137" s="812">
        <v>0</v>
      </c>
      <c r="S137" s="796">
        <f t="shared" si="48"/>
        <v>0</v>
      </c>
      <c r="T137" s="813">
        <v>0</v>
      </c>
      <c r="U137" s="814">
        <v>0</v>
      </c>
      <c r="V137" s="812">
        <v>0</v>
      </c>
      <c r="W137" s="799">
        <f t="shared" si="32"/>
        <v>0</v>
      </c>
      <c r="X137" s="811"/>
      <c r="Y137" s="816"/>
      <c r="Z137" s="812"/>
      <c r="AA137" s="801"/>
      <c r="AB137" s="811"/>
      <c r="AC137" s="812"/>
      <c r="AD137" s="802"/>
      <c r="AE137" s="816"/>
      <c r="AF137" s="812"/>
      <c r="AG137" s="802"/>
      <c r="AH137" s="847">
        <f t="shared" ref="AH137:AH151" si="49">+L137+S137+G137+AA137+AD137+AG137+T137+W137+X137</f>
        <v>0</v>
      </c>
      <c r="AI137" s="747"/>
    </row>
    <row r="138" spans="1:35" s="817" customFormat="1" ht="18" customHeight="1" x14ac:dyDescent="0.2">
      <c r="A138" s="555">
        <v>61599</v>
      </c>
      <c r="B138" s="567" t="s">
        <v>199</v>
      </c>
      <c r="C138" s="840">
        <v>0</v>
      </c>
      <c r="D138" s="805">
        <v>0</v>
      </c>
      <c r="E138" s="805">
        <v>0</v>
      </c>
      <c r="F138" s="805">
        <v>0</v>
      </c>
      <c r="G138" s="841">
        <v>0</v>
      </c>
      <c r="H138" s="820">
        <v>0</v>
      </c>
      <c r="I138" s="808">
        <v>0</v>
      </c>
      <c r="J138" s="808">
        <v>0</v>
      </c>
      <c r="K138" s="808">
        <v>0</v>
      </c>
      <c r="L138" s="793">
        <f t="shared" si="46"/>
        <v>0</v>
      </c>
      <c r="M138" s="813">
        <f>'AG3'!D21</f>
        <v>58208.39</v>
      </c>
      <c r="N138" s="812">
        <v>0</v>
      </c>
      <c r="O138" s="812">
        <v>0</v>
      </c>
      <c r="P138" s="812">
        <v>0</v>
      </c>
      <c r="Q138" s="812">
        <v>0</v>
      </c>
      <c r="R138" s="812">
        <v>0</v>
      </c>
      <c r="S138" s="796">
        <f t="shared" si="48"/>
        <v>58208.39</v>
      </c>
      <c r="T138" s="813">
        <v>0</v>
      </c>
      <c r="U138" s="814">
        <v>0</v>
      </c>
      <c r="V138" s="812">
        <v>0</v>
      </c>
      <c r="W138" s="815">
        <f t="shared" si="32"/>
        <v>0</v>
      </c>
      <c r="X138" s="811"/>
      <c r="Y138" s="816"/>
      <c r="Z138" s="812"/>
      <c r="AA138" s="801"/>
      <c r="AB138" s="811"/>
      <c r="AC138" s="812"/>
      <c r="AD138" s="802"/>
      <c r="AE138" s="816"/>
      <c r="AF138" s="812"/>
      <c r="AG138" s="802"/>
      <c r="AH138" s="908">
        <f t="shared" si="49"/>
        <v>58208.39</v>
      </c>
      <c r="AI138" s="747"/>
    </row>
    <row r="139" spans="1:35" s="817" customFormat="1" ht="18" customHeight="1" x14ac:dyDescent="0.2">
      <c r="A139" s="551">
        <v>616</v>
      </c>
      <c r="B139" s="566" t="s">
        <v>200</v>
      </c>
      <c r="C139" s="839">
        <v>0</v>
      </c>
      <c r="D139" s="788">
        <v>0</v>
      </c>
      <c r="E139" s="788">
        <v>0</v>
      </c>
      <c r="F139" s="805">
        <f>F141</f>
        <v>0</v>
      </c>
      <c r="G139" s="842">
        <f>G141</f>
        <v>0</v>
      </c>
      <c r="H139" s="819">
        <v>0</v>
      </c>
      <c r="I139" s="791">
        <v>0</v>
      </c>
      <c r="J139" s="791">
        <v>0</v>
      </c>
      <c r="K139" s="791">
        <v>0</v>
      </c>
      <c r="L139" s="793">
        <f>K139</f>
        <v>0</v>
      </c>
      <c r="M139" s="797">
        <f>M140+M141+M142+M143+M144+M145+M146+M147</f>
        <v>92522.86</v>
      </c>
      <c r="N139" s="795">
        <f>SUM(N140:N147)</f>
        <v>216765.93000000002</v>
      </c>
      <c r="O139" s="795">
        <f>SUM(O140:O147)</f>
        <v>88575.69</v>
      </c>
      <c r="P139" s="812">
        <v>0</v>
      </c>
      <c r="Q139" s="812">
        <v>0</v>
      </c>
      <c r="R139" s="812">
        <v>0</v>
      </c>
      <c r="S139" s="825">
        <f>M139+N139+O139+P139+R139</f>
        <v>397864.48000000004</v>
      </c>
      <c r="T139" s="797">
        <f>T140+T141+T142+T143+T144+T145+T146+T147</f>
        <v>0</v>
      </c>
      <c r="U139" s="798">
        <f>U140+U141+U142+U143+U144+U145+U146+U147</f>
        <v>23906.229999999996</v>
      </c>
      <c r="V139" s="795">
        <f>V140+V141+V142+V143+V144+V145+V146+V147</f>
        <v>25437.11</v>
      </c>
      <c r="W139" s="799">
        <f t="shared" si="32"/>
        <v>49343.34</v>
      </c>
      <c r="X139" s="794">
        <f>X140+X141+X142+X143+X144+X145+X146+X147</f>
        <v>0</v>
      </c>
      <c r="Y139" s="816"/>
      <c r="Z139" s="812"/>
      <c r="AA139" s="801"/>
      <c r="AB139" s="811"/>
      <c r="AC139" s="812"/>
      <c r="AD139" s="802"/>
      <c r="AE139" s="816"/>
      <c r="AF139" s="812"/>
      <c r="AG139" s="802"/>
      <c r="AH139" s="847">
        <f t="shared" si="49"/>
        <v>447207.82000000007</v>
      </c>
      <c r="AI139" s="747"/>
    </row>
    <row r="140" spans="1:35" s="817" customFormat="1" ht="18" customHeight="1" x14ac:dyDescent="0.2">
      <c r="A140" s="555">
        <v>61601</v>
      </c>
      <c r="B140" s="567" t="s">
        <v>201</v>
      </c>
      <c r="C140" s="840">
        <v>0</v>
      </c>
      <c r="D140" s="805">
        <v>0</v>
      </c>
      <c r="E140" s="805">
        <v>0</v>
      </c>
      <c r="F140" s="805">
        <v>0</v>
      </c>
      <c r="G140" s="841">
        <v>0</v>
      </c>
      <c r="H140" s="820">
        <v>0</v>
      </c>
      <c r="I140" s="808">
        <v>0</v>
      </c>
      <c r="J140" s="808">
        <v>0</v>
      </c>
      <c r="K140" s="808">
        <v>0</v>
      </c>
      <c r="L140" s="793">
        <f t="shared" si="46"/>
        <v>0</v>
      </c>
      <c r="M140" s="813">
        <v>0</v>
      </c>
      <c r="N140" s="812">
        <v>0</v>
      </c>
      <c r="O140" s="812">
        <f>'AG4'!D29+'AG4'!D27+'AG4'!D33+'AG4'!D36+'AG4'!D39+'AG4'!D42+'AG4'!D45+'AG4'!D48</f>
        <v>88575.69</v>
      </c>
      <c r="P140" s="812">
        <v>0</v>
      </c>
      <c r="Q140" s="812">
        <v>0</v>
      </c>
      <c r="R140" s="812">
        <v>0</v>
      </c>
      <c r="S140" s="796">
        <f>M140+N140+O140+P140+Q140+R140</f>
        <v>88575.69</v>
      </c>
      <c r="T140" s="813">
        <v>0</v>
      </c>
      <c r="U140" s="814">
        <v>0</v>
      </c>
      <c r="V140" s="812">
        <f>'AG4'!G27</f>
        <v>25437.11</v>
      </c>
      <c r="W140" s="815">
        <f t="shared" si="32"/>
        <v>25437.11</v>
      </c>
      <c r="X140" s="811"/>
      <c r="Y140" s="816"/>
      <c r="Z140" s="812"/>
      <c r="AA140" s="801"/>
      <c r="AB140" s="811"/>
      <c r="AC140" s="812"/>
      <c r="AD140" s="802"/>
      <c r="AE140" s="816"/>
      <c r="AF140" s="812"/>
      <c r="AG140" s="802"/>
      <c r="AH140" s="908">
        <f t="shared" si="49"/>
        <v>114012.8</v>
      </c>
      <c r="AI140" s="747"/>
    </row>
    <row r="141" spans="1:35" s="817" customFormat="1" ht="18" customHeight="1" x14ac:dyDescent="0.2">
      <c r="A141" s="555">
        <v>61602</v>
      </c>
      <c r="B141" s="567" t="s">
        <v>202</v>
      </c>
      <c r="C141" s="821">
        <v>0</v>
      </c>
      <c r="D141" s="805">
        <v>0</v>
      </c>
      <c r="E141" s="805">
        <v>0</v>
      </c>
      <c r="F141" s="805">
        <v>0</v>
      </c>
      <c r="G141" s="841">
        <v>0</v>
      </c>
      <c r="H141" s="820">
        <v>0</v>
      </c>
      <c r="I141" s="808">
        <v>0</v>
      </c>
      <c r="J141" s="808">
        <v>0</v>
      </c>
      <c r="K141" s="808">
        <v>0</v>
      </c>
      <c r="L141" s="793">
        <f>K141</f>
        <v>0</v>
      </c>
      <c r="M141" s="813">
        <v>0</v>
      </c>
      <c r="N141" s="812">
        <f>'AG3'!D36+'AG3'!D42+'AG3'!D48</f>
        <v>76016.73000000001</v>
      </c>
      <c r="O141" s="812">
        <v>0</v>
      </c>
      <c r="P141" s="812">
        <v>0</v>
      </c>
      <c r="Q141" s="812">
        <v>0</v>
      </c>
      <c r="R141" s="812">
        <v>0</v>
      </c>
      <c r="S141" s="796">
        <f>M141+N141+O141+P141+Q141+R141</f>
        <v>76016.73000000001</v>
      </c>
      <c r="T141" s="813">
        <v>0</v>
      </c>
      <c r="U141" s="814">
        <v>0</v>
      </c>
      <c r="V141" s="812">
        <v>0</v>
      </c>
      <c r="W141" s="815">
        <f t="shared" si="32"/>
        <v>0</v>
      </c>
      <c r="X141" s="811"/>
      <c r="Y141" s="816"/>
      <c r="Z141" s="812"/>
      <c r="AA141" s="801"/>
      <c r="AB141" s="811"/>
      <c r="AC141" s="812"/>
      <c r="AD141" s="802"/>
      <c r="AE141" s="816"/>
      <c r="AF141" s="812"/>
      <c r="AG141" s="802"/>
      <c r="AH141" s="908">
        <f t="shared" si="49"/>
        <v>76016.73000000001</v>
      </c>
      <c r="AI141" s="747"/>
    </row>
    <row r="142" spans="1:35" s="817" customFormat="1" ht="18" customHeight="1" x14ac:dyDescent="0.2">
      <c r="A142" s="555">
        <v>61603</v>
      </c>
      <c r="B142" s="567" t="s">
        <v>203</v>
      </c>
      <c r="C142" s="840">
        <v>0</v>
      </c>
      <c r="D142" s="805">
        <v>0</v>
      </c>
      <c r="E142" s="805">
        <v>0</v>
      </c>
      <c r="F142" s="805">
        <v>0</v>
      </c>
      <c r="G142" s="841">
        <v>0</v>
      </c>
      <c r="H142" s="820">
        <v>0</v>
      </c>
      <c r="I142" s="808">
        <v>0</v>
      </c>
      <c r="J142" s="808">
        <v>0</v>
      </c>
      <c r="K142" s="808">
        <v>0</v>
      </c>
      <c r="L142" s="793">
        <f t="shared" si="46"/>
        <v>0</v>
      </c>
      <c r="M142" s="813">
        <v>0</v>
      </c>
      <c r="N142" s="812">
        <f>'AG3'!D51+'AG3'!D66+'AG3'!D69+'AG3'!D72+'AG3'!D75</f>
        <v>85173.98</v>
      </c>
      <c r="O142" s="812">
        <v>0</v>
      </c>
      <c r="P142" s="812">
        <v>0</v>
      </c>
      <c r="Q142" s="812">
        <v>0</v>
      </c>
      <c r="R142" s="812">
        <v>0</v>
      </c>
      <c r="S142" s="796">
        <f>M142+N142+O142+P142+Q142+R142</f>
        <v>85173.98</v>
      </c>
      <c r="T142" s="813">
        <v>0</v>
      </c>
      <c r="U142" s="814">
        <f>'AG3'!I72</f>
        <v>23906.229999999996</v>
      </c>
      <c r="V142" s="812">
        <v>0</v>
      </c>
      <c r="W142" s="815">
        <f t="shared" ref="W142:W152" si="50">+U142+V142</f>
        <v>23906.229999999996</v>
      </c>
      <c r="X142" s="811"/>
      <c r="Y142" s="816"/>
      <c r="Z142" s="812"/>
      <c r="AA142" s="801"/>
      <c r="AB142" s="811"/>
      <c r="AC142" s="812"/>
      <c r="AD142" s="802"/>
      <c r="AE142" s="816"/>
      <c r="AF142" s="812"/>
      <c r="AG142" s="802"/>
      <c r="AH142" s="908">
        <f t="shared" si="49"/>
        <v>109080.20999999999</v>
      </c>
      <c r="AI142" s="747"/>
    </row>
    <row r="143" spans="1:35" s="817" customFormat="1" ht="18" customHeight="1" x14ac:dyDescent="0.2">
      <c r="A143" s="555">
        <v>61604</v>
      </c>
      <c r="B143" s="567" t="s">
        <v>204</v>
      </c>
      <c r="C143" s="840">
        <v>0</v>
      </c>
      <c r="D143" s="805">
        <v>0</v>
      </c>
      <c r="E143" s="805">
        <v>0</v>
      </c>
      <c r="F143" s="805">
        <v>0</v>
      </c>
      <c r="G143" s="841">
        <v>0</v>
      </c>
      <c r="H143" s="820">
        <v>0</v>
      </c>
      <c r="I143" s="808">
        <v>0</v>
      </c>
      <c r="J143" s="808">
        <v>0</v>
      </c>
      <c r="K143" s="808">
        <v>0</v>
      </c>
      <c r="L143" s="793">
        <f t="shared" si="46"/>
        <v>0</v>
      </c>
      <c r="M143" s="811">
        <v>0</v>
      </c>
      <c r="N143" s="812">
        <f>'AG3'!D78</f>
        <v>13575.22</v>
      </c>
      <c r="O143" s="812">
        <v>0</v>
      </c>
      <c r="P143" s="812">
        <v>0</v>
      </c>
      <c r="Q143" s="812">
        <v>0</v>
      </c>
      <c r="R143" s="812">
        <v>0</v>
      </c>
      <c r="S143" s="796">
        <f t="shared" si="48"/>
        <v>13575.22</v>
      </c>
      <c r="T143" s="813">
        <v>0</v>
      </c>
      <c r="U143" s="814">
        <v>0</v>
      </c>
      <c r="V143" s="812">
        <v>0</v>
      </c>
      <c r="W143" s="815">
        <f t="shared" si="50"/>
        <v>0</v>
      </c>
      <c r="X143" s="811"/>
      <c r="Y143" s="816"/>
      <c r="Z143" s="812"/>
      <c r="AA143" s="801"/>
      <c r="AB143" s="811"/>
      <c r="AC143" s="812"/>
      <c r="AD143" s="802"/>
      <c r="AE143" s="816"/>
      <c r="AF143" s="812"/>
      <c r="AG143" s="802"/>
      <c r="AH143" s="908">
        <f t="shared" si="49"/>
        <v>13575.22</v>
      </c>
      <c r="AI143" s="747"/>
    </row>
    <row r="144" spans="1:35" s="817" customFormat="1" ht="18" customHeight="1" x14ac:dyDescent="0.2">
      <c r="A144" s="555">
        <v>61606</v>
      </c>
      <c r="B144" s="567" t="s">
        <v>205</v>
      </c>
      <c r="C144" s="840">
        <v>0</v>
      </c>
      <c r="D144" s="805">
        <v>0</v>
      </c>
      <c r="E144" s="805">
        <v>0</v>
      </c>
      <c r="F144" s="805">
        <v>0</v>
      </c>
      <c r="G144" s="841">
        <v>0</v>
      </c>
      <c r="H144" s="820">
        <v>0</v>
      </c>
      <c r="I144" s="808">
        <v>0</v>
      </c>
      <c r="J144" s="808">
        <v>0</v>
      </c>
      <c r="K144" s="808">
        <v>0</v>
      </c>
      <c r="L144" s="793">
        <f t="shared" si="46"/>
        <v>0</v>
      </c>
      <c r="M144" s="811">
        <v>0</v>
      </c>
      <c r="N144" s="812">
        <f>'AG3'!D81</f>
        <v>20000</v>
      </c>
      <c r="O144" s="812">
        <v>0</v>
      </c>
      <c r="P144" s="812">
        <v>0</v>
      </c>
      <c r="Q144" s="812">
        <v>0</v>
      </c>
      <c r="R144" s="812">
        <v>0</v>
      </c>
      <c r="S144" s="796">
        <f t="shared" si="48"/>
        <v>20000</v>
      </c>
      <c r="T144" s="813">
        <v>0</v>
      </c>
      <c r="U144" s="814">
        <f>'AG3'!I81</f>
        <v>0</v>
      </c>
      <c r="V144" s="812">
        <v>0</v>
      </c>
      <c r="W144" s="815">
        <f t="shared" si="50"/>
        <v>0</v>
      </c>
      <c r="X144" s="811"/>
      <c r="Y144" s="816"/>
      <c r="Z144" s="812"/>
      <c r="AA144" s="801"/>
      <c r="AB144" s="811"/>
      <c r="AC144" s="812"/>
      <c r="AD144" s="802"/>
      <c r="AE144" s="816"/>
      <c r="AF144" s="812"/>
      <c r="AG144" s="802"/>
      <c r="AH144" s="908">
        <f t="shared" si="49"/>
        <v>20000</v>
      </c>
      <c r="AI144" s="747"/>
    </row>
    <row r="145" spans="1:35" s="817" customFormat="1" ht="18" customHeight="1" x14ac:dyDescent="0.2">
      <c r="A145" s="555">
        <v>61607</v>
      </c>
      <c r="B145" s="560" t="s">
        <v>206</v>
      </c>
      <c r="C145" s="840">
        <v>0</v>
      </c>
      <c r="D145" s="805">
        <v>0</v>
      </c>
      <c r="E145" s="805">
        <v>0</v>
      </c>
      <c r="F145" s="805">
        <v>0</v>
      </c>
      <c r="G145" s="841">
        <v>0</v>
      </c>
      <c r="H145" s="820">
        <v>0</v>
      </c>
      <c r="I145" s="808">
        <v>0</v>
      </c>
      <c r="J145" s="808">
        <v>0</v>
      </c>
      <c r="K145" s="808">
        <v>0</v>
      </c>
      <c r="L145" s="793">
        <f t="shared" si="46"/>
        <v>0</v>
      </c>
      <c r="M145" s="811">
        <v>0</v>
      </c>
      <c r="N145" s="812">
        <v>0</v>
      </c>
      <c r="O145" s="812">
        <v>0</v>
      </c>
      <c r="P145" s="812">
        <v>0</v>
      </c>
      <c r="Q145" s="812">
        <v>0</v>
      </c>
      <c r="R145" s="812">
        <v>0</v>
      </c>
      <c r="S145" s="796">
        <f t="shared" si="48"/>
        <v>0</v>
      </c>
      <c r="T145" s="813">
        <v>0</v>
      </c>
      <c r="U145" s="814">
        <v>0</v>
      </c>
      <c r="V145" s="812">
        <v>0</v>
      </c>
      <c r="W145" s="815">
        <f t="shared" si="50"/>
        <v>0</v>
      </c>
      <c r="X145" s="811"/>
      <c r="Y145" s="816"/>
      <c r="Z145" s="812"/>
      <c r="AA145" s="801"/>
      <c r="AB145" s="811"/>
      <c r="AC145" s="812"/>
      <c r="AD145" s="802"/>
      <c r="AE145" s="816"/>
      <c r="AF145" s="812"/>
      <c r="AG145" s="802"/>
      <c r="AH145" s="908">
        <f t="shared" si="49"/>
        <v>0</v>
      </c>
      <c r="AI145" s="747"/>
    </row>
    <row r="146" spans="1:35" s="817" customFormat="1" ht="18" customHeight="1" x14ac:dyDescent="0.2">
      <c r="A146" s="555">
        <v>61608</v>
      </c>
      <c r="B146" s="560" t="s">
        <v>207</v>
      </c>
      <c r="C146" s="840">
        <v>0</v>
      </c>
      <c r="D146" s="805">
        <v>0</v>
      </c>
      <c r="E146" s="805">
        <v>0</v>
      </c>
      <c r="F146" s="805">
        <v>0</v>
      </c>
      <c r="G146" s="841">
        <v>0</v>
      </c>
      <c r="H146" s="820">
        <v>0</v>
      </c>
      <c r="I146" s="808">
        <v>0</v>
      </c>
      <c r="J146" s="808">
        <v>0</v>
      </c>
      <c r="K146" s="808">
        <v>0</v>
      </c>
      <c r="L146" s="793">
        <f t="shared" si="46"/>
        <v>0</v>
      </c>
      <c r="M146" s="811">
        <v>0</v>
      </c>
      <c r="N146" s="812">
        <v>0</v>
      </c>
      <c r="O146" s="812">
        <f>+'AG4'!D50</f>
        <v>0</v>
      </c>
      <c r="P146" s="812">
        <v>0</v>
      </c>
      <c r="Q146" s="812">
        <v>0</v>
      </c>
      <c r="R146" s="812">
        <v>0</v>
      </c>
      <c r="S146" s="796">
        <f t="shared" si="48"/>
        <v>0</v>
      </c>
      <c r="T146" s="813">
        <v>0</v>
      </c>
      <c r="U146" s="814">
        <v>0</v>
      </c>
      <c r="V146" s="812">
        <v>0</v>
      </c>
      <c r="W146" s="815">
        <f t="shared" si="50"/>
        <v>0</v>
      </c>
      <c r="X146" s="811"/>
      <c r="Y146" s="816"/>
      <c r="Z146" s="812"/>
      <c r="AA146" s="801"/>
      <c r="AB146" s="811"/>
      <c r="AC146" s="812"/>
      <c r="AD146" s="802"/>
      <c r="AE146" s="816"/>
      <c r="AF146" s="812"/>
      <c r="AG146" s="802"/>
      <c r="AH146" s="908">
        <f t="shared" si="49"/>
        <v>0</v>
      </c>
      <c r="AI146" s="747"/>
    </row>
    <row r="147" spans="1:35" s="817" customFormat="1" ht="18" customHeight="1" x14ac:dyDescent="0.2">
      <c r="A147" s="555">
        <v>61699</v>
      </c>
      <c r="B147" s="560" t="s">
        <v>208</v>
      </c>
      <c r="C147" s="840">
        <v>0</v>
      </c>
      <c r="D147" s="805">
        <v>0</v>
      </c>
      <c r="E147" s="805">
        <v>0</v>
      </c>
      <c r="F147" s="805">
        <v>0</v>
      </c>
      <c r="G147" s="841">
        <v>0</v>
      </c>
      <c r="H147" s="820">
        <v>0</v>
      </c>
      <c r="I147" s="808">
        <v>0</v>
      </c>
      <c r="J147" s="808">
        <v>0</v>
      </c>
      <c r="K147" s="808">
        <v>0</v>
      </c>
      <c r="L147" s="793">
        <f t="shared" si="46"/>
        <v>0</v>
      </c>
      <c r="M147" s="811">
        <f>'AG3'!D89</f>
        <v>92522.86</v>
      </c>
      <c r="N147" s="812">
        <f>'AG3'!D84+'AG3'!D87</f>
        <v>22000</v>
      </c>
      <c r="O147" s="812">
        <f>+'AG4'!D53</f>
        <v>0</v>
      </c>
      <c r="P147" s="812">
        <v>0</v>
      </c>
      <c r="Q147" s="812">
        <v>0</v>
      </c>
      <c r="R147" s="812">
        <v>0</v>
      </c>
      <c r="S147" s="796">
        <f>M147+N147+O147+P147+Q147+R147</f>
        <v>114522.86</v>
      </c>
      <c r="T147" s="813">
        <v>0</v>
      </c>
      <c r="U147" s="814">
        <v>0</v>
      </c>
      <c r="V147" s="812">
        <v>0</v>
      </c>
      <c r="W147" s="815">
        <f t="shared" si="50"/>
        <v>0</v>
      </c>
      <c r="X147" s="811"/>
      <c r="Y147" s="816"/>
      <c r="Z147" s="812"/>
      <c r="AA147" s="801"/>
      <c r="AB147" s="811"/>
      <c r="AC147" s="812"/>
      <c r="AD147" s="802"/>
      <c r="AE147" s="816"/>
      <c r="AF147" s="812"/>
      <c r="AG147" s="802"/>
      <c r="AH147" s="908">
        <f t="shared" si="49"/>
        <v>114522.86</v>
      </c>
      <c r="AI147" s="747"/>
    </row>
    <row r="148" spans="1:35" s="817" customFormat="1" ht="18" hidden="1" customHeight="1" x14ac:dyDescent="0.2">
      <c r="A148" s="555"/>
      <c r="B148" s="560"/>
      <c r="C148" s="840"/>
      <c r="D148" s="805"/>
      <c r="E148" s="805"/>
      <c r="F148" s="805"/>
      <c r="G148" s="841"/>
      <c r="H148" s="820">
        <v>0</v>
      </c>
      <c r="I148" s="808">
        <v>0</v>
      </c>
      <c r="J148" s="808">
        <v>0</v>
      </c>
      <c r="K148" s="808">
        <v>0</v>
      </c>
      <c r="L148" s="793">
        <f t="shared" si="46"/>
        <v>0</v>
      </c>
      <c r="M148" s="811">
        <v>0</v>
      </c>
      <c r="N148" s="812"/>
      <c r="O148" s="812"/>
      <c r="P148" s="812"/>
      <c r="Q148" s="812"/>
      <c r="R148" s="812"/>
      <c r="S148" s="796">
        <f t="shared" ref="S148" si="51">SUM(M148:R148)</f>
        <v>0</v>
      </c>
      <c r="T148" s="813">
        <v>0</v>
      </c>
      <c r="U148" s="814">
        <v>0</v>
      </c>
      <c r="V148" s="812">
        <v>0</v>
      </c>
      <c r="W148" s="815">
        <f t="shared" si="50"/>
        <v>0</v>
      </c>
      <c r="X148" s="811"/>
      <c r="Y148" s="816"/>
      <c r="Z148" s="812"/>
      <c r="AA148" s="801"/>
      <c r="AB148" s="811"/>
      <c r="AC148" s="812"/>
      <c r="AD148" s="802"/>
      <c r="AE148" s="816"/>
      <c r="AF148" s="812"/>
      <c r="AG148" s="802"/>
      <c r="AH148" s="847">
        <f t="shared" si="49"/>
        <v>0</v>
      </c>
      <c r="AI148" s="747"/>
    </row>
    <row r="149" spans="1:35" s="817" customFormat="1" ht="18" customHeight="1" x14ac:dyDescent="0.2">
      <c r="A149" s="551">
        <v>71</v>
      </c>
      <c r="B149" s="561" t="s">
        <v>216</v>
      </c>
      <c r="C149" s="839">
        <v>0</v>
      </c>
      <c r="D149" s="788">
        <v>0</v>
      </c>
      <c r="E149" s="788">
        <v>0</v>
      </c>
      <c r="F149" s="788">
        <v>0</v>
      </c>
      <c r="G149" s="842">
        <v>0</v>
      </c>
      <c r="H149" s="819">
        <v>0</v>
      </c>
      <c r="I149" s="791">
        <v>0</v>
      </c>
      <c r="J149" s="791">
        <v>0</v>
      </c>
      <c r="K149" s="791">
        <v>0</v>
      </c>
      <c r="L149" s="793">
        <f t="shared" si="46"/>
        <v>0</v>
      </c>
      <c r="M149" s="794">
        <v>0</v>
      </c>
      <c r="N149" s="795">
        <v>0</v>
      </c>
      <c r="O149" s="795">
        <v>0</v>
      </c>
      <c r="P149" s="795">
        <f>P150</f>
        <v>268052.22000000003</v>
      </c>
      <c r="Q149" s="795">
        <f>Q150</f>
        <v>0</v>
      </c>
      <c r="R149" s="795">
        <f>R150</f>
        <v>0</v>
      </c>
      <c r="S149" s="825">
        <f>M149+N149+O149+P149+R149</f>
        <v>268052.22000000003</v>
      </c>
      <c r="T149" s="797">
        <v>0</v>
      </c>
      <c r="U149" s="798">
        <v>0</v>
      </c>
      <c r="V149" s="795">
        <v>0</v>
      </c>
      <c r="W149" s="799">
        <f t="shared" si="50"/>
        <v>0</v>
      </c>
      <c r="X149" s="794"/>
      <c r="Y149" s="800"/>
      <c r="Z149" s="795"/>
      <c r="AA149" s="837"/>
      <c r="AB149" s="794"/>
      <c r="AC149" s="795"/>
      <c r="AD149" s="838"/>
      <c r="AE149" s="800"/>
      <c r="AF149" s="795"/>
      <c r="AG149" s="838"/>
      <c r="AH149" s="847">
        <f t="shared" si="49"/>
        <v>268052.22000000003</v>
      </c>
      <c r="AI149" s="747"/>
    </row>
    <row r="150" spans="1:35" s="817" customFormat="1" ht="18" customHeight="1" x14ac:dyDescent="0.2">
      <c r="A150" s="551">
        <v>713</v>
      </c>
      <c r="B150" s="561" t="s">
        <v>217</v>
      </c>
      <c r="C150" s="839">
        <v>0</v>
      </c>
      <c r="D150" s="788">
        <v>0</v>
      </c>
      <c r="E150" s="788">
        <v>0</v>
      </c>
      <c r="F150" s="788">
        <v>0</v>
      </c>
      <c r="G150" s="842">
        <v>0</v>
      </c>
      <c r="H150" s="819">
        <v>0</v>
      </c>
      <c r="I150" s="791">
        <v>0</v>
      </c>
      <c r="J150" s="791">
        <v>0</v>
      </c>
      <c r="K150" s="791">
        <v>0</v>
      </c>
      <c r="L150" s="793">
        <f t="shared" si="46"/>
        <v>0</v>
      </c>
      <c r="M150" s="794">
        <v>0</v>
      </c>
      <c r="N150" s="795">
        <v>0</v>
      </c>
      <c r="O150" s="795">
        <v>0</v>
      </c>
      <c r="P150" s="795">
        <f>SUM(P151:P153)</f>
        <v>268052.22000000003</v>
      </c>
      <c r="Q150" s="795">
        <f>SUM(Q151:Q153)</f>
        <v>0</v>
      </c>
      <c r="R150" s="795">
        <f>SUM(R151:R153)</f>
        <v>0</v>
      </c>
      <c r="S150" s="825">
        <f>M150+N150+O150+P150+R150</f>
        <v>268052.22000000003</v>
      </c>
      <c r="T150" s="813">
        <v>0</v>
      </c>
      <c r="U150" s="814">
        <v>0</v>
      </c>
      <c r="V150" s="812">
        <v>0</v>
      </c>
      <c r="W150" s="799">
        <f t="shared" si="50"/>
        <v>0</v>
      </c>
      <c r="X150" s="811"/>
      <c r="Y150" s="816"/>
      <c r="Z150" s="812"/>
      <c r="AA150" s="801"/>
      <c r="AB150" s="811"/>
      <c r="AC150" s="812"/>
      <c r="AD150" s="802"/>
      <c r="AE150" s="816"/>
      <c r="AF150" s="812"/>
      <c r="AG150" s="802"/>
      <c r="AH150" s="847">
        <f t="shared" si="49"/>
        <v>268052.22000000003</v>
      </c>
      <c r="AI150" s="747"/>
    </row>
    <row r="151" spans="1:35" s="817" customFormat="1" ht="18" customHeight="1" x14ac:dyDescent="0.2">
      <c r="A151" s="555">
        <v>71303</v>
      </c>
      <c r="B151" s="560" t="s">
        <v>85</v>
      </c>
      <c r="C151" s="840"/>
      <c r="D151" s="805"/>
      <c r="E151" s="805"/>
      <c r="F151" s="805"/>
      <c r="G151" s="841"/>
      <c r="H151" s="820">
        <v>0</v>
      </c>
      <c r="I151" s="808">
        <v>0</v>
      </c>
      <c r="J151" s="808">
        <v>0</v>
      </c>
      <c r="K151" s="808">
        <v>0</v>
      </c>
      <c r="L151" s="793">
        <f t="shared" si="46"/>
        <v>0</v>
      </c>
      <c r="M151" s="811">
        <v>0</v>
      </c>
      <c r="N151" s="812">
        <v>0</v>
      </c>
      <c r="O151" s="812">
        <v>0</v>
      </c>
      <c r="P151" s="812">
        <v>0</v>
      </c>
      <c r="Q151" s="812">
        <v>0</v>
      </c>
      <c r="R151" s="812">
        <v>0</v>
      </c>
      <c r="S151" s="825">
        <f>M151+N151+O151+P151+R151</f>
        <v>0</v>
      </c>
      <c r="T151" s="813">
        <v>0</v>
      </c>
      <c r="U151" s="814">
        <v>0</v>
      </c>
      <c r="V151" s="812">
        <v>0</v>
      </c>
      <c r="W151" s="799">
        <f t="shared" si="50"/>
        <v>0</v>
      </c>
      <c r="X151" s="811"/>
      <c r="Y151" s="816"/>
      <c r="Z151" s="812"/>
      <c r="AA151" s="801"/>
      <c r="AB151" s="811"/>
      <c r="AC151" s="812"/>
      <c r="AD151" s="802"/>
      <c r="AE151" s="816"/>
      <c r="AF151" s="812"/>
      <c r="AG151" s="802"/>
      <c r="AH151" s="847">
        <f t="shared" si="49"/>
        <v>0</v>
      </c>
      <c r="AI151" s="747"/>
    </row>
    <row r="152" spans="1:35" s="817" customFormat="1" ht="18" customHeight="1" x14ac:dyDescent="0.2">
      <c r="A152" s="555">
        <v>71304</v>
      </c>
      <c r="B152" s="560" t="s">
        <v>86</v>
      </c>
      <c r="C152" s="840">
        <v>0</v>
      </c>
      <c r="D152" s="805">
        <v>0</v>
      </c>
      <c r="E152" s="805">
        <v>0</v>
      </c>
      <c r="F152" s="805">
        <v>0</v>
      </c>
      <c r="G152" s="841">
        <v>0</v>
      </c>
      <c r="H152" s="820">
        <v>0</v>
      </c>
      <c r="I152" s="808">
        <v>0</v>
      </c>
      <c r="J152" s="808">
        <v>0</v>
      </c>
      <c r="K152" s="808">
        <v>0</v>
      </c>
      <c r="L152" s="793">
        <f t="shared" si="46"/>
        <v>0</v>
      </c>
      <c r="M152" s="811">
        <v>0</v>
      </c>
      <c r="N152" s="812">
        <v>0</v>
      </c>
      <c r="O152" s="812">
        <v>0</v>
      </c>
      <c r="P152" s="812">
        <f>+'AG5'!C28</f>
        <v>268052.22000000003</v>
      </c>
      <c r="Q152" s="812">
        <v>0</v>
      </c>
      <c r="R152" s="812">
        <f>+'AG5'!D28</f>
        <v>0</v>
      </c>
      <c r="S152" s="796">
        <f t="shared" ref="S152" si="52">M152+N152+O152+P152+Q152+R152</f>
        <v>268052.22000000003</v>
      </c>
      <c r="T152" s="813">
        <v>0</v>
      </c>
      <c r="U152" s="814">
        <v>0</v>
      </c>
      <c r="V152" s="812">
        <v>0</v>
      </c>
      <c r="W152" s="799">
        <f t="shared" si="50"/>
        <v>0</v>
      </c>
      <c r="X152" s="811"/>
      <c r="Y152" s="816"/>
      <c r="Z152" s="812"/>
      <c r="AA152" s="801"/>
      <c r="AB152" s="811"/>
      <c r="AC152" s="812"/>
      <c r="AD152" s="802"/>
      <c r="AE152" s="816"/>
      <c r="AF152" s="812"/>
      <c r="AG152" s="802"/>
      <c r="AH152" s="908">
        <f t="shared" ref="AH152:AH160" si="53">+L152+S152+G152+AA152+AD152+AG152</f>
        <v>268052.22000000003</v>
      </c>
      <c r="AI152" s="747"/>
    </row>
    <row r="153" spans="1:35" s="817" customFormat="1" ht="18" customHeight="1" x14ac:dyDescent="0.2">
      <c r="A153" s="555">
        <v>71308</v>
      </c>
      <c r="B153" s="560" t="s">
        <v>239</v>
      </c>
      <c r="C153" s="840">
        <v>0</v>
      </c>
      <c r="D153" s="805">
        <v>0</v>
      </c>
      <c r="E153" s="805">
        <v>0</v>
      </c>
      <c r="F153" s="805">
        <v>0</v>
      </c>
      <c r="G153" s="841">
        <v>0</v>
      </c>
      <c r="H153" s="807">
        <v>0</v>
      </c>
      <c r="I153" s="808">
        <v>0</v>
      </c>
      <c r="J153" s="843">
        <v>0</v>
      </c>
      <c r="K153" s="808">
        <v>0</v>
      </c>
      <c r="L153" s="844">
        <f t="shared" si="46"/>
        <v>0</v>
      </c>
      <c r="M153" s="811">
        <v>0</v>
      </c>
      <c r="N153" s="811">
        <v>0</v>
      </c>
      <c r="O153" s="812">
        <v>0</v>
      </c>
      <c r="P153" s="812">
        <v>0</v>
      </c>
      <c r="Q153" s="802">
        <v>0</v>
      </c>
      <c r="R153" s="802">
        <v>0</v>
      </c>
      <c r="S153" s="796">
        <f t="shared" ref="S153:S160" si="54">M153+N153+O153+P153</f>
        <v>0</v>
      </c>
      <c r="T153" s="813">
        <v>0</v>
      </c>
      <c r="U153" s="814">
        <v>0</v>
      </c>
      <c r="V153" s="812">
        <v>0</v>
      </c>
      <c r="W153" s="845">
        <v>0</v>
      </c>
      <c r="X153" s="811"/>
      <c r="Y153" s="816"/>
      <c r="Z153" s="812"/>
      <c r="AA153" s="801"/>
      <c r="AB153" s="811"/>
      <c r="AC153" s="812"/>
      <c r="AD153" s="802"/>
      <c r="AE153" s="816"/>
      <c r="AF153" s="812"/>
      <c r="AG153" s="802"/>
      <c r="AH153" s="908">
        <f t="shared" si="53"/>
        <v>0</v>
      </c>
      <c r="AI153" s="747"/>
    </row>
    <row r="154" spans="1:35" s="817" customFormat="1" ht="18" customHeight="1" x14ac:dyDescent="0.2">
      <c r="A154" s="551">
        <v>72</v>
      </c>
      <c r="B154" s="561" t="s">
        <v>13</v>
      </c>
      <c r="C154" s="839">
        <f>C155</f>
        <v>15863.87</v>
      </c>
      <c r="D154" s="788">
        <f t="shared" ref="D154:F155" si="55">D155</f>
        <v>0</v>
      </c>
      <c r="E154" s="788">
        <f t="shared" si="55"/>
        <v>0</v>
      </c>
      <c r="F154" s="788">
        <f t="shared" si="55"/>
        <v>0</v>
      </c>
      <c r="G154" s="842">
        <f>C154+D154+E154+F154</f>
        <v>15863.87</v>
      </c>
      <c r="H154" s="790">
        <f>H155</f>
        <v>4481.8</v>
      </c>
      <c r="I154" s="808">
        <f t="shared" ref="I154:I155" si="56">I155</f>
        <v>0</v>
      </c>
      <c r="J154" s="843">
        <f t="shared" ref="J154:J155" si="57">J155</f>
        <v>0</v>
      </c>
      <c r="K154" s="808">
        <f t="shared" ref="K154:K155" si="58">K155</f>
        <v>0</v>
      </c>
      <c r="L154" s="844">
        <f>H154+I154+J154+K154</f>
        <v>4481.8</v>
      </c>
      <c r="M154" s="811">
        <v>0</v>
      </c>
      <c r="N154" s="811">
        <v>0</v>
      </c>
      <c r="O154" s="812">
        <v>0</v>
      </c>
      <c r="P154" s="812">
        <v>0</v>
      </c>
      <c r="Q154" s="802">
        <v>0</v>
      </c>
      <c r="R154" s="802">
        <v>0</v>
      </c>
      <c r="S154" s="796">
        <f t="shared" si="54"/>
        <v>0</v>
      </c>
      <c r="T154" s="813">
        <v>0</v>
      </c>
      <c r="U154" s="814">
        <v>0</v>
      </c>
      <c r="V154" s="812">
        <v>0</v>
      </c>
      <c r="W154" s="845">
        <v>0</v>
      </c>
      <c r="X154" s="811"/>
      <c r="Y154" s="816"/>
      <c r="Z154" s="812"/>
      <c r="AA154" s="801"/>
      <c r="AB154" s="811"/>
      <c r="AC154" s="812"/>
      <c r="AD154" s="802"/>
      <c r="AE154" s="816"/>
      <c r="AF154" s="812"/>
      <c r="AG154" s="802"/>
      <c r="AH154" s="847">
        <f t="shared" si="53"/>
        <v>20345.670000000002</v>
      </c>
      <c r="AI154" s="747"/>
    </row>
    <row r="155" spans="1:35" s="817" customFormat="1" ht="12.75" x14ac:dyDescent="0.2">
      <c r="A155" s="551">
        <v>721</v>
      </c>
      <c r="B155" s="846" t="s">
        <v>709</v>
      </c>
      <c r="C155" s="839">
        <f>C156</f>
        <v>15863.87</v>
      </c>
      <c r="D155" s="788">
        <f t="shared" si="55"/>
        <v>0</v>
      </c>
      <c r="E155" s="788">
        <f t="shared" si="55"/>
        <v>0</v>
      </c>
      <c r="F155" s="788">
        <f t="shared" si="55"/>
        <v>0</v>
      </c>
      <c r="G155" s="842">
        <f t="shared" ref="G155:G156" si="59">C155+D155+E155+F155</f>
        <v>15863.87</v>
      </c>
      <c r="H155" s="807">
        <f>H156</f>
        <v>4481.8</v>
      </c>
      <c r="I155" s="808">
        <f t="shared" si="56"/>
        <v>0</v>
      </c>
      <c r="J155" s="843">
        <f t="shared" si="57"/>
        <v>0</v>
      </c>
      <c r="K155" s="808">
        <f t="shared" si="58"/>
        <v>0</v>
      </c>
      <c r="L155" s="844">
        <f t="shared" ref="L155" si="60">H155+I155+J155+K155</f>
        <v>4481.8</v>
      </c>
      <c r="M155" s="811">
        <v>0</v>
      </c>
      <c r="N155" s="811">
        <v>0</v>
      </c>
      <c r="O155" s="812">
        <v>0</v>
      </c>
      <c r="P155" s="812">
        <v>0</v>
      </c>
      <c r="Q155" s="802">
        <v>0</v>
      </c>
      <c r="R155" s="802">
        <v>0</v>
      </c>
      <c r="S155" s="796">
        <f t="shared" si="54"/>
        <v>0</v>
      </c>
      <c r="T155" s="813">
        <v>0</v>
      </c>
      <c r="U155" s="814">
        <v>0</v>
      </c>
      <c r="V155" s="812">
        <v>0</v>
      </c>
      <c r="W155" s="845">
        <v>0</v>
      </c>
      <c r="X155" s="811"/>
      <c r="Y155" s="816"/>
      <c r="Z155" s="812"/>
      <c r="AA155" s="801"/>
      <c r="AB155" s="811"/>
      <c r="AC155" s="812"/>
      <c r="AD155" s="802"/>
      <c r="AE155" s="816"/>
      <c r="AF155" s="812"/>
      <c r="AG155" s="802"/>
      <c r="AH155" s="847">
        <f t="shared" si="53"/>
        <v>20345.670000000002</v>
      </c>
      <c r="AI155" s="747"/>
    </row>
    <row r="156" spans="1:35" s="817" customFormat="1" ht="18" customHeight="1" thickBot="1" x14ac:dyDescent="0.25">
      <c r="A156" s="555">
        <v>72101</v>
      </c>
      <c r="B156" s="560" t="s">
        <v>709</v>
      </c>
      <c r="C156" s="840">
        <f>'egresos 25% y F.P'!C199</f>
        <v>15863.87</v>
      </c>
      <c r="D156" s="805"/>
      <c r="E156" s="805"/>
      <c r="F156" s="805"/>
      <c r="G156" s="841">
        <f t="shared" si="59"/>
        <v>15863.87</v>
      </c>
      <c r="H156" s="807">
        <f>'egresos 25% y F.P'!C95</f>
        <v>4481.8</v>
      </c>
      <c r="I156" s="808"/>
      <c r="J156" s="843"/>
      <c r="K156" s="808"/>
      <c r="L156" s="844">
        <f t="shared" si="46"/>
        <v>4481.8</v>
      </c>
      <c r="M156" s="811">
        <v>0</v>
      </c>
      <c r="N156" s="811">
        <v>0</v>
      </c>
      <c r="O156" s="812">
        <v>0</v>
      </c>
      <c r="P156" s="812">
        <v>0</v>
      </c>
      <c r="Q156" s="802">
        <v>0</v>
      </c>
      <c r="R156" s="802">
        <v>0</v>
      </c>
      <c r="S156" s="796">
        <f t="shared" si="54"/>
        <v>0</v>
      </c>
      <c r="T156" s="813">
        <v>0</v>
      </c>
      <c r="U156" s="814">
        <v>0</v>
      </c>
      <c r="V156" s="812">
        <v>0</v>
      </c>
      <c r="W156" s="845">
        <v>0</v>
      </c>
      <c r="X156" s="811"/>
      <c r="Y156" s="816"/>
      <c r="Z156" s="812"/>
      <c r="AA156" s="801"/>
      <c r="AB156" s="811"/>
      <c r="AC156" s="812"/>
      <c r="AD156" s="802"/>
      <c r="AE156" s="816"/>
      <c r="AF156" s="812"/>
      <c r="AG156" s="802"/>
      <c r="AH156" s="847">
        <f t="shared" si="53"/>
        <v>20345.670000000002</v>
      </c>
      <c r="AI156" s="747"/>
    </row>
    <row r="157" spans="1:35" s="817" customFormat="1" ht="18" hidden="1" customHeight="1" x14ac:dyDescent="0.2">
      <c r="A157" s="555"/>
      <c r="B157" s="560"/>
      <c r="C157" s="840"/>
      <c r="D157" s="805"/>
      <c r="E157" s="805"/>
      <c r="F157" s="805"/>
      <c r="G157" s="841"/>
      <c r="H157" s="807"/>
      <c r="I157" s="808"/>
      <c r="J157" s="843"/>
      <c r="K157" s="808"/>
      <c r="L157" s="844">
        <f t="shared" si="46"/>
        <v>0</v>
      </c>
      <c r="M157" s="811"/>
      <c r="N157" s="811"/>
      <c r="O157" s="812"/>
      <c r="P157" s="812"/>
      <c r="Q157" s="802"/>
      <c r="R157" s="802"/>
      <c r="S157" s="796">
        <f t="shared" si="54"/>
        <v>0</v>
      </c>
      <c r="T157" s="813"/>
      <c r="U157" s="814"/>
      <c r="V157" s="812"/>
      <c r="W157" s="845"/>
      <c r="X157" s="811"/>
      <c r="Y157" s="816"/>
      <c r="Z157" s="812"/>
      <c r="AA157" s="801"/>
      <c r="AB157" s="811"/>
      <c r="AC157" s="812"/>
      <c r="AD157" s="802"/>
      <c r="AE157" s="816"/>
      <c r="AF157" s="812"/>
      <c r="AG157" s="802"/>
      <c r="AH157" s="847">
        <f t="shared" si="53"/>
        <v>0</v>
      </c>
      <c r="AI157" s="747"/>
    </row>
    <row r="158" spans="1:35" s="817" customFormat="1" ht="18" hidden="1" customHeight="1" x14ac:dyDescent="0.2">
      <c r="A158" s="551">
        <v>99</v>
      </c>
      <c r="B158" s="561" t="s">
        <v>183</v>
      </c>
      <c r="C158" s="803"/>
      <c r="D158" s="805"/>
      <c r="E158" s="848"/>
      <c r="F158" s="848"/>
      <c r="G158" s="834"/>
      <c r="H158" s="807"/>
      <c r="I158" s="808"/>
      <c r="J158" s="843"/>
      <c r="K158" s="808"/>
      <c r="L158" s="844">
        <f t="shared" si="46"/>
        <v>0</v>
      </c>
      <c r="M158" s="811"/>
      <c r="N158" s="811"/>
      <c r="O158" s="812"/>
      <c r="P158" s="812"/>
      <c r="Q158" s="802"/>
      <c r="R158" s="802"/>
      <c r="S158" s="796">
        <f t="shared" si="54"/>
        <v>0</v>
      </c>
      <c r="T158" s="813"/>
      <c r="U158" s="814"/>
      <c r="V158" s="812"/>
      <c r="W158" s="845"/>
      <c r="X158" s="811"/>
      <c r="Y158" s="816"/>
      <c r="Z158" s="812"/>
      <c r="AA158" s="801"/>
      <c r="AB158" s="811"/>
      <c r="AC158" s="812"/>
      <c r="AD158" s="802"/>
      <c r="AE158" s="816"/>
      <c r="AF158" s="812"/>
      <c r="AG158" s="802"/>
      <c r="AH158" s="847">
        <f t="shared" si="53"/>
        <v>0</v>
      </c>
      <c r="AI158" s="747"/>
    </row>
    <row r="159" spans="1:35" s="817" customFormat="1" ht="18" hidden="1" customHeight="1" x14ac:dyDescent="0.2">
      <c r="A159" s="551">
        <v>991</v>
      </c>
      <c r="B159" s="561" t="s">
        <v>184</v>
      </c>
      <c r="C159" s="803"/>
      <c r="D159" s="805"/>
      <c r="E159" s="848"/>
      <c r="F159" s="848"/>
      <c r="G159" s="834"/>
      <c r="H159" s="807"/>
      <c r="I159" s="808"/>
      <c r="J159" s="843"/>
      <c r="K159" s="808"/>
      <c r="L159" s="844">
        <f t="shared" si="46"/>
        <v>0</v>
      </c>
      <c r="M159" s="811"/>
      <c r="N159" s="811"/>
      <c r="O159" s="812"/>
      <c r="P159" s="812"/>
      <c r="Q159" s="802"/>
      <c r="R159" s="802"/>
      <c r="S159" s="796">
        <f t="shared" si="54"/>
        <v>0</v>
      </c>
      <c r="T159" s="813"/>
      <c r="U159" s="814"/>
      <c r="V159" s="812"/>
      <c r="W159" s="845"/>
      <c r="X159" s="811"/>
      <c r="Y159" s="816"/>
      <c r="Z159" s="812"/>
      <c r="AA159" s="801"/>
      <c r="AB159" s="811"/>
      <c r="AC159" s="812"/>
      <c r="AD159" s="802"/>
      <c r="AE159" s="816"/>
      <c r="AF159" s="812"/>
      <c r="AG159" s="802"/>
      <c r="AH159" s="847">
        <f t="shared" si="53"/>
        <v>0</v>
      </c>
      <c r="AI159" s="747"/>
    </row>
    <row r="160" spans="1:35" s="817" customFormat="1" ht="18" hidden="1" customHeight="1" thickBot="1" x14ac:dyDescent="0.25">
      <c r="A160" s="849">
        <v>99101</v>
      </c>
      <c r="B160" s="850" t="s">
        <v>184</v>
      </c>
      <c r="C160" s="851"/>
      <c r="D160" s="852"/>
      <c r="E160" s="853"/>
      <c r="F160" s="853"/>
      <c r="G160" s="854"/>
      <c r="H160" s="855"/>
      <c r="I160" s="856"/>
      <c r="J160" s="857"/>
      <c r="K160" s="857"/>
      <c r="L160" s="858">
        <f t="shared" si="46"/>
        <v>0</v>
      </c>
      <c r="M160" s="859"/>
      <c r="N160" s="859"/>
      <c r="O160" s="860"/>
      <c r="P160" s="860"/>
      <c r="Q160" s="861"/>
      <c r="R160" s="861"/>
      <c r="S160" s="862">
        <f t="shared" si="54"/>
        <v>0</v>
      </c>
      <c r="T160" s="863"/>
      <c r="U160" s="864"/>
      <c r="V160" s="860"/>
      <c r="W160" s="865"/>
      <c r="X160" s="859"/>
      <c r="Y160" s="866"/>
      <c r="Z160" s="860"/>
      <c r="AA160" s="867"/>
      <c r="AB160" s="859"/>
      <c r="AC160" s="860"/>
      <c r="AD160" s="861"/>
      <c r="AE160" s="866"/>
      <c r="AF160" s="860"/>
      <c r="AG160" s="861"/>
      <c r="AH160" s="868">
        <f t="shared" si="53"/>
        <v>0</v>
      </c>
      <c r="AI160" s="747"/>
    </row>
    <row r="161" spans="1:36" s="888" customFormat="1" ht="18" customHeight="1" thickTop="1" thickBot="1" x14ac:dyDescent="0.25">
      <c r="A161" s="869"/>
      <c r="B161" s="870" t="s">
        <v>25</v>
      </c>
      <c r="C161" s="871">
        <f>C9+C43+C94+C112+C120+C149+C154</f>
        <v>143107.15340833334</v>
      </c>
      <c r="D161" s="872">
        <f>D9+D43+D94+D112+D120+D149</f>
        <v>25750</v>
      </c>
      <c r="E161" s="872">
        <f>E9+E43+E94+E112+E120+E149</f>
        <v>26171.399999999998</v>
      </c>
      <c r="F161" s="872">
        <f>F9+F43+F94+F112+F120+F149</f>
        <v>109821.04999999999</v>
      </c>
      <c r="G161" s="873">
        <f>G9+G43+G94+G112+G120+G149+G154</f>
        <v>304849.60340833332</v>
      </c>
      <c r="H161" s="874">
        <f>H9+H149+H120+H112+H94+H43+H154</f>
        <v>161378.22269166663</v>
      </c>
      <c r="I161" s="875">
        <f>I9+I149+I120+I112+I94+I43</f>
        <v>46670.77</v>
      </c>
      <c r="J161" s="875">
        <f>J9+J149+J120+J112+J94+J43</f>
        <v>8421.42</v>
      </c>
      <c r="K161" s="875">
        <f>K9+K149+K120+K112+K94+K43</f>
        <v>143883</v>
      </c>
      <c r="L161" s="876">
        <f>L9+L43+L94+L112+L120+L154</f>
        <v>360353.41269166663</v>
      </c>
      <c r="M161" s="877">
        <f>M120</f>
        <v>218621.09</v>
      </c>
      <c r="N161" s="878">
        <f>N9+N43+N112+N120</f>
        <v>444822.91000000003</v>
      </c>
      <c r="O161" s="878">
        <f>+O9+O120</f>
        <v>145682.66</v>
      </c>
      <c r="P161" s="878">
        <f>P94+P149</f>
        <v>268052.22000000003</v>
      </c>
      <c r="Q161" s="878">
        <f>+Q94</f>
        <v>82763.959999999992</v>
      </c>
      <c r="R161" s="878">
        <f>+R94</f>
        <v>4225</v>
      </c>
      <c r="S161" s="878">
        <f t="shared" ref="S161:X161" si="61">S9+S43+S94+S112+S120+S149</f>
        <v>1164167.8400000001</v>
      </c>
      <c r="T161" s="879">
        <f t="shared" si="61"/>
        <v>22906.04</v>
      </c>
      <c r="U161" s="880">
        <f t="shared" si="61"/>
        <v>23906.229999999996</v>
      </c>
      <c r="V161" s="881">
        <f t="shared" si="61"/>
        <v>25437.11</v>
      </c>
      <c r="W161" s="882">
        <f t="shared" si="61"/>
        <v>49343.34</v>
      </c>
      <c r="X161" s="883">
        <f t="shared" si="61"/>
        <v>0</v>
      </c>
      <c r="Y161" s="884">
        <f t="shared" ref="Y161:AG161" si="62">SUM(Y9:Y160)</f>
        <v>0</v>
      </c>
      <c r="Z161" s="885">
        <f t="shared" si="62"/>
        <v>0</v>
      </c>
      <c r="AA161" s="885">
        <f t="shared" si="62"/>
        <v>0</v>
      </c>
      <c r="AB161" s="885">
        <f t="shared" si="62"/>
        <v>0</v>
      </c>
      <c r="AC161" s="885">
        <f t="shared" si="62"/>
        <v>0</v>
      </c>
      <c r="AD161" s="885">
        <f t="shared" si="62"/>
        <v>0</v>
      </c>
      <c r="AE161" s="886">
        <f>AE43+AE94+AE112+AE120+AE149</f>
        <v>0</v>
      </c>
      <c r="AF161" s="885">
        <f t="shared" si="62"/>
        <v>0</v>
      </c>
      <c r="AG161" s="887">
        <f t="shared" si="62"/>
        <v>0</v>
      </c>
      <c r="AH161" s="881">
        <f>AH9+AH149+AH120+AH112+AH94+AH43+AH154-0.01</f>
        <v>1901620.2260999999</v>
      </c>
      <c r="AI161" s="747"/>
    </row>
    <row r="162" spans="1:36" s="894" customFormat="1" ht="18" customHeight="1" thickTop="1" x14ac:dyDescent="0.2">
      <c r="A162" s="893"/>
      <c r="C162" s="709"/>
      <c r="D162" s="709"/>
      <c r="E162" s="709"/>
      <c r="F162" s="709"/>
      <c r="G162" s="709"/>
      <c r="H162" s="895"/>
      <c r="I162" s="895"/>
      <c r="J162" s="895"/>
      <c r="K162" s="896"/>
      <c r="L162" s="896">
        <f>+G161+L161</f>
        <v>665203.01609999989</v>
      </c>
      <c r="M162" s="897"/>
      <c r="N162" s="967"/>
      <c r="O162" s="897"/>
      <c r="P162" s="897"/>
      <c r="Q162" s="967"/>
      <c r="R162" s="967"/>
      <c r="S162" s="898"/>
      <c r="T162" s="897"/>
      <c r="U162" s="897"/>
      <c r="V162" s="894">
        <f>+O161+T161+V161</f>
        <v>194025.81</v>
      </c>
      <c r="X162" s="897"/>
      <c r="Y162" s="897"/>
      <c r="Z162" s="897"/>
      <c r="AA162" s="897"/>
      <c r="AB162" s="897"/>
      <c r="AC162" s="897"/>
      <c r="AD162" s="897"/>
      <c r="AE162" s="897"/>
      <c r="AF162" s="897"/>
      <c r="AG162" s="897"/>
      <c r="AH162" s="897">
        <f>'ING. REALES'!J71</f>
        <v>1901620.2339999999</v>
      </c>
      <c r="AI162" s="899"/>
    </row>
    <row r="163" spans="1:36" s="894" customFormat="1" ht="18" customHeight="1" x14ac:dyDescent="0.2">
      <c r="A163" s="893"/>
      <c r="C163" s="709"/>
      <c r="D163" s="709"/>
      <c r="E163" s="709"/>
      <c r="F163" s="709"/>
      <c r="G163" s="709">
        <f>'ING. REALES'!G71</f>
        <v>304849.60399999993</v>
      </c>
      <c r="H163" s="895"/>
      <c r="I163" s="895"/>
      <c r="J163" s="895"/>
      <c r="K163" s="895"/>
      <c r="L163" s="709">
        <f>'ING. REALES'!C71</f>
        <v>360353.41</v>
      </c>
      <c r="R163" s="1144">
        <f>'ING. REALES'!D71</f>
        <v>1164167.8399999999</v>
      </c>
      <c r="S163" s="1144"/>
      <c r="T163" s="894">
        <f>+O161+T161+V161</f>
        <v>194025.81</v>
      </c>
      <c r="U163" s="900"/>
      <c r="AH163" s="897">
        <f>AH161-AH162</f>
        <v>-7.9000000841915607E-3</v>
      </c>
      <c r="AI163" s="901"/>
    </row>
    <row r="164" spans="1:36" s="894" customFormat="1" ht="18" customHeight="1" x14ac:dyDescent="0.2">
      <c r="A164" s="893"/>
      <c r="C164" s="709"/>
      <c r="D164" s="709"/>
      <c r="E164" s="709"/>
      <c r="F164" s="709"/>
      <c r="G164" s="709">
        <f>+G163-G161</f>
        <v>5.9166661230847239E-4</v>
      </c>
      <c r="H164" s="895"/>
      <c r="I164" s="895"/>
      <c r="J164" s="895"/>
      <c r="K164" s="895"/>
      <c r="L164" s="709">
        <f>+L161-L163</f>
        <v>2.6916666538454592E-3</v>
      </c>
      <c r="M164" s="902"/>
      <c r="O164" s="902"/>
      <c r="P164" s="902"/>
      <c r="Q164" s="902"/>
      <c r="R164" s="1144">
        <f>S161-R163</f>
        <v>0</v>
      </c>
      <c r="S164" s="1144"/>
      <c r="T164" s="902"/>
      <c r="U164" s="902"/>
      <c r="V164" s="902"/>
      <c r="X164" s="902"/>
      <c r="AI164" s="901"/>
    </row>
    <row r="165" spans="1:36" s="894" customFormat="1" ht="18" customHeight="1" x14ac:dyDescent="0.2">
      <c r="A165" s="893"/>
      <c r="C165" s="709"/>
      <c r="D165" s="709"/>
      <c r="E165" s="709"/>
      <c r="F165" s="709"/>
      <c r="G165" s="709"/>
      <c r="H165" s="895"/>
      <c r="I165" s="895"/>
      <c r="J165" s="895"/>
      <c r="K165" s="895"/>
      <c r="L165" s="709"/>
      <c r="R165" s="1144"/>
      <c r="S165" s="1144"/>
      <c r="AH165" s="900"/>
      <c r="AI165" s="901"/>
    </row>
    <row r="166" spans="1:36" s="894" customFormat="1" ht="18" customHeight="1" x14ac:dyDescent="0.2">
      <c r="A166" s="893"/>
      <c r="C166" s="709"/>
      <c r="D166" s="709"/>
      <c r="E166" s="709"/>
      <c r="F166" s="709"/>
      <c r="G166" s="709"/>
      <c r="H166" s="895"/>
      <c r="I166" s="895"/>
      <c r="J166" s="895"/>
      <c r="K166" s="895"/>
      <c r="L166" s="895"/>
      <c r="AI166" s="901"/>
    </row>
    <row r="167" spans="1:36" s="894" customFormat="1" ht="18" customHeight="1" x14ac:dyDescent="0.2">
      <c r="A167" s="893"/>
      <c r="C167" s="709"/>
      <c r="D167" s="709"/>
      <c r="E167" s="709"/>
      <c r="F167" s="709"/>
      <c r="G167" s="709"/>
      <c r="H167" s="895"/>
      <c r="I167" s="895"/>
      <c r="J167" s="895"/>
      <c r="K167" s="895"/>
      <c r="L167" s="895"/>
      <c r="AI167" s="901"/>
    </row>
    <row r="168" spans="1:36" s="600" customFormat="1" ht="18" customHeight="1" x14ac:dyDescent="0.2">
      <c r="A168" s="599"/>
      <c r="C168" s="889"/>
      <c r="D168" s="889"/>
      <c r="E168" s="889"/>
      <c r="F168" s="889"/>
      <c r="G168" s="889"/>
      <c r="H168" s="890"/>
      <c r="I168" s="890"/>
      <c r="J168" s="890"/>
      <c r="K168" s="890"/>
      <c r="L168" s="890"/>
      <c r="W168" s="597"/>
      <c r="AG168" s="597"/>
      <c r="AH168" s="597"/>
      <c r="AI168" s="598"/>
      <c r="AJ168" s="597"/>
    </row>
    <row r="169" spans="1:36" s="600" customFormat="1" ht="18" customHeight="1" x14ac:dyDescent="0.2">
      <c r="A169" s="599"/>
      <c r="C169" s="889"/>
      <c r="D169" s="889"/>
      <c r="E169" s="889"/>
      <c r="F169" s="889"/>
      <c r="G169" s="889"/>
      <c r="H169" s="890"/>
      <c r="I169" s="890"/>
      <c r="J169" s="890"/>
      <c r="K169" s="890"/>
      <c r="L169" s="890"/>
      <c r="W169" s="597"/>
      <c r="AG169" s="597"/>
      <c r="AH169" s="597"/>
      <c r="AI169" s="598"/>
      <c r="AJ169" s="597"/>
    </row>
    <row r="170" spans="1:36" s="600" customFormat="1" ht="18" customHeight="1" x14ac:dyDescent="0.2">
      <c r="A170" s="599"/>
      <c r="C170" s="889"/>
      <c r="D170" s="889"/>
      <c r="E170" s="889"/>
      <c r="F170" s="889"/>
      <c r="G170" s="889"/>
      <c r="H170" s="890"/>
      <c r="I170" s="890"/>
      <c r="J170" s="890"/>
      <c r="K170" s="890"/>
      <c r="L170" s="890"/>
      <c r="W170" s="597"/>
      <c r="AG170" s="597"/>
      <c r="AH170" s="597"/>
      <c r="AI170" s="598"/>
      <c r="AJ170" s="597"/>
    </row>
    <row r="171" spans="1:36" ht="18" customHeight="1" x14ac:dyDescent="0.2">
      <c r="W171" s="50"/>
      <c r="AG171" s="50"/>
      <c r="AH171" s="50"/>
      <c r="AJ171" s="50"/>
    </row>
  </sheetData>
  <mergeCells count="44">
    <mergeCell ref="R165:S165"/>
    <mergeCell ref="U4:U5"/>
    <mergeCell ref="V4:V5"/>
    <mergeCell ref="W4:W8"/>
    <mergeCell ref="AH3:AH8"/>
    <mergeCell ref="AG5:AG8"/>
    <mergeCell ref="AE4:AF4"/>
    <mergeCell ref="Y4:Z4"/>
    <mergeCell ref="AE3:AG3"/>
    <mergeCell ref="AD5:AD8"/>
    <mergeCell ref="Y3:AA3"/>
    <mergeCell ref="AA5:AA8"/>
    <mergeCell ref="AB4:AC4"/>
    <mergeCell ref="AB3:AD3"/>
    <mergeCell ref="U3:W3"/>
    <mergeCell ref="X3:X4"/>
    <mergeCell ref="T3:T4"/>
    <mergeCell ref="C6:G6"/>
    <mergeCell ref="L7:L8"/>
    <mergeCell ref="M6:N6"/>
    <mergeCell ref="I7:I8"/>
    <mergeCell ref="J7:J8"/>
    <mergeCell ref="S3:S8"/>
    <mergeCell ref="T5:T6"/>
    <mergeCell ref="K7:K8"/>
    <mergeCell ref="D7:D8"/>
    <mergeCell ref="H6:L6"/>
    <mergeCell ref="H7:H8"/>
    <mergeCell ref="G7:G8"/>
    <mergeCell ref="R164:S164"/>
    <mergeCell ref="A3:A8"/>
    <mergeCell ref="B3:B8"/>
    <mergeCell ref="H5:L5"/>
    <mergeCell ref="P6:R6"/>
    <mergeCell ref="E7:E8"/>
    <mergeCell ref="M5:N5"/>
    <mergeCell ref="H4:L4"/>
    <mergeCell ref="M4:R4"/>
    <mergeCell ref="C5:G5"/>
    <mergeCell ref="F7:F8"/>
    <mergeCell ref="C7:C8"/>
    <mergeCell ref="P5:R5"/>
    <mergeCell ref="C3:G4"/>
    <mergeCell ref="R163:S163"/>
  </mergeCells>
  <phoneticPr fontId="0" type="noConversion"/>
  <pageMargins left="0.15748031496062992" right="0.15748031496062992" top="0.82677165354330717" bottom="0.51181102362204722" header="0" footer="0"/>
  <pageSetup paperSize="9" scale="5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H177"/>
  <sheetViews>
    <sheetView showGridLines="0" zoomScale="80" workbookViewId="0">
      <selection activeCell="E22" sqref="E22"/>
    </sheetView>
  </sheetViews>
  <sheetFormatPr baseColWidth="10" defaultRowHeight="18" customHeight="1" x14ac:dyDescent="0.2"/>
  <cols>
    <col min="1" max="1" width="7.5703125" style="49" customWidth="1"/>
    <col min="2" max="2" width="58.140625" style="47" customWidth="1"/>
    <col min="3" max="5" width="15.42578125" style="583" customWidth="1"/>
    <col min="6" max="6" width="11.5703125" style="47" bestFit="1" customWidth="1"/>
    <col min="7" max="7" width="15" style="47" customWidth="1"/>
    <col min="8" max="16384" width="11.42578125" style="47"/>
  </cols>
  <sheetData>
    <row r="1" spans="1:7" ht="18" customHeight="1" x14ac:dyDescent="0.25">
      <c r="A1" s="1212" t="s">
        <v>327</v>
      </c>
      <c r="B1" s="1212"/>
      <c r="C1" s="1212"/>
      <c r="D1" s="1212"/>
      <c r="E1" s="1212"/>
    </row>
    <row r="2" spans="1:7" ht="18" customHeight="1" x14ac:dyDescent="0.25">
      <c r="A2" s="1212" t="s">
        <v>249</v>
      </c>
      <c r="B2" s="1212"/>
      <c r="C2" s="1212"/>
      <c r="D2" s="1212"/>
      <c r="E2" s="1212"/>
    </row>
    <row r="3" spans="1:7" ht="18" customHeight="1" x14ac:dyDescent="0.25">
      <c r="A3" s="1212" t="s">
        <v>490</v>
      </c>
      <c r="B3" s="1212"/>
      <c r="C3" s="1212"/>
      <c r="D3" s="1212"/>
      <c r="E3" s="1212"/>
    </row>
    <row r="4" spans="1:7" ht="18" customHeight="1" x14ac:dyDescent="0.25">
      <c r="A4" s="1213" t="s">
        <v>548</v>
      </c>
      <c r="B4" s="1213"/>
      <c r="C4" s="1213"/>
      <c r="D4" s="1213"/>
      <c r="E4" s="1213"/>
    </row>
    <row r="5" spans="1:7" ht="18" customHeight="1" x14ac:dyDescent="0.25">
      <c r="A5" s="1212" t="s">
        <v>684</v>
      </c>
      <c r="B5" s="1212"/>
      <c r="C5" s="1212"/>
      <c r="D5" s="1212"/>
      <c r="E5" s="1212"/>
    </row>
    <row r="6" spans="1:7" ht="18" customHeight="1" thickBot="1" x14ac:dyDescent="0.3">
      <c r="A6" s="261"/>
      <c r="B6" s="261"/>
      <c r="C6" s="570"/>
      <c r="D6" s="570"/>
      <c r="E6" s="570"/>
    </row>
    <row r="7" spans="1:7" ht="18" customHeight="1" thickBot="1" x14ac:dyDescent="0.25">
      <c r="A7" s="90" t="s">
        <v>336</v>
      </c>
      <c r="B7" s="86" t="s">
        <v>250</v>
      </c>
      <c r="C7" s="571" t="s">
        <v>251</v>
      </c>
      <c r="D7" s="571" t="s">
        <v>252</v>
      </c>
      <c r="E7" s="571" t="s">
        <v>25</v>
      </c>
    </row>
    <row r="8" spans="1:7" s="48" customFormat="1" ht="18" customHeight="1" x14ac:dyDescent="0.25">
      <c r="A8" s="503">
        <v>51</v>
      </c>
      <c r="B8" s="510" t="s">
        <v>122</v>
      </c>
      <c r="C8" s="572"/>
      <c r="D8" s="573"/>
      <c r="E8" s="574">
        <f>SUM(D9:D40)</f>
        <v>513855.53139999992</v>
      </c>
    </row>
    <row r="9" spans="1:7" s="48" customFormat="1" ht="18" customHeight="1" x14ac:dyDescent="0.2">
      <c r="A9" s="503">
        <v>511</v>
      </c>
      <c r="B9" s="511" t="s">
        <v>123</v>
      </c>
      <c r="C9" s="191"/>
      <c r="D9" s="253">
        <f>SUM(C10:C15)</f>
        <v>364540.43999999994</v>
      </c>
      <c r="E9" s="574"/>
    </row>
    <row r="10" spans="1:7" ht="18" customHeight="1" x14ac:dyDescent="0.2">
      <c r="A10" s="504" t="s">
        <v>124</v>
      </c>
      <c r="B10" s="512" t="s">
        <v>125</v>
      </c>
      <c r="C10" s="249">
        <f>CONSOLIDADO!AH11</f>
        <v>255023.63999999996</v>
      </c>
      <c r="D10" s="575"/>
      <c r="E10" s="576"/>
    </row>
    <row r="11" spans="1:7" ht="12.75" hidden="1" customHeight="1" x14ac:dyDescent="0.2">
      <c r="A11" s="1013" t="s">
        <v>746</v>
      </c>
      <c r="B11" s="1014" t="s">
        <v>126</v>
      </c>
      <c r="C11" s="249"/>
      <c r="D11" s="575"/>
      <c r="E11" s="576"/>
    </row>
    <row r="12" spans="1:7" ht="18" customHeight="1" x14ac:dyDescent="0.2">
      <c r="A12" s="505">
        <v>51103</v>
      </c>
      <c r="B12" s="512" t="s">
        <v>127</v>
      </c>
      <c r="C12" s="249">
        <f>CONSOLIDADO!AH13</f>
        <v>21251.969999999998</v>
      </c>
      <c r="D12" s="253"/>
      <c r="E12" s="576"/>
    </row>
    <row r="13" spans="1:7" s="48" customFormat="1" ht="12.75" hidden="1" customHeight="1" x14ac:dyDescent="0.2">
      <c r="A13" s="505">
        <v>51104</v>
      </c>
      <c r="B13" s="512" t="s">
        <v>128</v>
      </c>
      <c r="C13" s="249"/>
      <c r="D13" s="253"/>
      <c r="E13" s="574"/>
      <c r="G13" s="47"/>
    </row>
    <row r="14" spans="1:7" ht="18" customHeight="1" x14ac:dyDescent="0.2">
      <c r="A14" s="504" t="s">
        <v>129</v>
      </c>
      <c r="B14" s="512" t="s">
        <v>130</v>
      </c>
      <c r="C14" s="249">
        <f>CONSOLIDADO!AH15</f>
        <v>72000</v>
      </c>
      <c r="D14" s="575"/>
      <c r="E14" s="576"/>
    </row>
    <row r="15" spans="1:7" s="48" customFormat="1" ht="18" customHeight="1" x14ac:dyDescent="0.2">
      <c r="A15" s="504" t="s">
        <v>131</v>
      </c>
      <c r="B15" s="512" t="s">
        <v>132</v>
      </c>
      <c r="C15" s="249">
        <f>CONSOLIDADO!AH16</f>
        <v>16264.83</v>
      </c>
      <c r="D15" s="253"/>
      <c r="E15" s="574"/>
      <c r="G15" s="47"/>
    </row>
    <row r="16" spans="1:7" ht="12.75" x14ac:dyDescent="0.2">
      <c r="A16" s="506" t="s">
        <v>133</v>
      </c>
      <c r="B16" s="513" t="s">
        <v>134</v>
      </c>
      <c r="C16" s="249"/>
      <c r="D16" s="253">
        <f>SUM(C17:C20)</f>
        <v>63170.12</v>
      </c>
      <c r="E16" s="576"/>
    </row>
    <row r="17" spans="1:5" ht="12.75" hidden="1" customHeight="1" x14ac:dyDescent="0.2">
      <c r="A17" s="504" t="s">
        <v>135</v>
      </c>
      <c r="B17" s="512" t="s">
        <v>125</v>
      </c>
      <c r="C17" s="249">
        <f>CONSOLIDADO!AH18</f>
        <v>0</v>
      </c>
      <c r="D17" s="575"/>
      <c r="E17" s="576"/>
    </row>
    <row r="18" spans="1:5" ht="18" customHeight="1" x14ac:dyDescent="0.2">
      <c r="A18" s="505">
        <v>51202</v>
      </c>
      <c r="B18" s="514" t="s">
        <v>136</v>
      </c>
      <c r="C18" s="249">
        <f>CONSOLIDADO!AH19</f>
        <v>63170.12</v>
      </c>
      <c r="D18" s="253"/>
      <c r="E18" s="576"/>
    </row>
    <row r="19" spans="1:5" s="48" customFormat="1" ht="12.75" hidden="1" customHeight="1" x14ac:dyDescent="0.2">
      <c r="A19" s="504" t="s">
        <v>137</v>
      </c>
      <c r="B19" s="512" t="s">
        <v>127</v>
      </c>
      <c r="C19" s="249"/>
      <c r="D19" s="253"/>
      <c r="E19" s="574"/>
    </row>
    <row r="20" spans="1:5" s="48" customFormat="1" ht="12.75" hidden="1" customHeight="1" x14ac:dyDescent="0.2">
      <c r="A20" s="504" t="s">
        <v>138</v>
      </c>
      <c r="B20" s="512" t="s">
        <v>132</v>
      </c>
      <c r="C20" s="249"/>
      <c r="D20" s="253"/>
      <c r="E20" s="574"/>
    </row>
    <row r="21" spans="1:5" ht="18" customHeight="1" x14ac:dyDescent="0.2">
      <c r="A21" s="506" t="s">
        <v>139</v>
      </c>
      <c r="B21" s="513" t="s">
        <v>140</v>
      </c>
      <c r="C21" s="249"/>
      <c r="D21" s="253">
        <f>SUM(C22:C23)</f>
        <v>150</v>
      </c>
      <c r="E21" s="576"/>
    </row>
    <row r="22" spans="1:5" ht="18" customHeight="1" x14ac:dyDescent="0.2">
      <c r="A22" s="505">
        <v>51301</v>
      </c>
      <c r="B22" s="514" t="s">
        <v>141</v>
      </c>
      <c r="C22" s="249">
        <f>+CONSOLIDADO!AH23</f>
        <v>150</v>
      </c>
      <c r="D22" s="253"/>
      <c r="E22" s="576"/>
    </row>
    <row r="23" spans="1:5" s="48" customFormat="1" ht="12.75" hidden="1" customHeight="1" x14ac:dyDescent="0.2">
      <c r="A23" s="505">
        <v>51302</v>
      </c>
      <c r="B23" s="514" t="s">
        <v>142</v>
      </c>
      <c r="C23" s="249"/>
      <c r="D23" s="253"/>
      <c r="E23" s="574"/>
    </row>
    <row r="24" spans="1:5" ht="12.75" x14ac:dyDescent="0.2">
      <c r="A24" s="503">
        <v>514</v>
      </c>
      <c r="B24" s="515" t="s">
        <v>143</v>
      </c>
      <c r="C24" s="249"/>
      <c r="D24" s="253">
        <f>SUM(C25:C26)</f>
        <v>21540.419849999998</v>
      </c>
      <c r="E24" s="576"/>
    </row>
    <row r="25" spans="1:5" ht="18" customHeight="1" x14ac:dyDescent="0.2">
      <c r="A25" s="504" t="s">
        <v>144</v>
      </c>
      <c r="B25" s="512" t="s">
        <v>145</v>
      </c>
      <c r="C25" s="249">
        <f>CONSOLIDADO!AH26</f>
        <v>21540.419849999998</v>
      </c>
      <c r="D25" s="253"/>
      <c r="E25" s="576"/>
    </row>
    <row r="26" spans="1:5" ht="12.75" hidden="1" customHeight="1" x14ac:dyDescent="0.2">
      <c r="A26" s="504" t="s">
        <v>146</v>
      </c>
      <c r="B26" s="512" t="s">
        <v>147</v>
      </c>
      <c r="C26" s="249"/>
      <c r="D26" s="575"/>
      <c r="E26" s="576"/>
    </row>
    <row r="27" spans="1:5" s="48" customFormat="1" ht="12.75" x14ac:dyDescent="0.2">
      <c r="A27" s="503">
        <v>515</v>
      </c>
      <c r="B27" s="515" t="s">
        <v>148</v>
      </c>
      <c r="C27" s="249"/>
      <c r="D27" s="253">
        <f>SUM(C28:C29)</f>
        <v>16186.301549999998</v>
      </c>
      <c r="E27" s="574"/>
    </row>
    <row r="28" spans="1:5" s="48" customFormat="1" ht="18" customHeight="1" x14ac:dyDescent="0.2">
      <c r="A28" s="504" t="s">
        <v>149</v>
      </c>
      <c r="B28" s="512" t="s">
        <v>145</v>
      </c>
      <c r="C28" s="249">
        <f>CONSOLIDADO!AH29</f>
        <v>16186.301549999998</v>
      </c>
      <c r="D28" s="253"/>
      <c r="E28" s="574"/>
    </row>
    <row r="29" spans="1:5" ht="12.75" hidden="1" customHeight="1" x14ac:dyDescent="0.2">
      <c r="A29" s="504" t="s">
        <v>150</v>
      </c>
      <c r="B29" s="512" t="s">
        <v>147</v>
      </c>
      <c r="C29" s="249"/>
      <c r="D29" s="253"/>
      <c r="E29" s="576"/>
    </row>
    <row r="30" spans="1:5" s="48" customFormat="1" ht="18" customHeight="1" x14ac:dyDescent="0.2">
      <c r="A30" s="506" t="s">
        <v>151</v>
      </c>
      <c r="B30" s="513" t="s">
        <v>152</v>
      </c>
      <c r="C30" s="249"/>
      <c r="D30" s="253">
        <f>SUM(C31:C32)</f>
        <v>7200</v>
      </c>
      <c r="E30" s="574"/>
    </row>
    <row r="31" spans="1:5" s="48" customFormat="1" ht="18" customHeight="1" x14ac:dyDescent="0.2">
      <c r="A31" s="505">
        <v>51601</v>
      </c>
      <c r="B31" s="514" t="s">
        <v>153</v>
      </c>
      <c r="C31" s="249">
        <f>+CONSOLIDADO!AH32</f>
        <v>7200</v>
      </c>
      <c r="D31" s="253"/>
      <c r="E31" s="574"/>
    </row>
    <row r="32" spans="1:5" ht="18" customHeight="1" x14ac:dyDescent="0.2">
      <c r="A32" s="505">
        <v>51602</v>
      </c>
      <c r="B32" s="514" t="s">
        <v>154</v>
      </c>
      <c r="C32" s="249"/>
      <c r="D32" s="575"/>
      <c r="E32" s="576"/>
    </row>
    <row r="33" spans="1:6" ht="18" customHeight="1" x14ac:dyDescent="0.2">
      <c r="A33" s="503">
        <v>517</v>
      </c>
      <c r="B33" s="516" t="s">
        <v>155</v>
      </c>
      <c r="C33" s="249"/>
      <c r="D33" s="253">
        <f>SUM(C34:C35)</f>
        <v>1031.25</v>
      </c>
      <c r="E33" s="576"/>
    </row>
    <row r="34" spans="1:6" s="48" customFormat="1" ht="18" customHeight="1" x14ac:dyDescent="0.2">
      <c r="A34" s="505">
        <v>51701</v>
      </c>
      <c r="B34" s="514" t="s">
        <v>156</v>
      </c>
      <c r="C34" s="249">
        <f>CONSOLIDADO!AH35</f>
        <v>1031.25</v>
      </c>
      <c r="D34" s="253"/>
      <c r="E34" s="574"/>
    </row>
    <row r="35" spans="1:6" s="48" customFormat="1" ht="12.75" hidden="1" customHeight="1" x14ac:dyDescent="0.2">
      <c r="A35" s="505">
        <v>51702</v>
      </c>
      <c r="B35" s="514" t="s">
        <v>157</v>
      </c>
      <c r="C35" s="249"/>
      <c r="D35" s="253"/>
      <c r="E35" s="574"/>
    </row>
    <row r="36" spans="1:6" ht="12.75" hidden="1" customHeight="1" x14ac:dyDescent="0.2">
      <c r="A36" s="503">
        <v>518</v>
      </c>
      <c r="B36" s="516" t="s">
        <v>158</v>
      </c>
      <c r="C36" s="249"/>
      <c r="D36" s="253">
        <f>SUM(C37)</f>
        <v>0</v>
      </c>
      <c r="E36" s="576"/>
    </row>
    <row r="37" spans="1:6" ht="12.75" hidden="1" customHeight="1" x14ac:dyDescent="0.2">
      <c r="A37" s="505">
        <v>51803</v>
      </c>
      <c r="B37" s="514" t="s">
        <v>159</v>
      </c>
      <c r="C37" s="249"/>
      <c r="D37" s="575"/>
      <c r="E37" s="576"/>
    </row>
    <row r="38" spans="1:6" s="48" customFormat="1" ht="18" customHeight="1" x14ac:dyDescent="0.2">
      <c r="A38" s="503">
        <v>519</v>
      </c>
      <c r="B38" s="516" t="s">
        <v>160</v>
      </c>
      <c r="C38" s="249"/>
      <c r="D38" s="253">
        <f>SUM(C39:C40)</f>
        <v>40037</v>
      </c>
      <c r="E38" s="574"/>
    </row>
    <row r="39" spans="1:6" s="48" customFormat="1" ht="18" customHeight="1" x14ac:dyDescent="0.2">
      <c r="A39" s="505">
        <v>51901</v>
      </c>
      <c r="B39" s="514" t="s">
        <v>161</v>
      </c>
      <c r="C39" s="249">
        <f>CONSOLIDADO!AH40</f>
        <v>10692</v>
      </c>
      <c r="D39" s="253"/>
      <c r="E39" s="574"/>
    </row>
    <row r="40" spans="1:6" ht="18" customHeight="1" x14ac:dyDescent="0.2">
      <c r="A40" s="505">
        <v>51999</v>
      </c>
      <c r="B40" s="514" t="s">
        <v>160</v>
      </c>
      <c r="C40" s="249">
        <f>CONSOLIDADO!AH41</f>
        <v>29345</v>
      </c>
      <c r="D40" s="575"/>
      <c r="E40" s="576"/>
    </row>
    <row r="41" spans="1:6" s="48" customFormat="1" ht="7.5" customHeight="1" x14ac:dyDescent="0.2">
      <c r="A41" s="505"/>
      <c r="B41" s="517"/>
      <c r="C41" s="249"/>
      <c r="D41" s="253"/>
      <c r="E41" s="574"/>
    </row>
    <row r="42" spans="1:6" ht="12.75" x14ac:dyDescent="0.2">
      <c r="A42" s="503">
        <v>54</v>
      </c>
      <c r="B42" s="518" t="s">
        <v>27</v>
      </c>
      <c r="C42" s="249"/>
      <c r="D42" s="575"/>
      <c r="E42" s="574">
        <f>SUM(D43:D94)</f>
        <v>214490.11</v>
      </c>
      <c r="F42" s="48"/>
    </row>
    <row r="43" spans="1:6" s="48" customFormat="1" ht="12.75" x14ac:dyDescent="0.2">
      <c r="A43" s="503">
        <v>541</v>
      </c>
      <c r="B43" s="518" t="s">
        <v>28</v>
      </c>
      <c r="C43" s="249"/>
      <c r="D43" s="253">
        <f>SUM(C44:C62)</f>
        <v>49744.42</v>
      </c>
      <c r="E43" s="574"/>
    </row>
    <row r="44" spans="1:6" ht="18" customHeight="1" x14ac:dyDescent="0.2">
      <c r="A44" s="505">
        <v>54101</v>
      </c>
      <c r="B44" s="517" t="s">
        <v>29</v>
      </c>
      <c r="C44" s="249">
        <f>CONSOLIDADO!AH45</f>
        <v>2875</v>
      </c>
      <c r="D44" s="575"/>
      <c r="E44" s="576"/>
    </row>
    <row r="45" spans="1:6" ht="12.75" hidden="1" customHeight="1" x14ac:dyDescent="0.2">
      <c r="A45" s="505">
        <v>54103</v>
      </c>
      <c r="B45" s="517" t="s">
        <v>30</v>
      </c>
      <c r="C45" s="249"/>
      <c r="D45" s="575"/>
      <c r="E45" s="576"/>
    </row>
    <row r="46" spans="1:6" ht="18" customHeight="1" x14ac:dyDescent="0.2">
      <c r="A46" s="505">
        <v>54104</v>
      </c>
      <c r="B46" s="517" t="s">
        <v>31</v>
      </c>
      <c r="C46" s="249">
        <f>CONSOLIDADO!AH47</f>
        <v>0</v>
      </c>
      <c r="D46" s="575"/>
      <c r="E46" s="576"/>
    </row>
    <row r="47" spans="1:6" ht="18" customHeight="1" x14ac:dyDescent="0.2">
      <c r="A47" s="505">
        <v>54105</v>
      </c>
      <c r="B47" s="517" t="s">
        <v>32</v>
      </c>
      <c r="C47" s="249">
        <f>CONSOLIDADO!AH48</f>
        <v>2240.9499999999998</v>
      </c>
      <c r="D47" s="575"/>
      <c r="E47" s="576"/>
    </row>
    <row r="48" spans="1:6" s="48" customFormat="1" ht="12.75" hidden="1" customHeight="1" x14ac:dyDescent="0.2">
      <c r="A48" s="505">
        <v>54106</v>
      </c>
      <c r="B48" s="517" t="s">
        <v>33</v>
      </c>
      <c r="C48" s="249">
        <f>CONSOLIDADO!AH49</f>
        <v>0</v>
      </c>
      <c r="D48" s="253"/>
      <c r="E48" s="574"/>
    </row>
    <row r="49" spans="1:5" s="48" customFormat="1" ht="18" customHeight="1" x14ac:dyDescent="0.2">
      <c r="A49" s="505">
        <v>54107</v>
      </c>
      <c r="B49" s="517" t="s">
        <v>34</v>
      </c>
      <c r="C49" s="249">
        <f>CONSOLIDADO!AH50</f>
        <v>2130</v>
      </c>
      <c r="D49" s="253"/>
      <c r="E49" s="574"/>
    </row>
    <row r="50" spans="1:5" ht="18" customHeight="1" x14ac:dyDescent="0.2">
      <c r="A50" s="505">
        <v>54108</v>
      </c>
      <c r="B50" s="517" t="s">
        <v>35</v>
      </c>
      <c r="C50" s="249">
        <f>CONSOLIDADO!AH51</f>
        <v>10568.47</v>
      </c>
      <c r="D50" s="575"/>
      <c r="E50" s="576"/>
    </row>
    <row r="51" spans="1:5" ht="18" customHeight="1" x14ac:dyDescent="0.2">
      <c r="A51" s="505">
        <v>54109</v>
      </c>
      <c r="B51" s="517" t="s">
        <v>36</v>
      </c>
      <c r="C51" s="249">
        <f>CONSOLIDADO!AH52</f>
        <v>2500</v>
      </c>
      <c r="D51" s="575"/>
      <c r="E51" s="576"/>
    </row>
    <row r="52" spans="1:5" s="48" customFormat="1" ht="18" customHeight="1" x14ac:dyDescent="0.2">
      <c r="A52" s="505">
        <v>54110</v>
      </c>
      <c r="B52" s="517" t="s">
        <v>37</v>
      </c>
      <c r="C52" s="249">
        <f>CONSOLIDADO!AH53</f>
        <v>10500</v>
      </c>
      <c r="D52" s="253"/>
      <c r="E52" s="574"/>
    </row>
    <row r="53" spans="1:5" s="48" customFormat="1" ht="18" customHeight="1" x14ac:dyDescent="0.2">
      <c r="A53" s="505">
        <v>54111</v>
      </c>
      <c r="B53" s="517" t="s">
        <v>38</v>
      </c>
      <c r="C53" s="249">
        <f>CONSOLIDADO!AH54</f>
        <v>200</v>
      </c>
      <c r="D53" s="253"/>
      <c r="E53" s="574"/>
    </row>
    <row r="54" spans="1:5" ht="18" customHeight="1" x14ac:dyDescent="0.2">
      <c r="A54" s="505">
        <v>54112</v>
      </c>
      <c r="B54" s="517" t="s">
        <v>39</v>
      </c>
      <c r="C54" s="249">
        <f>+CONSOLIDADO!AH55</f>
        <v>200</v>
      </c>
      <c r="D54" s="253"/>
      <c r="E54" s="576"/>
    </row>
    <row r="55" spans="1:5" s="48" customFormat="1" ht="18" customHeight="1" x14ac:dyDescent="0.2">
      <c r="A55" s="505">
        <v>54114</v>
      </c>
      <c r="B55" s="517" t="s">
        <v>40</v>
      </c>
      <c r="C55" s="249">
        <f>CONSOLIDADO!AH56</f>
        <v>1650</v>
      </c>
      <c r="D55" s="253"/>
      <c r="E55" s="574"/>
    </row>
    <row r="56" spans="1:5" s="48" customFormat="1" ht="18" customHeight="1" x14ac:dyDescent="0.2">
      <c r="A56" s="505">
        <v>54115</v>
      </c>
      <c r="B56" s="517" t="s">
        <v>41</v>
      </c>
      <c r="C56" s="249">
        <f>CONSOLIDADO!AH57</f>
        <v>2000</v>
      </c>
      <c r="D56" s="253"/>
      <c r="E56" s="574"/>
    </row>
    <row r="57" spans="1:5" ht="12.75" hidden="1" customHeight="1" x14ac:dyDescent="0.2">
      <c r="A57" s="505">
        <v>54116</v>
      </c>
      <c r="B57" s="517" t="s">
        <v>42</v>
      </c>
      <c r="C57" s="249">
        <f>CONSOLIDADO!AH58</f>
        <v>130</v>
      </c>
      <c r="D57" s="575"/>
      <c r="E57" s="576"/>
    </row>
    <row r="58" spans="1:5" ht="12.75" hidden="1" customHeight="1" x14ac:dyDescent="0.2">
      <c r="A58" s="505">
        <v>54117</v>
      </c>
      <c r="B58" s="517" t="s">
        <v>43</v>
      </c>
      <c r="C58" s="249">
        <f>CONSOLIDADO!AH59</f>
        <v>0</v>
      </c>
      <c r="D58" s="575"/>
      <c r="E58" s="576"/>
    </row>
    <row r="59" spans="1:5" ht="18" customHeight="1" x14ac:dyDescent="0.2">
      <c r="A59" s="505">
        <v>54118</v>
      </c>
      <c r="B59" s="517" t="s">
        <v>44</v>
      </c>
      <c r="C59" s="249">
        <f>CONSOLIDADO!AH60</f>
        <v>3600</v>
      </c>
      <c r="D59" s="575"/>
      <c r="E59" s="576"/>
    </row>
    <row r="60" spans="1:5" ht="18" customHeight="1" x14ac:dyDescent="0.2">
      <c r="A60" s="505">
        <v>54119</v>
      </c>
      <c r="B60" s="517" t="s">
        <v>45</v>
      </c>
      <c r="C60" s="249">
        <f>CONSOLIDADO!AH61</f>
        <v>250</v>
      </c>
      <c r="D60" s="575"/>
      <c r="E60" s="576"/>
    </row>
    <row r="61" spans="1:5" ht="18" customHeight="1" x14ac:dyDescent="0.2">
      <c r="A61" s="505">
        <v>54121</v>
      </c>
      <c r="B61" s="517" t="s">
        <v>46</v>
      </c>
      <c r="C61" s="249">
        <f>CONSOLIDADO!AH62</f>
        <v>4000</v>
      </c>
      <c r="D61" s="575"/>
      <c r="E61" s="576"/>
    </row>
    <row r="62" spans="1:5" ht="18" customHeight="1" x14ac:dyDescent="0.2">
      <c r="A62" s="524">
        <v>54199</v>
      </c>
      <c r="B62" s="525" t="s">
        <v>47</v>
      </c>
      <c r="C62" s="578">
        <f>CONSOLIDADO!AH63</f>
        <v>6900</v>
      </c>
      <c r="D62" s="579"/>
      <c r="E62" s="580"/>
    </row>
    <row r="63" spans="1:5" ht="12.75" hidden="1" customHeight="1" x14ac:dyDescent="0.2">
      <c r="A63" s="134"/>
      <c r="B63" s="517"/>
      <c r="C63" s="249"/>
      <c r="D63" s="575"/>
      <c r="E63" s="577"/>
    </row>
    <row r="64" spans="1:5" ht="12.75" hidden="1" customHeight="1" x14ac:dyDescent="0.2">
      <c r="A64" s="134"/>
      <c r="B64" s="517"/>
      <c r="C64" s="249"/>
      <c r="D64" s="575"/>
      <c r="E64" s="577"/>
    </row>
    <row r="65" spans="1:5" ht="12.75" hidden="1" customHeight="1" x14ac:dyDescent="0.2">
      <c r="A65" s="134"/>
      <c r="B65" s="517"/>
      <c r="C65" s="249"/>
      <c r="D65" s="575"/>
      <c r="E65" s="577"/>
    </row>
    <row r="66" spans="1:5" ht="12.75" hidden="1" customHeight="1" x14ac:dyDescent="0.2">
      <c r="A66" s="134"/>
      <c r="B66" s="517"/>
      <c r="C66" s="249"/>
      <c r="D66" s="575"/>
      <c r="E66" s="577"/>
    </row>
    <row r="67" spans="1:5" ht="18" customHeight="1" x14ac:dyDescent="0.2">
      <c r="A67" s="503">
        <v>542</v>
      </c>
      <c r="B67" s="518" t="s">
        <v>48</v>
      </c>
      <c r="C67" s="249"/>
      <c r="D67" s="253">
        <f>SUM(C68:C72)</f>
        <v>133992.74</v>
      </c>
      <c r="E67" s="576"/>
    </row>
    <row r="68" spans="1:5" ht="18" customHeight="1" x14ac:dyDescent="0.2">
      <c r="A68" s="505">
        <v>54201</v>
      </c>
      <c r="B68" s="517" t="s">
        <v>49</v>
      </c>
      <c r="C68" s="249">
        <f>CONSOLIDADO!AH65</f>
        <v>107062.73999999999</v>
      </c>
      <c r="D68" s="575"/>
      <c r="E68" s="576"/>
    </row>
    <row r="69" spans="1:5" ht="18" customHeight="1" x14ac:dyDescent="0.2">
      <c r="A69" s="505">
        <v>54202</v>
      </c>
      <c r="B69" s="517" t="s">
        <v>50</v>
      </c>
      <c r="C69" s="249">
        <f>CONSOLIDADO!AH66</f>
        <v>700</v>
      </c>
      <c r="D69" s="575"/>
      <c r="E69" s="576"/>
    </row>
    <row r="70" spans="1:5" ht="18" customHeight="1" x14ac:dyDescent="0.2">
      <c r="A70" s="505">
        <v>54203</v>
      </c>
      <c r="B70" s="517" t="s">
        <v>51</v>
      </c>
      <c r="C70" s="249">
        <f>CONSOLIDADO!AH67</f>
        <v>6230</v>
      </c>
      <c r="D70" s="575"/>
      <c r="E70" s="576"/>
    </row>
    <row r="71" spans="1:5" ht="12.75" hidden="1" customHeight="1" x14ac:dyDescent="0.2">
      <c r="A71" s="505">
        <v>54204</v>
      </c>
      <c r="B71" s="517" t="s">
        <v>52</v>
      </c>
      <c r="C71" s="249">
        <f>CONSOLIDADO!AH68</f>
        <v>0</v>
      </c>
      <c r="D71" s="575"/>
      <c r="E71" s="576"/>
    </row>
    <row r="72" spans="1:5" ht="18" customHeight="1" x14ac:dyDescent="0.2">
      <c r="A72" s="505">
        <v>54205</v>
      </c>
      <c r="B72" s="517" t="s">
        <v>53</v>
      </c>
      <c r="C72" s="249">
        <f>CONSOLIDADO!AH69</f>
        <v>20000</v>
      </c>
      <c r="D72" s="253"/>
      <c r="E72" s="576"/>
    </row>
    <row r="73" spans="1:5" ht="18" customHeight="1" x14ac:dyDescent="0.2">
      <c r="A73" s="503">
        <v>543</v>
      </c>
      <c r="B73" s="518" t="s">
        <v>54</v>
      </c>
      <c r="C73" s="249"/>
      <c r="D73" s="253">
        <f>SUM(C74:C88)</f>
        <v>29352.95</v>
      </c>
      <c r="E73" s="576"/>
    </row>
    <row r="74" spans="1:5" ht="18" customHeight="1" x14ac:dyDescent="0.2">
      <c r="A74" s="505">
        <v>54301</v>
      </c>
      <c r="B74" s="517" t="s">
        <v>55</v>
      </c>
      <c r="C74" s="249">
        <f>CONSOLIDADO!AH71</f>
        <v>1027.95</v>
      </c>
      <c r="D74" s="575"/>
      <c r="E74" s="576"/>
    </row>
    <row r="75" spans="1:5" ht="18" customHeight="1" x14ac:dyDescent="0.2">
      <c r="A75" s="505">
        <v>54302</v>
      </c>
      <c r="B75" s="517" t="s">
        <v>56</v>
      </c>
      <c r="C75" s="249">
        <f>CONSOLIDADO!AH72</f>
        <v>5800</v>
      </c>
      <c r="D75" s="575"/>
      <c r="E75" s="576"/>
    </row>
    <row r="76" spans="1:5" ht="18" customHeight="1" x14ac:dyDescent="0.2">
      <c r="A76" s="505">
        <v>54303</v>
      </c>
      <c r="B76" s="517" t="s">
        <v>57</v>
      </c>
      <c r="C76" s="249">
        <f>CONSOLIDADO!AH73</f>
        <v>0</v>
      </c>
      <c r="D76" s="575"/>
      <c r="E76" s="576"/>
    </row>
    <row r="77" spans="1:5" ht="18" customHeight="1" x14ac:dyDescent="0.2">
      <c r="A77" s="505">
        <v>54304</v>
      </c>
      <c r="B77" s="517" t="s">
        <v>58</v>
      </c>
      <c r="C77" s="249">
        <f>CONSOLIDADO!AH74</f>
        <v>5000</v>
      </c>
      <c r="D77" s="575"/>
      <c r="E77" s="576"/>
    </row>
    <row r="78" spans="1:5" ht="18" customHeight="1" x14ac:dyDescent="0.2">
      <c r="A78" s="505">
        <v>54305</v>
      </c>
      <c r="B78" s="517" t="s">
        <v>59</v>
      </c>
      <c r="C78" s="249">
        <f>CONSOLIDADO!AH75</f>
        <v>200</v>
      </c>
      <c r="D78" s="575"/>
      <c r="E78" s="576"/>
    </row>
    <row r="79" spans="1:5" ht="18" customHeight="1" x14ac:dyDescent="0.2">
      <c r="A79" s="505">
        <v>54306</v>
      </c>
      <c r="B79" s="517" t="s">
        <v>60</v>
      </c>
      <c r="C79" s="249"/>
      <c r="D79" s="575"/>
      <c r="E79" s="576"/>
    </row>
    <row r="80" spans="1:5" ht="18" customHeight="1" x14ac:dyDescent="0.2">
      <c r="A80" s="505">
        <v>54307</v>
      </c>
      <c r="B80" s="517" t="s">
        <v>61</v>
      </c>
      <c r="C80" s="249">
        <f>CONSOLIDADO!AH77</f>
        <v>1500</v>
      </c>
      <c r="D80" s="575"/>
      <c r="E80" s="574"/>
    </row>
    <row r="81" spans="1:5" ht="12.75" hidden="1" customHeight="1" x14ac:dyDescent="0.2">
      <c r="A81" s="505">
        <v>54309</v>
      </c>
      <c r="B81" s="517" t="s">
        <v>62</v>
      </c>
      <c r="C81" s="249"/>
      <c r="D81" s="253"/>
      <c r="E81" s="576"/>
    </row>
    <row r="82" spans="1:5" ht="12.75" hidden="1" customHeight="1" x14ac:dyDescent="0.2">
      <c r="A82" s="505">
        <v>54310</v>
      </c>
      <c r="B82" s="517" t="s">
        <v>63</v>
      </c>
      <c r="C82" s="249"/>
      <c r="D82" s="575"/>
      <c r="E82" s="576"/>
    </row>
    <row r="83" spans="1:5" ht="12.75" hidden="1" customHeight="1" x14ac:dyDescent="0.2">
      <c r="A83" s="505">
        <v>54311</v>
      </c>
      <c r="B83" s="517" t="s">
        <v>64</v>
      </c>
      <c r="C83" s="249"/>
      <c r="D83" s="575"/>
      <c r="E83" s="576"/>
    </row>
    <row r="84" spans="1:5" ht="12.75" hidden="1" customHeight="1" x14ac:dyDescent="0.2">
      <c r="A84" s="505">
        <v>54313</v>
      </c>
      <c r="B84" s="517" t="s">
        <v>65</v>
      </c>
      <c r="C84" s="249"/>
      <c r="D84" s="253"/>
      <c r="E84" s="576"/>
    </row>
    <row r="85" spans="1:5" ht="18" customHeight="1" x14ac:dyDescent="0.2">
      <c r="A85" s="505">
        <v>54314</v>
      </c>
      <c r="B85" s="517" t="s">
        <v>66</v>
      </c>
      <c r="C85" s="249">
        <f>CONSOLIDADO!AH82</f>
        <v>8000</v>
      </c>
      <c r="D85" s="575"/>
      <c r="E85" s="576"/>
    </row>
    <row r="86" spans="1:5" ht="12.75" hidden="1" customHeight="1" x14ac:dyDescent="0.2">
      <c r="A86" s="505">
        <v>54316</v>
      </c>
      <c r="B86" s="517" t="s">
        <v>67</v>
      </c>
      <c r="C86" s="249"/>
      <c r="D86" s="575"/>
      <c r="E86" s="576"/>
    </row>
    <row r="87" spans="1:5" ht="18" customHeight="1" x14ac:dyDescent="0.2">
      <c r="A87" s="505">
        <v>54317</v>
      </c>
      <c r="B87" s="517" t="s">
        <v>68</v>
      </c>
      <c r="C87" s="249">
        <f>CONSOLIDADO!AH84</f>
        <v>4800</v>
      </c>
      <c r="D87" s="575"/>
      <c r="E87" s="574"/>
    </row>
    <row r="88" spans="1:5" ht="18" customHeight="1" x14ac:dyDescent="0.2">
      <c r="A88" s="505">
        <v>54399</v>
      </c>
      <c r="B88" s="517" t="s">
        <v>69</v>
      </c>
      <c r="C88" s="249">
        <f>CONSOLIDADO!AH85</f>
        <v>3025</v>
      </c>
      <c r="D88" s="253"/>
      <c r="E88" s="576"/>
    </row>
    <row r="89" spans="1:5" ht="12.75" x14ac:dyDescent="0.2">
      <c r="A89" s="503">
        <v>544</v>
      </c>
      <c r="B89" s="518" t="s">
        <v>70</v>
      </c>
      <c r="C89" s="249"/>
      <c r="D89" s="253">
        <f>SUM(C90:C93)</f>
        <v>900</v>
      </c>
      <c r="E89" s="576"/>
    </row>
    <row r="90" spans="1:5" ht="18" customHeight="1" x14ac:dyDescent="0.2">
      <c r="A90" s="505">
        <v>54401</v>
      </c>
      <c r="B90" s="517" t="s">
        <v>71</v>
      </c>
      <c r="C90" s="249">
        <f>CONSOLIDADO!AH87</f>
        <v>330</v>
      </c>
      <c r="D90" s="575"/>
      <c r="E90" s="576"/>
    </row>
    <row r="91" spans="1:5" ht="12.75" hidden="1" customHeight="1" x14ac:dyDescent="0.2">
      <c r="A91" s="505">
        <v>54402</v>
      </c>
      <c r="B91" s="517" t="s">
        <v>72</v>
      </c>
      <c r="C91" s="249">
        <f>CONSOLIDADO!AH88</f>
        <v>0</v>
      </c>
      <c r="D91" s="575"/>
      <c r="E91" s="576"/>
    </row>
    <row r="92" spans="1:5" ht="18" customHeight="1" x14ac:dyDescent="0.2">
      <c r="A92" s="505">
        <v>54403</v>
      </c>
      <c r="B92" s="517" t="s">
        <v>73</v>
      </c>
      <c r="C92" s="249">
        <f>CONSOLIDADO!AH89</f>
        <v>570</v>
      </c>
      <c r="D92" s="575"/>
      <c r="E92" s="576"/>
    </row>
    <row r="93" spans="1:5" ht="12.75" hidden="1" customHeight="1" x14ac:dyDescent="0.2">
      <c r="A93" s="505">
        <v>54404</v>
      </c>
      <c r="B93" s="517" t="s">
        <v>74</v>
      </c>
      <c r="C93" s="249">
        <f>CONSOLIDADO!AH90</f>
        <v>0</v>
      </c>
      <c r="D93" s="575"/>
      <c r="E93" s="576"/>
    </row>
    <row r="94" spans="1:5" ht="12.75" x14ac:dyDescent="0.2">
      <c r="A94" s="503">
        <v>545</v>
      </c>
      <c r="B94" s="518" t="s">
        <v>75</v>
      </c>
      <c r="C94" s="249"/>
      <c r="D94" s="575">
        <f>C95+C96</f>
        <v>500</v>
      </c>
      <c r="E94" s="576"/>
    </row>
    <row r="95" spans="1:5" ht="18" customHeight="1" x14ac:dyDescent="0.2">
      <c r="A95" s="505">
        <v>54503</v>
      </c>
      <c r="B95" s="517" t="s">
        <v>77</v>
      </c>
      <c r="C95" s="249">
        <f>+CONSOLIDADO!AH92</f>
        <v>500</v>
      </c>
      <c r="D95" s="575"/>
      <c r="E95" s="576"/>
    </row>
    <row r="96" spans="1:5" ht="18" customHeight="1" x14ac:dyDescent="0.2">
      <c r="A96" s="505">
        <v>54599</v>
      </c>
      <c r="B96" s="517" t="s">
        <v>528</v>
      </c>
      <c r="C96" s="249">
        <f>+CONSOLIDADO!AH93</f>
        <v>0</v>
      </c>
      <c r="D96" s="575"/>
      <c r="E96" s="576"/>
    </row>
    <row r="97" spans="1:7" ht="18" customHeight="1" x14ac:dyDescent="0.2">
      <c r="A97" s="503">
        <v>55</v>
      </c>
      <c r="B97" s="518" t="s">
        <v>83</v>
      </c>
      <c r="C97" s="249"/>
      <c r="D97" s="253"/>
      <c r="E97" s="574">
        <f>SUM(D98:D113)</f>
        <v>90300.479999999996</v>
      </c>
      <c r="G97" s="1015"/>
    </row>
    <row r="98" spans="1:7" ht="15.75" customHeight="1" x14ac:dyDescent="0.2">
      <c r="A98" s="503">
        <v>553</v>
      </c>
      <c r="B98" s="515" t="s">
        <v>84</v>
      </c>
      <c r="C98" s="249"/>
      <c r="D98" s="253">
        <f>SUM(C99:C103)</f>
        <v>86988.959999999992</v>
      </c>
      <c r="E98" s="574"/>
    </row>
    <row r="99" spans="1:7" ht="18" customHeight="1" x14ac:dyDescent="0.2">
      <c r="A99" s="505">
        <v>55302</v>
      </c>
      <c r="B99" s="519" t="s">
        <v>545</v>
      </c>
      <c r="C99" s="249">
        <f>CONSOLIDADO!AH96</f>
        <v>4225</v>
      </c>
      <c r="D99" s="253"/>
      <c r="E99" s="574"/>
    </row>
    <row r="100" spans="1:7" ht="12.75" hidden="1" customHeight="1" x14ac:dyDescent="0.2">
      <c r="A100" s="505">
        <v>55303</v>
      </c>
      <c r="B100" s="519" t="s">
        <v>85</v>
      </c>
      <c r="C100" s="249"/>
      <c r="D100" s="253"/>
      <c r="E100" s="574"/>
    </row>
    <row r="101" spans="1:7" ht="18" customHeight="1" x14ac:dyDescent="0.2">
      <c r="A101" s="505">
        <v>55304</v>
      </c>
      <c r="B101" s="517" t="s">
        <v>86</v>
      </c>
      <c r="C101" s="249">
        <f>+CONSOLIDADO!AH98</f>
        <v>82763.959999999992</v>
      </c>
      <c r="D101" s="253"/>
      <c r="E101" s="574"/>
    </row>
    <row r="102" spans="1:7" s="52" customFormat="1" ht="12.75" hidden="1" customHeight="1" x14ac:dyDescent="0.2">
      <c r="A102" s="505">
        <v>55306</v>
      </c>
      <c r="B102" s="517" t="s">
        <v>253</v>
      </c>
      <c r="C102" s="249">
        <f>CONSOLIDADO!AH99</f>
        <v>0</v>
      </c>
      <c r="D102" s="190"/>
      <c r="E102" s="581"/>
      <c r="F102" s="51"/>
    </row>
    <row r="103" spans="1:7" ht="12.75" hidden="1" customHeight="1" x14ac:dyDescent="0.2">
      <c r="A103" s="505">
        <v>55308</v>
      </c>
      <c r="B103" s="517" t="s">
        <v>87</v>
      </c>
      <c r="C103" s="249"/>
      <c r="D103" s="253"/>
      <c r="E103" s="574"/>
    </row>
    <row r="104" spans="1:7" ht="18" customHeight="1" x14ac:dyDescent="0.2">
      <c r="A104" s="503">
        <v>555</v>
      </c>
      <c r="B104" s="520" t="s">
        <v>509</v>
      </c>
      <c r="C104" s="249"/>
      <c r="D104" s="253">
        <f>+C105</f>
        <v>115.44</v>
      </c>
      <c r="E104" s="574"/>
    </row>
    <row r="105" spans="1:7" ht="18" customHeight="1" x14ac:dyDescent="0.2">
      <c r="A105" s="505">
        <v>55508</v>
      </c>
      <c r="B105" s="519" t="s">
        <v>340</v>
      </c>
      <c r="C105" s="249">
        <f>CONSOLIDADO!AH102</f>
        <v>115.44</v>
      </c>
      <c r="D105" s="253"/>
      <c r="E105" s="574"/>
    </row>
    <row r="106" spans="1:7" ht="18" customHeight="1" x14ac:dyDescent="0.2">
      <c r="A106" s="503">
        <v>556</v>
      </c>
      <c r="B106" s="518" t="s">
        <v>88</v>
      </c>
      <c r="C106" s="249"/>
      <c r="D106" s="253">
        <f>SUM(C107:C109)</f>
        <v>3196.08</v>
      </c>
      <c r="E106" s="574"/>
    </row>
    <row r="107" spans="1:7" ht="12.75" hidden="1" customHeight="1" x14ac:dyDescent="0.2">
      <c r="A107" s="505">
        <v>55601</v>
      </c>
      <c r="B107" s="517" t="s">
        <v>89</v>
      </c>
      <c r="C107" s="249"/>
      <c r="D107" s="253"/>
      <c r="E107" s="574"/>
    </row>
    <row r="108" spans="1:7" ht="18" customHeight="1" x14ac:dyDescent="0.2">
      <c r="A108" s="505">
        <v>55602</v>
      </c>
      <c r="B108" s="517" t="s">
        <v>90</v>
      </c>
      <c r="C108" s="249"/>
      <c r="D108" s="253"/>
      <c r="E108" s="574"/>
    </row>
    <row r="109" spans="1:7" ht="18" customHeight="1" x14ac:dyDescent="0.2">
      <c r="A109" s="505">
        <v>55603</v>
      </c>
      <c r="B109" s="517" t="s">
        <v>91</v>
      </c>
      <c r="C109" s="249">
        <f>CONSOLIDADO!AH103</f>
        <v>3196.08</v>
      </c>
      <c r="D109" s="253"/>
      <c r="E109" s="574"/>
    </row>
    <row r="110" spans="1:7" ht="12.75" hidden="1" customHeight="1" x14ac:dyDescent="0.2">
      <c r="A110" s="503">
        <v>557</v>
      </c>
      <c r="B110" s="518" t="s">
        <v>92</v>
      </c>
      <c r="C110" s="249"/>
      <c r="D110" s="253">
        <f>SUM(C111:C113)</f>
        <v>0</v>
      </c>
      <c r="E110" s="574"/>
    </row>
    <row r="111" spans="1:7" ht="12.75" hidden="1" customHeight="1" x14ac:dyDescent="0.2">
      <c r="A111" s="505">
        <v>55701</v>
      </c>
      <c r="B111" s="517" t="s">
        <v>93</v>
      </c>
      <c r="C111" s="249"/>
      <c r="D111" s="253"/>
      <c r="E111" s="574"/>
    </row>
    <row r="112" spans="1:7" ht="12.75" hidden="1" customHeight="1" x14ac:dyDescent="0.2">
      <c r="A112" s="505">
        <v>55702</v>
      </c>
      <c r="B112" s="517" t="s">
        <v>94</v>
      </c>
      <c r="C112" s="249"/>
      <c r="D112" s="575"/>
      <c r="E112" s="576"/>
    </row>
    <row r="113" spans="1:5" ht="12.75" hidden="1" customHeight="1" x14ac:dyDescent="0.2">
      <c r="A113" s="505">
        <v>55799</v>
      </c>
      <c r="B113" s="517" t="s">
        <v>95</v>
      </c>
      <c r="C113" s="249"/>
      <c r="D113" s="575"/>
      <c r="E113" s="576"/>
    </row>
    <row r="114" spans="1:5" ht="12.75" hidden="1" customHeight="1" x14ac:dyDescent="0.2">
      <c r="A114" s="505"/>
      <c r="B114" s="517"/>
      <c r="C114" s="249"/>
      <c r="D114" s="575"/>
      <c r="E114" s="576"/>
    </row>
    <row r="115" spans="1:5" ht="18" customHeight="1" x14ac:dyDescent="0.2">
      <c r="A115" s="503">
        <v>56</v>
      </c>
      <c r="B115" s="518" t="s">
        <v>96</v>
      </c>
      <c r="C115" s="249"/>
      <c r="D115" s="575"/>
      <c r="E115" s="574">
        <f>SUM(D116:D121)</f>
        <v>198364.1347</v>
      </c>
    </row>
    <row r="116" spans="1:5" ht="18" customHeight="1" x14ac:dyDescent="0.2">
      <c r="A116" s="503">
        <v>562</v>
      </c>
      <c r="B116" s="518" t="s">
        <v>97</v>
      </c>
      <c r="C116" s="249"/>
      <c r="D116" s="253">
        <f>SUM(C117:C118)</f>
        <v>16779.724700000002</v>
      </c>
      <c r="E116" s="576"/>
    </row>
    <row r="117" spans="1:5" ht="18" customHeight="1" x14ac:dyDescent="0.2">
      <c r="A117" s="505">
        <v>56201</v>
      </c>
      <c r="B117" s="517" t="s">
        <v>98</v>
      </c>
      <c r="C117" s="249">
        <f>CONSOLIDADO!AH114</f>
        <v>16779.724700000002</v>
      </c>
      <c r="D117" s="575"/>
      <c r="E117" s="576"/>
    </row>
    <row r="118" spans="1:5" ht="12.75" hidden="1" customHeight="1" x14ac:dyDescent="0.2">
      <c r="A118" s="505">
        <v>56202</v>
      </c>
      <c r="B118" s="517" t="s">
        <v>240</v>
      </c>
      <c r="C118" s="249"/>
      <c r="D118" s="575"/>
      <c r="E118" s="576"/>
    </row>
    <row r="119" spans="1:5" ht="18" customHeight="1" x14ac:dyDescent="0.2">
      <c r="A119" s="503">
        <v>563</v>
      </c>
      <c r="B119" s="518" t="s">
        <v>99</v>
      </c>
      <c r="C119" s="249"/>
      <c r="D119" s="253">
        <f>SUM(C120:C121)</f>
        <v>181584.41</v>
      </c>
      <c r="E119" s="576"/>
    </row>
    <row r="120" spans="1:5" ht="18" customHeight="1" x14ac:dyDescent="0.2">
      <c r="A120" s="505">
        <v>56304</v>
      </c>
      <c r="B120" s="517" t="s">
        <v>109</v>
      </c>
      <c r="C120" s="249">
        <f>CONSOLIDADO!AH118</f>
        <v>86250</v>
      </c>
      <c r="D120" s="575"/>
      <c r="E120" s="576"/>
    </row>
    <row r="121" spans="1:5" ht="18" customHeight="1" x14ac:dyDescent="0.2">
      <c r="A121" s="505">
        <v>56305</v>
      </c>
      <c r="B121" s="517" t="s">
        <v>254</v>
      </c>
      <c r="C121" s="249">
        <f>+CONSOLIDADO!AH119</f>
        <v>95334.41</v>
      </c>
      <c r="D121" s="575"/>
      <c r="E121" s="576"/>
    </row>
    <row r="122" spans="1:5" ht="18" customHeight="1" x14ac:dyDescent="0.2">
      <c r="A122" s="505"/>
      <c r="B122" s="517"/>
      <c r="C122" s="249"/>
      <c r="D122" s="575"/>
      <c r="E122" s="576"/>
    </row>
    <row r="123" spans="1:5" ht="8.25" customHeight="1" x14ac:dyDescent="0.2">
      <c r="A123" s="524"/>
      <c r="B123" s="525"/>
      <c r="C123" s="578"/>
      <c r="D123" s="579"/>
      <c r="E123" s="580"/>
    </row>
    <row r="124" spans="1:5" ht="18" customHeight="1" x14ac:dyDescent="0.2">
      <c r="A124" s="507" t="s">
        <v>162</v>
      </c>
      <c r="B124" s="521" t="s">
        <v>163</v>
      </c>
      <c r="C124" s="249"/>
      <c r="D124" s="575"/>
      <c r="E124" s="574">
        <f>SUM(D125:D151)</f>
        <v>596212.09</v>
      </c>
    </row>
    <row r="125" spans="1:5" ht="18" customHeight="1" x14ac:dyDescent="0.2">
      <c r="A125" s="507" t="s">
        <v>164</v>
      </c>
      <c r="B125" s="521" t="s">
        <v>165</v>
      </c>
      <c r="C125" s="249"/>
      <c r="D125" s="253">
        <f>SUM(C126:C133)</f>
        <v>82046.13</v>
      </c>
      <c r="E125" s="576"/>
    </row>
    <row r="126" spans="1:5" ht="18" customHeight="1" x14ac:dyDescent="0.2">
      <c r="A126" s="508" t="s">
        <v>166</v>
      </c>
      <c r="B126" s="522" t="s">
        <v>167</v>
      </c>
      <c r="C126" s="249">
        <f>+CONSOLIDADO!AH122</f>
        <v>5140.09</v>
      </c>
      <c r="D126" s="575"/>
      <c r="E126" s="576"/>
    </row>
    <row r="127" spans="1:5" ht="18" customHeight="1" x14ac:dyDescent="0.2">
      <c r="A127" s="508" t="s">
        <v>168</v>
      </c>
      <c r="B127" s="522" t="s">
        <v>169</v>
      </c>
      <c r="C127" s="249">
        <f>+CONSOLIDADO!AH123</f>
        <v>0</v>
      </c>
      <c r="D127" s="575"/>
      <c r="E127" s="576"/>
    </row>
    <row r="128" spans="1:5" ht="18" customHeight="1" x14ac:dyDescent="0.2">
      <c r="A128" s="508" t="s">
        <v>170</v>
      </c>
      <c r="B128" s="522" t="s">
        <v>171</v>
      </c>
      <c r="C128" s="249"/>
      <c r="D128" s="575"/>
      <c r="E128" s="576"/>
    </row>
    <row r="129" spans="1:8" ht="18" customHeight="1" x14ac:dyDescent="0.2">
      <c r="A129" s="508" t="s">
        <v>172</v>
      </c>
      <c r="B129" s="522" t="s">
        <v>173</v>
      </c>
      <c r="C129" s="249">
        <f>+CONSOLIDADO!AH125</f>
        <v>5000</v>
      </c>
      <c r="D129" s="575"/>
      <c r="E129" s="576"/>
      <c r="F129" s="52"/>
      <c r="G129" s="52"/>
      <c r="H129" s="52"/>
    </row>
    <row r="130" spans="1:8" ht="18" customHeight="1" x14ac:dyDescent="0.2">
      <c r="A130" s="508" t="s">
        <v>174</v>
      </c>
      <c r="B130" s="522" t="s">
        <v>175</v>
      </c>
      <c r="C130" s="249">
        <f>+CONSOLIDADO!AH126</f>
        <v>61906.04</v>
      </c>
      <c r="D130" s="575"/>
      <c r="E130" s="576"/>
    </row>
    <row r="131" spans="1:8" ht="12.75" hidden="1" customHeight="1" x14ac:dyDescent="0.2">
      <c r="A131" s="508" t="s">
        <v>176</v>
      </c>
      <c r="B131" s="522" t="s">
        <v>177</v>
      </c>
      <c r="C131" s="249"/>
      <c r="D131" s="575"/>
      <c r="E131" s="576"/>
    </row>
    <row r="132" spans="1:8" ht="12.75" hidden="1" customHeight="1" x14ac:dyDescent="0.2">
      <c r="A132" s="508" t="s">
        <v>178</v>
      </c>
      <c r="B132" s="522" t="s">
        <v>179</v>
      </c>
      <c r="C132" s="249"/>
      <c r="D132" s="575"/>
      <c r="E132" s="576"/>
    </row>
    <row r="133" spans="1:8" ht="18" customHeight="1" x14ac:dyDescent="0.2">
      <c r="A133" s="508" t="s">
        <v>180</v>
      </c>
      <c r="B133" s="522" t="s">
        <v>181</v>
      </c>
      <c r="C133" s="249">
        <f>+CONSOLIDADO!AH129</f>
        <v>10000</v>
      </c>
      <c r="D133" s="575"/>
      <c r="E133" s="576"/>
    </row>
    <row r="134" spans="1:8" ht="18" customHeight="1" x14ac:dyDescent="0.2">
      <c r="A134" s="507" t="s">
        <v>241</v>
      </c>
      <c r="B134" s="521" t="s">
        <v>193</v>
      </c>
      <c r="C134" s="249"/>
      <c r="D134" s="253">
        <f>SUM(C135:C137)</f>
        <v>8749.75</v>
      </c>
      <c r="E134" s="576"/>
    </row>
    <row r="135" spans="1:8" ht="12.75" hidden="1" customHeight="1" x14ac:dyDescent="0.2">
      <c r="A135" s="508" t="s">
        <v>242</v>
      </c>
      <c r="B135" s="522" t="s">
        <v>243</v>
      </c>
      <c r="C135" s="249"/>
      <c r="D135" s="575"/>
      <c r="E135" s="576"/>
    </row>
    <row r="136" spans="1:8" ht="18" customHeight="1" x14ac:dyDescent="0.2">
      <c r="A136" s="508" t="s">
        <v>244</v>
      </c>
      <c r="B136" s="522" t="s">
        <v>245</v>
      </c>
      <c r="C136" s="249">
        <f>CONSOLIDADO!AH132</f>
        <v>8749.75</v>
      </c>
      <c r="D136" s="575"/>
      <c r="E136" s="576"/>
    </row>
    <row r="137" spans="1:8" ht="18" customHeight="1" x14ac:dyDescent="0.2">
      <c r="A137" s="508" t="s">
        <v>246</v>
      </c>
      <c r="B137" s="522" t="s">
        <v>247</v>
      </c>
      <c r="C137" s="249"/>
      <c r="D137" s="575"/>
      <c r="E137" s="576"/>
    </row>
    <row r="138" spans="1:8" ht="18" customHeight="1" x14ac:dyDescent="0.2">
      <c r="A138" s="503">
        <v>615</v>
      </c>
      <c r="B138" s="521" t="s">
        <v>195</v>
      </c>
      <c r="C138" s="249"/>
      <c r="D138" s="253">
        <f>SUM(C139:C142)</f>
        <v>58208.39</v>
      </c>
      <c r="E138" s="576"/>
    </row>
    <row r="139" spans="1:8" ht="18" customHeight="1" x14ac:dyDescent="0.2">
      <c r="A139" s="505">
        <v>61501</v>
      </c>
      <c r="B139" s="522" t="s">
        <v>196</v>
      </c>
      <c r="C139" s="249"/>
      <c r="D139" s="575"/>
      <c r="E139" s="576"/>
    </row>
    <row r="140" spans="1:8" ht="18" customHeight="1" x14ac:dyDescent="0.2">
      <c r="A140" s="505">
        <v>61502</v>
      </c>
      <c r="B140" s="522" t="s">
        <v>197</v>
      </c>
      <c r="C140" s="249"/>
      <c r="D140" s="575"/>
      <c r="E140" s="576"/>
    </row>
    <row r="141" spans="1:8" ht="18" customHeight="1" x14ac:dyDescent="0.2">
      <c r="A141" s="505">
        <v>61503</v>
      </c>
      <c r="B141" s="522" t="s">
        <v>198</v>
      </c>
      <c r="C141" s="249"/>
      <c r="D141" s="575"/>
      <c r="E141" s="576"/>
    </row>
    <row r="142" spans="1:8" ht="18" customHeight="1" x14ac:dyDescent="0.2">
      <c r="A142" s="505">
        <v>61599</v>
      </c>
      <c r="B142" s="522" t="s">
        <v>199</v>
      </c>
      <c r="C142" s="249">
        <f>CONSOLIDADO!AH138</f>
        <v>58208.39</v>
      </c>
      <c r="D142" s="575"/>
      <c r="E142" s="576"/>
    </row>
    <row r="143" spans="1:8" ht="18" customHeight="1" x14ac:dyDescent="0.2">
      <c r="A143" s="503">
        <v>616</v>
      </c>
      <c r="B143" s="521" t="s">
        <v>200</v>
      </c>
      <c r="C143" s="249"/>
      <c r="D143" s="253">
        <f>SUM(C144:C151)</f>
        <v>447207.81999999995</v>
      </c>
      <c r="E143" s="576"/>
    </row>
    <row r="144" spans="1:8" ht="18" customHeight="1" x14ac:dyDescent="0.2">
      <c r="A144" s="505">
        <v>61601</v>
      </c>
      <c r="B144" s="522" t="s">
        <v>201</v>
      </c>
      <c r="C144" s="249">
        <f>CONSOLIDADO!AH140</f>
        <v>114012.8</v>
      </c>
      <c r="D144" s="575"/>
      <c r="E144" s="576"/>
    </row>
    <row r="145" spans="1:5" ht="18" customHeight="1" x14ac:dyDescent="0.2">
      <c r="A145" s="505">
        <v>61602</v>
      </c>
      <c r="B145" s="522" t="s">
        <v>202</v>
      </c>
      <c r="C145" s="249">
        <f>CONSOLIDADO!AH141</f>
        <v>76016.73000000001</v>
      </c>
      <c r="D145" s="575"/>
      <c r="E145" s="576"/>
    </row>
    <row r="146" spans="1:5" ht="18" customHeight="1" x14ac:dyDescent="0.2">
      <c r="A146" s="505">
        <v>61603</v>
      </c>
      <c r="B146" s="522" t="s">
        <v>203</v>
      </c>
      <c r="C146" s="249">
        <f>CONSOLIDADO!AH142</f>
        <v>109080.20999999999</v>
      </c>
      <c r="D146" s="575"/>
      <c r="E146" s="576"/>
    </row>
    <row r="147" spans="1:5" ht="18" customHeight="1" x14ac:dyDescent="0.2">
      <c r="A147" s="505">
        <v>61604</v>
      </c>
      <c r="B147" s="522" t="s">
        <v>204</v>
      </c>
      <c r="C147" s="249">
        <f>CONSOLIDADO!AH143</f>
        <v>13575.22</v>
      </c>
      <c r="D147" s="575"/>
      <c r="E147" s="576"/>
    </row>
    <row r="148" spans="1:5" ht="18" customHeight="1" x14ac:dyDescent="0.2">
      <c r="A148" s="505">
        <v>61606</v>
      </c>
      <c r="B148" s="522" t="s">
        <v>205</v>
      </c>
      <c r="C148" s="249">
        <f>CONSOLIDADO!AH144</f>
        <v>20000</v>
      </c>
      <c r="D148" s="575"/>
      <c r="E148" s="576"/>
    </row>
    <row r="149" spans="1:5" ht="18" customHeight="1" x14ac:dyDescent="0.2">
      <c r="A149" s="505">
        <v>61607</v>
      </c>
      <c r="B149" s="517" t="s">
        <v>206</v>
      </c>
      <c r="C149" s="249">
        <f>CONSOLIDADO!AH145</f>
        <v>0</v>
      </c>
      <c r="D149" s="575"/>
      <c r="E149" s="576"/>
    </row>
    <row r="150" spans="1:5" ht="18" customHeight="1" x14ac:dyDescent="0.2">
      <c r="A150" s="505">
        <v>61608</v>
      </c>
      <c r="B150" s="517" t="s">
        <v>207</v>
      </c>
      <c r="C150" s="249">
        <f>CONSOLIDADO!AH146</f>
        <v>0</v>
      </c>
      <c r="D150" s="575"/>
      <c r="E150" s="576"/>
    </row>
    <row r="151" spans="1:5" ht="18" customHeight="1" x14ac:dyDescent="0.2">
      <c r="A151" s="505">
        <v>61699</v>
      </c>
      <c r="B151" s="517" t="s">
        <v>208</v>
      </c>
      <c r="C151" s="249">
        <f>CONSOLIDADO!AH147</f>
        <v>114522.86</v>
      </c>
      <c r="D151" s="575"/>
      <c r="E151" s="576"/>
    </row>
    <row r="152" spans="1:5" ht="8.25" customHeight="1" x14ac:dyDescent="0.2">
      <c r="A152" s="505"/>
      <c r="B152" s="517"/>
      <c r="C152" s="249"/>
      <c r="D152" s="575"/>
      <c r="E152" s="576"/>
    </row>
    <row r="153" spans="1:5" ht="12.75" x14ac:dyDescent="0.2">
      <c r="A153" s="503">
        <v>71</v>
      </c>
      <c r="B153" s="518" t="s">
        <v>216</v>
      </c>
      <c r="C153" s="249"/>
      <c r="D153" s="575"/>
      <c r="E153" s="574">
        <f>SUM(D154:D157)</f>
        <v>268052.22000000003</v>
      </c>
    </row>
    <row r="154" spans="1:5" ht="12.75" x14ac:dyDescent="0.2">
      <c r="A154" s="503">
        <v>713</v>
      </c>
      <c r="B154" s="518" t="s">
        <v>217</v>
      </c>
      <c r="C154" s="249"/>
      <c r="D154" s="253">
        <f>SUM(C155:C157)</f>
        <v>268052.22000000003</v>
      </c>
      <c r="E154" s="576"/>
    </row>
    <row r="155" spans="1:5" ht="12.75" hidden="1" customHeight="1" x14ac:dyDescent="0.2">
      <c r="A155" s="505">
        <v>71303</v>
      </c>
      <c r="B155" s="517" t="s">
        <v>85</v>
      </c>
      <c r="C155" s="249" t="s">
        <v>510</v>
      </c>
      <c r="D155" s="575"/>
      <c r="E155" s="576"/>
    </row>
    <row r="156" spans="1:5" ht="18" customHeight="1" x14ac:dyDescent="0.2">
      <c r="A156" s="505">
        <v>71304</v>
      </c>
      <c r="B156" s="517" t="s">
        <v>86</v>
      </c>
      <c r="C156" s="249">
        <f>+CONSOLIDADO!AH152</f>
        <v>268052.22000000003</v>
      </c>
      <c r="D156" s="575"/>
      <c r="E156" s="576"/>
    </row>
    <row r="157" spans="1:5" ht="12.75" hidden="1" customHeight="1" x14ac:dyDescent="0.2">
      <c r="A157" s="505">
        <v>71308</v>
      </c>
      <c r="B157" s="517" t="s">
        <v>239</v>
      </c>
      <c r="C157" s="249">
        <f>CONSOLIDADO!P153</f>
        <v>0</v>
      </c>
      <c r="D157" s="575"/>
      <c r="E157" s="576"/>
    </row>
    <row r="158" spans="1:5" ht="12.75" hidden="1" customHeight="1" x14ac:dyDescent="0.2">
      <c r="A158" s="505"/>
      <c r="B158" s="517"/>
      <c r="C158" s="249"/>
      <c r="D158" s="575"/>
      <c r="E158" s="576"/>
    </row>
    <row r="159" spans="1:5" ht="18" customHeight="1" x14ac:dyDescent="0.2">
      <c r="A159" s="503">
        <v>72</v>
      </c>
      <c r="B159" s="518" t="s">
        <v>13</v>
      </c>
      <c r="C159" s="249"/>
      <c r="D159" s="253"/>
      <c r="E159" s="574">
        <f>+D160</f>
        <v>20345.670000000002</v>
      </c>
    </row>
    <row r="160" spans="1:5" ht="27.75" customHeight="1" x14ac:dyDescent="0.2">
      <c r="A160" s="503">
        <v>721</v>
      </c>
      <c r="B160" s="531" t="s">
        <v>182</v>
      </c>
      <c r="C160" s="249"/>
      <c r="D160" s="253">
        <f>+C161</f>
        <v>20345.670000000002</v>
      </c>
      <c r="E160" s="574"/>
    </row>
    <row r="161" spans="1:5" ht="18" customHeight="1" x14ac:dyDescent="0.2">
      <c r="A161" s="505">
        <v>72101</v>
      </c>
      <c r="B161" s="517" t="s">
        <v>182</v>
      </c>
      <c r="C161" s="249">
        <f>CONSOLIDADO!AH156</f>
        <v>20345.670000000002</v>
      </c>
      <c r="D161" s="575"/>
      <c r="E161" s="576"/>
    </row>
    <row r="162" spans="1:5" ht="18" customHeight="1" x14ac:dyDescent="0.2">
      <c r="A162" s="505"/>
      <c r="B162" s="517"/>
      <c r="C162" s="249"/>
      <c r="D162" s="575"/>
      <c r="E162" s="576"/>
    </row>
    <row r="163" spans="1:5" ht="18" customHeight="1" x14ac:dyDescent="0.2">
      <c r="A163" s="503">
        <v>99</v>
      </c>
      <c r="B163" s="518" t="s">
        <v>183</v>
      </c>
      <c r="C163" s="249"/>
      <c r="D163" s="253"/>
      <c r="E163" s="574">
        <f>+D164</f>
        <v>0</v>
      </c>
    </row>
    <row r="164" spans="1:5" ht="18" customHeight="1" x14ac:dyDescent="0.2">
      <c r="A164" s="503">
        <v>991</v>
      </c>
      <c r="B164" s="518" t="s">
        <v>184</v>
      </c>
      <c r="C164" s="249"/>
      <c r="D164" s="253">
        <f>+C165</f>
        <v>0</v>
      </c>
      <c r="E164" s="574"/>
    </row>
    <row r="165" spans="1:5" ht="18" customHeight="1" thickBot="1" x14ac:dyDescent="0.25">
      <c r="A165" s="505">
        <v>99101</v>
      </c>
      <c r="B165" s="517" t="s">
        <v>184</v>
      </c>
      <c r="C165" s="249"/>
      <c r="D165" s="575"/>
      <c r="E165" s="576"/>
    </row>
    <row r="166" spans="1:5" ht="18" customHeight="1" thickBot="1" x14ac:dyDescent="0.25">
      <c r="A166" s="509"/>
      <c r="B166" s="523" t="s">
        <v>185</v>
      </c>
      <c r="C166" s="228">
        <f>SUM(C8:C165)</f>
        <v>1901620.2360999996</v>
      </c>
      <c r="D166" s="228">
        <f>SUM(D8:D165)</f>
        <v>1901620.2360999996</v>
      </c>
      <c r="E166" s="582">
        <f>SUM(E8:E165)-0.01</f>
        <v>1901620.2260999996</v>
      </c>
    </row>
    <row r="167" spans="1:5" ht="18" customHeight="1" x14ac:dyDescent="0.2">
      <c r="D167" s="577"/>
      <c r="E167" s="1012"/>
    </row>
    <row r="168" spans="1:5" s="586" customFormat="1" ht="18" customHeight="1" x14ac:dyDescent="0.2">
      <c r="A168" s="585"/>
      <c r="C168" s="587"/>
      <c r="D168" s="588"/>
      <c r="E168" s="1012"/>
    </row>
    <row r="169" spans="1:5" s="314" customFormat="1" ht="18" customHeight="1" x14ac:dyDescent="0.2">
      <c r="A169" s="313"/>
      <c r="C169" s="547"/>
      <c r="D169" s="584"/>
      <c r="E169" s="1012"/>
    </row>
    <row r="170" spans="1:5" s="314" customFormat="1" ht="18" customHeight="1" x14ac:dyDescent="0.2">
      <c r="A170" s="313"/>
      <c r="C170" s="547"/>
      <c r="D170" s="584"/>
      <c r="E170" s="1012"/>
    </row>
    <row r="171" spans="1:5" s="314" customFormat="1" ht="18" customHeight="1" x14ac:dyDescent="0.2">
      <c r="A171" s="313"/>
      <c r="C171" s="547"/>
      <c r="D171" s="584"/>
      <c r="E171" s="1012"/>
    </row>
    <row r="172" spans="1:5" s="314" customFormat="1" ht="18" customHeight="1" x14ac:dyDescent="0.2">
      <c r="A172" s="313"/>
      <c r="C172" s="547"/>
      <c r="D172" s="584"/>
      <c r="E172" s="1012"/>
    </row>
    <row r="173" spans="1:5" s="314" customFormat="1" ht="18" customHeight="1" x14ac:dyDescent="0.2">
      <c r="A173" s="313"/>
      <c r="C173" s="547"/>
      <c r="D173" s="584"/>
      <c r="E173" s="1012"/>
    </row>
    <row r="174" spans="1:5" s="314" customFormat="1" ht="18" customHeight="1" x14ac:dyDescent="0.2">
      <c r="A174" s="313"/>
      <c r="C174" s="547"/>
      <c r="D174" s="584"/>
      <c r="E174" s="584"/>
    </row>
    <row r="175" spans="1:5" s="314" customFormat="1" ht="18" customHeight="1" x14ac:dyDescent="0.2">
      <c r="A175" s="313"/>
      <c r="C175" s="547"/>
      <c r="D175" s="584"/>
      <c r="E175" s="584"/>
    </row>
    <row r="176" spans="1:5" s="314" customFormat="1" ht="18" customHeight="1" x14ac:dyDescent="0.2">
      <c r="A176" s="313"/>
      <c r="C176" s="547"/>
      <c r="D176" s="584"/>
      <c r="E176" s="584"/>
    </row>
    <row r="177" spans="4:5" ht="18" customHeight="1" x14ac:dyDescent="0.2">
      <c r="D177" s="577"/>
      <c r="E177" s="577"/>
    </row>
  </sheetData>
  <mergeCells count="5">
    <mergeCell ref="A1:E1"/>
    <mergeCell ref="A3:E3"/>
    <mergeCell ref="A4:E4"/>
    <mergeCell ref="A2:E2"/>
    <mergeCell ref="A5:E5"/>
  </mergeCells>
  <phoneticPr fontId="0" type="noConversion"/>
  <printOptions horizontalCentered="1"/>
  <pageMargins left="0.27559055118110237" right="0.15748031496062992" top="0.15748031496062992" bottom="0.98425196850393704" header="0" footer="0"/>
  <pageSetup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B1:F55"/>
  <sheetViews>
    <sheetView showGridLines="0" topLeftCell="B28" workbookViewId="0">
      <selection activeCell="F19" sqref="F19"/>
    </sheetView>
  </sheetViews>
  <sheetFormatPr baseColWidth="10" defaultRowHeight="12.75" x14ac:dyDescent="0.2"/>
  <cols>
    <col min="1" max="1" width="2" customWidth="1"/>
    <col min="2" max="2" width="11.42578125" style="2"/>
    <col min="3" max="3" width="53.42578125" style="2" customWidth="1"/>
    <col min="4" max="4" width="18.7109375" style="58" customWidth="1"/>
    <col min="5" max="5" width="12.28515625" style="2" bestFit="1" customWidth="1"/>
    <col min="6" max="6" width="12.5703125" bestFit="1" customWidth="1"/>
  </cols>
  <sheetData>
    <row r="1" spans="2:5" ht="15" x14ac:dyDescent="0.2">
      <c r="B1" s="1214" t="s">
        <v>260</v>
      </c>
      <c r="C1" s="1214"/>
      <c r="D1" s="1214"/>
    </row>
    <row r="2" spans="2:5" ht="14.25" x14ac:dyDescent="0.2">
      <c r="B2" s="1215" t="s">
        <v>501</v>
      </c>
      <c r="C2" s="1215"/>
      <c r="D2" s="1215"/>
    </row>
    <row r="3" spans="2:5" ht="15" x14ac:dyDescent="0.2">
      <c r="B3" s="1214"/>
      <c r="C3" s="1214"/>
      <c r="D3" s="1214"/>
    </row>
    <row r="4" spans="2:5" ht="15" x14ac:dyDescent="0.2">
      <c r="B4" s="1214" t="s">
        <v>685</v>
      </c>
      <c r="C4" s="1214"/>
      <c r="D4" s="1214"/>
    </row>
    <row r="5" spans="2:5" ht="14.25" thickBot="1" x14ac:dyDescent="0.3">
      <c r="B5" s="135"/>
      <c r="C5" s="135"/>
      <c r="D5" s="187"/>
    </row>
    <row r="6" spans="2:5" ht="14.25" x14ac:dyDescent="0.2">
      <c r="B6" s="1216" t="s">
        <v>261</v>
      </c>
      <c r="C6" s="1217"/>
      <c r="D6" s="1218"/>
    </row>
    <row r="7" spans="2:5" ht="14.25" x14ac:dyDescent="0.2">
      <c r="B7" s="1219" t="s">
        <v>262</v>
      </c>
      <c r="C7" s="1220"/>
      <c r="D7" s="1221"/>
    </row>
    <row r="8" spans="2:5" ht="14.25" x14ac:dyDescent="0.2">
      <c r="B8" s="1222" t="s">
        <v>263</v>
      </c>
      <c r="C8" s="1223"/>
      <c r="D8" s="1224"/>
    </row>
    <row r="9" spans="2:5" ht="14.25" thickBot="1" x14ac:dyDescent="0.3">
      <c r="B9" s="1225" t="s">
        <v>490</v>
      </c>
      <c r="C9" s="1226"/>
      <c r="D9" s="1227"/>
    </row>
    <row r="10" spans="2:5" x14ac:dyDescent="0.2">
      <c r="B10" s="136"/>
      <c r="C10" s="136"/>
      <c r="D10" s="188"/>
    </row>
    <row r="11" spans="2:5" x14ac:dyDescent="0.2">
      <c r="B11" s="137">
        <v>11</v>
      </c>
      <c r="C11" s="138" t="s">
        <v>5</v>
      </c>
      <c r="D11" s="189">
        <f>'ING. REALES'!J8</f>
        <v>16665.3</v>
      </c>
      <c r="E11" s="55"/>
    </row>
    <row r="12" spans="2:5" x14ac:dyDescent="0.2">
      <c r="B12" s="139"/>
      <c r="C12" s="140"/>
      <c r="D12" s="190"/>
      <c r="E12" s="56"/>
    </row>
    <row r="13" spans="2:5" x14ac:dyDescent="0.2">
      <c r="B13" s="137">
        <v>12</v>
      </c>
      <c r="C13" s="141" t="s">
        <v>6</v>
      </c>
      <c r="D13" s="191">
        <f>'ING. REALES'!J17</f>
        <v>99785.743999999992</v>
      </c>
      <c r="E13" s="57"/>
    </row>
    <row r="14" spans="2:5" x14ac:dyDescent="0.2">
      <c r="B14" s="139"/>
      <c r="C14" s="140"/>
      <c r="D14" s="191"/>
      <c r="E14" s="56"/>
    </row>
    <row r="15" spans="2:5" x14ac:dyDescent="0.2">
      <c r="B15" s="137">
        <v>14</v>
      </c>
      <c r="C15" s="141" t="s">
        <v>8</v>
      </c>
      <c r="D15" s="191">
        <f>'ING. REALES'!J34</f>
        <v>151944.59999999998</v>
      </c>
      <c r="E15" s="56"/>
    </row>
    <row r="16" spans="2:5" x14ac:dyDescent="0.2">
      <c r="B16" s="139"/>
      <c r="C16" s="140"/>
      <c r="D16" s="191"/>
      <c r="E16" s="56"/>
    </row>
    <row r="17" spans="2:5" x14ac:dyDescent="0.2">
      <c r="B17" s="137">
        <v>15</v>
      </c>
      <c r="C17" s="141" t="s">
        <v>9</v>
      </c>
      <c r="D17" s="191">
        <f>'ING. REALES'!J38</f>
        <v>8708.57</v>
      </c>
      <c r="E17" s="57"/>
    </row>
    <row r="18" spans="2:5" x14ac:dyDescent="0.2">
      <c r="B18" s="139"/>
      <c r="C18" s="140"/>
      <c r="D18" s="191"/>
      <c r="E18" s="56"/>
    </row>
    <row r="19" spans="2:5" x14ac:dyDescent="0.2">
      <c r="B19" s="137">
        <v>16</v>
      </c>
      <c r="C19" s="141" t="s">
        <v>11</v>
      </c>
      <c r="D19" s="191">
        <f>'ING. REALES'!J51</f>
        <v>331326.24</v>
      </c>
      <c r="E19" s="57"/>
    </row>
    <row r="20" spans="2:5" x14ac:dyDescent="0.2">
      <c r="B20" s="139"/>
      <c r="C20" s="140"/>
      <c r="D20" s="191"/>
      <c r="E20" s="56"/>
    </row>
    <row r="21" spans="2:5" x14ac:dyDescent="0.2">
      <c r="B21" s="137">
        <v>22</v>
      </c>
      <c r="C21" s="141" t="s">
        <v>12</v>
      </c>
      <c r="D21" s="191">
        <f>'ING. REALES'!J59</f>
        <v>993978.73</v>
      </c>
      <c r="E21" s="57"/>
    </row>
    <row r="22" spans="2:5" x14ac:dyDescent="0.2">
      <c r="B22" s="139"/>
      <c r="C22" s="140"/>
      <c r="D22" s="191"/>
      <c r="E22" s="56"/>
    </row>
    <row r="23" spans="2:5" x14ac:dyDescent="0.2">
      <c r="B23" s="137">
        <v>31</v>
      </c>
      <c r="C23" s="141" t="s">
        <v>264</v>
      </c>
      <c r="D23" s="191">
        <f>'ING. REALES'!J62</f>
        <v>0</v>
      </c>
      <c r="E23" s="56"/>
    </row>
    <row r="24" spans="2:5" x14ac:dyDescent="0.2">
      <c r="B24" s="139"/>
      <c r="C24" s="140"/>
      <c r="D24" s="191"/>
      <c r="E24" s="56"/>
    </row>
    <row r="25" spans="2:5" x14ac:dyDescent="0.2">
      <c r="B25" s="137">
        <v>32</v>
      </c>
      <c r="C25" s="141" t="s">
        <v>13</v>
      </c>
      <c r="D25" s="191">
        <f>'ING. REALES'!J65</f>
        <v>299211.05</v>
      </c>
      <c r="E25" s="57"/>
    </row>
    <row r="26" spans="2:5" ht="13.5" thickBot="1" x14ac:dyDescent="0.25">
      <c r="B26" s="142"/>
      <c r="C26" s="143"/>
      <c r="D26" s="192"/>
    </row>
    <row r="27" spans="2:5" ht="13.5" thickBot="1" x14ac:dyDescent="0.25">
      <c r="B27" s="144"/>
      <c r="C27" s="117" t="s">
        <v>25</v>
      </c>
      <c r="D27" s="193">
        <f>SUM(D11:D25)</f>
        <v>1901620.2339999999</v>
      </c>
      <c r="E27" s="58"/>
    </row>
    <row r="28" spans="2:5" x14ac:dyDescent="0.2">
      <c r="E28" s="7"/>
    </row>
    <row r="29" spans="2:5" ht="13.5" thickBot="1" x14ac:dyDescent="0.25"/>
    <row r="30" spans="2:5" ht="14.25" x14ac:dyDescent="0.2">
      <c r="B30" s="1216" t="s">
        <v>261</v>
      </c>
      <c r="C30" s="1217"/>
      <c r="D30" s="1218"/>
    </row>
    <row r="31" spans="2:5" ht="14.25" x14ac:dyDescent="0.2">
      <c r="B31" s="1219" t="s">
        <v>265</v>
      </c>
      <c r="C31" s="1220"/>
      <c r="D31" s="1221"/>
    </row>
    <row r="32" spans="2:5" ht="14.25" x14ac:dyDescent="0.2">
      <c r="B32" s="1222" t="s">
        <v>266</v>
      </c>
      <c r="C32" s="1223"/>
      <c r="D32" s="1224"/>
    </row>
    <row r="33" spans="2:6" ht="14.25" thickBot="1" x14ac:dyDescent="0.3">
      <c r="B33" s="1225" t="s">
        <v>248</v>
      </c>
      <c r="C33" s="1226"/>
      <c r="D33" s="1227"/>
    </row>
    <row r="34" spans="2:6" x14ac:dyDescent="0.2">
      <c r="B34" s="145"/>
      <c r="C34" s="136"/>
      <c r="D34" s="194"/>
    </row>
    <row r="35" spans="2:6" x14ac:dyDescent="0.2">
      <c r="B35" s="146">
        <v>51</v>
      </c>
      <c r="C35" s="141" t="s">
        <v>122</v>
      </c>
      <c r="D35" s="992">
        <f>CONSOLIDADO!AH9</f>
        <v>513855.53139999998</v>
      </c>
      <c r="F35" s="993"/>
    </row>
    <row r="36" spans="2:6" x14ac:dyDescent="0.2">
      <c r="B36" s="146"/>
      <c r="C36" s="141"/>
      <c r="D36" s="992"/>
      <c r="F36" s="993"/>
    </row>
    <row r="37" spans="2:6" x14ac:dyDescent="0.2">
      <c r="B37" s="146">
        <v>54</v>
      </c>
      <c r="C37" s="141" t="s">
        <v>27</v>
      </c>
      <c r="D37" s="992">
        <f>CONSOLIDADO!AH43</f>
        <v>214490.11</v>
      </c>
      <c r="F37" s="993"/>
    </row>
    <row r="38" spans="2:6" x14ac:dyDescent="0.2">
      <c r="B38" s="146"/>
      <c r="C38" s="141"/>
      <c r="D38" s="992"/>
      <c r="F38" s="993"/>
    </row>
    <row r="39" spans="2:6" x14ac:dyDescent="0.2">
      <c r="B39" s="146">
        <v>55</v>
      </c>
      <c r="C39" s="141" t="s">
        <v>83</v>
      </c>
      <c r="D39" s="992">
        <f>CONSOLIDADO!AH94</f>
        <v>90300.479999999996</v>
      </c>
      <c r="F39" s="993"/>
    </row>
    <row r="40" spans="2:6" x14ac:dyDescent="0.2">
      <c r="B40" s="146"/>
      <c r="C40" s="141"/>
      <c r="D40" s="992"/>
      <c r="F40" s="993"/>
    </row>
    <row r="41" spans="2:6" x14ac:dyDescent="0.2">
      <c r="B41" s="146">
        <v>56</v>
      </c>
      <c r="C41" s="141" t="s">
        <v>96</v>
      </c>
      <c r="D41" s="992">
        <f>CONSOLIDADO!AH112</f>
        <v>198364.1347</v>
      </c>
      <c r="F41" s="993"/>
    </row>
    <row r="42" spans="2:6" x14ac:dyDescent="0.2">
      <c r="B42" s="146"/>
      <c r="C42" s="141"/>
      <c r="D42" s="992"/>
      <c r="F42" s="993"/>
    </row>
    <row r="43" spans="2:6" x14ac:dyDescent="0.2">
      <c r="B43" s="146">
        <v>61</v>
      </c>
      <c r="C43" s="141" t="s">
        <v>163</v>
      </c>
      <c r="D43" s="992">
        <f>+CONSOLIDADO!AH120</f>
        <v>596212.09</v>
      </c>
      <c r="F43" s="993"/>
    </row>
    <row r="44" spans="2:6" x14ac:dyDescent="0.2">
      <c r="B44" s="146"/>
      <c r="C44" s="141"/>
      <c r="D44" s="992"/>
      <c r="F44" s="993"/>
    </row>
    <row r="45" spans="2:6" x14ac:dyDescent="0.2">
      <c r="B45" s="146">
        <v>71</v>
      </c>
      <c r="C45" s="141" t="s">
        <v>216</v>
      </c>
      <c r="D45" s="992">
        <f>CONSOLIDADO!AH149</f>
        <v>268052.22000000003</v>
      </c>
      <c r="F45" s="993"/>
    </row>
    <row r="46" spans="2:6" x14ac:dyDescent="0.2">
      <c r="B46" s="146"/>
      <c r="C46" s="141"/>
      <c r="D46" s="992"/>
      <c r="F46" s="993"/>
    </row>
    <row r="47" spans="2:6" x14ac:dyDescent="0.2">
      <c r="B47" s="146">
        <v>72</v>
      </c>
      <c r="C47" s="141" t="s">
        <v>13</v>
      </c>
      <c r="D47" s="992">
        <f>CONSOLIDADO!AH154</f>
        <v>20345.670000000002</v>
      </c>
      <c r="F47" s="993"/>
    </row>
    <row r="48" spans="2:6" ht="13.5" thickBot="1" x14ac:dyDescent="0.25">
      <c r="B48" s="147"/>
      <c r="C48" s="141"/>
      <c r="D48" s="195"/>
    </row>
    <row r="49" spans="2:6" hidden="1" x14ac:dyDescent="0.2">
      <c r="B49" s="146">
        <v>99</v>
      </c>
      <c r="C49" s="141" t="s">
        <v>183</v>
      </c>
      <c r="D49" s="195"/>
    </row>
    <row r="50" spans="2:6" ht="13.5" hidden="1" thickBot="1" x14ac:dyDescent="0.25">
      <c r="B50" s="148"/>
      <c r="C50" s="149"/>
      <c r="D50" s="196"/>
    </row>
    <row r="51" spans="2:6" ht="13.5" thickBot="1" x14ac:dyDescent="0.25">
      <c r="B51" s="144"/>
      <c r="C51" s="117" t="s">
        <v>25</v>
      </c>
      <c r="D51" s="193">
        <f>SUM(D35:D47)-0.01</f>
        <v>1901620.2260999996</v>
      </c>
      <c r="E51" s="60"/>
      <c r="F51" s="993"/>
    </row>
    <row r="55" spans="2:6" x14ac:dyDescent="0.2">
      <c r="F55" s="62"/>
    </row>
  </sheetData>
  <mergeCells count="12">
    <mergeCell ref="B31:D31"/>
    <mergeCell ref="B32:D32"/>
    <mergeCell ref="B33:D33"/>
    <mergeCell ref="B6:D6"/>
    <mergeCell ref="B7:D7"/>
    <mergeCell ref="B8:D8"/>
    <mergeCell ref="B9:D9"/>
    <mergeCell ref="B1:D1"/>
    <mergeCell ref="B2:D2"/>
    <mergeCell ref="B3:D3"/>
    <mergeCell ref="B4:D4"/>
    <mergeCell ref="B30:D30"/>
  </mergeCells>
  <phoneticPr fontId="6" type="noConversion"/>
  <printOptions horizontalCentered="1"/>
  <pageMargins left="0.74803149606299213" right="0.35433070866141736" top="0.98425196850393704" bottom="0.98425196850393704" header="0" footer="0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33"/>
  <sheetViews>
    <sheetView showGridLines="0" topLeftCell="A13" zoomScale="75" workbookViewId="0">
      <selection activeCell="J18" sqref="J18"/>
    </sheetView>
  </sheetViews>
  <sheetFormatPr baseColWidth="10" defaultRowHeight="12.75" x14ac:dyDescent="0.2"/>
  <cols>
    <col min="1" max="1" width="8.5703125" style="2" customWidth="1"/>
    <col min="2" max="2" width="6.42578125" style="78" customWidth="1"/>
    <col min="3" max="3" width="6.85546875" style="78" customWidth="1"/>
    <col min="4" max="4" width="50.28515625" style="2" customWidth="1"/>
    <col min="5" max="7" width="17.42578125" style="2" customWidth="1"/>
    <col min="8" max="8" width="12.28515625" bestFit="1" customWidth="1"/>
  </cols>
  <sheetData>
    <row r="1" spans="1:10" ht="15" x14ac:dyDescent="0.2">
      <c r="A1" s="1214" t="s">
        <v>260</v>
      </c>
      <c r="B1" s="1214"/>
      <c r="C1" s="1214"/>
      <c r="D1" s="1214"/>
      <c r="E1" s="1214"/>
      <c r="F1" s="1214"/>
      <c r="G1" s="1214"/>
    </row>
    <row r="2" spans="1:10" ht="15" x14ac:dyDescent="0.2">
      <c r="A2" s="1228" t="s">
        <v>502</v>
      </c>
      <c r="B2" s="1228"/>
      <c r="C2" s="1228"/>
      <c r="D2" s="1228"/>
      <c r="E2" s="1228"/>
      <c r="F2" s="1228"/>
      <c r="G2" s="1228"/>
    </row>
    <row r="3" spans="1:10" ht="15" x14ac:dyDescent="0.2">
      <c r="A3" s="1228" t="s">
        <v>685</v>
      </c>
      <c r="B3" s="1228"/>
      <c r="C3" s="1228"/>
      <c r="D3" s="1228"/>
      <c r="E3" s="1228"/>
      <c r="F3" s="1228"/>
      <c r="G3" s="1228"/>
    </row>
    <row r="4" spans="1:10" ht="17.25" customHeight="1" x14ac:dyDescent="0.2">
      <c r="A4" s="1230" t="s">
        <v>261</v>
      </c>
      <c r="B4" s="1230"/>
      <c r="C4" s="1230"/>
      <c r="D4" s="1230"/>
      <c r="E4" s="1230"/>
      <c r="F4" s="1230"/>
      <c r="G4" s="1230"/>
    </row>
    <row r="5" spans="1:10" ht="19.5" customHeight="1" thickBot="1" x14ac:dyDescent="0.25">
      <c r="A5" s="1231" t="s">
        <v>267</v>
      </c>
      <c r="B5" s="1231"/>
      <c r="C5" s="1231"/>
      <c r="D5" s="1231"/>
      <c r="E5" s="1231"/>
      <c r="F5" s="1231"/>
      <c r="G5" s="1231"/>
    </row>
    <row r="6" spans="1:10" ht="12.75" customHeight="1" x14ac:dyDescent="0.25">
      <c r="A6" s="150" t="s">
        <v>268</v>
      </c>
      <c r="B6" s="151" t="s">
        <v>269</v>
      </c>
      <c r="C6" s="152" t="s">
        <v>270</v>
      </c>
      <c r="D6" s="1232" t="s">
        <v>103</v>
      </c>
      <c r="E6" s="1234" t="s">
        <v>252</v>
      </c>
      <c r="F6" s="1234" t="s">
        <v>252</v>
      </c>
      <c r="G6" s="1234" t="s">
        <v>25</v>
      </c>
    </row>
    <row r="7" spans="1:10" ht="16.5" customHeight="1" thickBot="1" x14ac:dyDescent="0.3">
      <c r="A7" s="153" t="s">
        <v>271</v>
      </c>
      <c r="B7" s="154" t="s">
        <v>272</v>
      </c>
      <c r="C7" s="155" t="s">
        <v>273</v>
      </c>
      <c r="D7" s="1233"/>
      <c r="E7" s="1235"/>
      <c r="F7" s="1235"/>
      <c r="G7" s="1235"/>
    </row>
    <row r="8" spans="1:10" ht="21.75" customHeight="1" x14ac:dyDescent="0.2">
      <c r="A8" s="64" t="s">
        <v>274</v>
      </c>
      <c r="B8" s="156"/>
      <c r="C8" s="157"/>
      <c r="D8" s="65" t="s">
        <v>275</v>
      </c>
      <c r="E8" s="995"/>
      <c r="F8" s="995"/>
      <c r="G8" s="995">
        <f>+F9+F12</f>
        <v>665203.01610000001</v>
      </c>
      <c r="H8" s="61"/>
    </row>
    <row r="9" spans="1:10" ht="21.75" customHeight="1" x14ac:dyDescent="0.2">
      <c r="A9" s="290"/>
      <c r="B9" s="291" t="s">
        <v>276</v>
      </c>
      <c r="C9" s="292"/>
      <c r="D9" s="73" t="s">
        <v>277</v>
      </c>
      <c r="E9" s="996"/>
      <c r="F9" s="996">
        <f>+E10+E11</f>
        <v>376906.14610000001</v>
      </c>
      <c r="G9" s="997"/>
      <c r="H9" s="61"/>
    </row>
    <row r="10" spans="1:10" ht="21.75" customHeight="1" x14ac:dyDescent="0.2">
      <c r="A10" s="290"/>
      <c r="B10" s="291"/>
      <c r="C10" s="292" t="s">
        <v>20</v>
      </c>
      <c r="D10" s="73" t="s">
        <v>278</v>
      </c>
      <c r="E10" s="996">
        <f>+CONSOLIDADO!C161+CONSOLIDADO!H161</f>
        <v>304485.37609999999</v>
      </c>
      <c r="F10" s="996"/>
      <c r="G10" s="997"/>
      <c r="J10" s="61"/>
    </row>
    <row r="11" spans="1:10" ht="21.75" customHeight="1" x14ac:dyDescent="0.2">
      <c r="A11" s="290"/>
      <c r="B11" s="291"/>
      <c r="C11" s="290" t="s">
        <v>21</v>
      </c>
      <c r="D11" s="73" t="s">
        <v>493</v>
      </c>
      <c r="E11" s="996">
        <f>+CONSOLIDADO!D161+CONSOLIDADO!I161</f>
        <v>72420.76999999999</v>
      </c>
      <c r="F11" s="996"/>
      <c r="G11" s="997"/>
      <c r="J11" s="61"/>
    </row>
    <row r="12" spans="1:10" ht="21.75" customHeight="1" x14ac:dyDescent="0.2">
      <c r="A12" s="290"/>
      <c r="B12" s="291" t="s">
        <v>280</v>
      </c>
      <c r="C12" s="292"/>
      <c r="D12" s="73" t="s">
        <v>281</v>
      </c>
      <c r="E12" s="996"/>
      <c r="F12" s="996">
        <f>E13+E14</f>
        <v>288296.87</v>
      </c>
      <c r="G12" s="997"/>
      <c r="J12" s="61"/>
    </row>
    <row r="13" spans="1:10" ht="21.75" customHeight="1" x14ac:dyDescent="0.2">
      <c r="A13" s="290"/>
      <c r="B13" s="291"/>
      <c r="C13" s="290" t="s">
        <v>24</v>
      </c>
      <c r="D13" s="293" t="s">
        <v>494</v>
      </c>
      <c r="E13" s="996">
        <f>+CONSOLIDADO!E161+CONSOLIDADO!J161</f>
        <v>34592.82</v>
      </c>
      <c r="F13" s="996"/>
      <c r="G13" s="997"/>
      <c r="J13" s="61"/>
    </row>
    <row r="14" spans="1:10" ht="21.75" customHeight="1" thickBot="1" x14ac:dyDescent="0.25">
      <c r="A14" s="294"/>
      <c r="B14" s="295"/>
      <c r="C14" s="296" t="s">
        <v>255</v>
      </c>
      <c r="D14" s="75" t="s">
        <v>495</v>
      </c>
      <c r="E14" s="998">
        <f>+CONSOLIDADO!F161+CONSOLIDADO!K161</f>
        <v>253704.05</v>
      </c>
      <c r="F14" s="998"/>
      <c r="G14" s="999"/>
      <c r="J14" s="63"/>
    </row>
    <row r="15" spans="1:10" ht="21.75" customHeight="1" x14ac:dyDescent="0.2">
      <c r="A15" s="146">
        <v>3</v>
      </c>
      <c r="B15" s="158"/>
      <c r="C15" s="159"/>
      <c r="D15" s="77" t="s">
        <v>282</v>
      </c>
      <c r="E15" s="995"/>
      <c r="F15" s="997"/>
      <c r="G15" s="997">
        <f>+F16</f>
        <v>687350.23</v>
      </c>
    </row>
    <row r="16" spans="1:10" ht="21.75" customHeight="1" x14ac:dyDescent="0.2">
      <c r="A16" s="146"/>
      <c r="B16" s="291" t="s">
        <v>283</v>
      </c>
      <c r="C16" s="292"/>
      <c r="D16" s="73" t="s">
        <v>284</v>
      </c>
      <c r="E16" s="996"/>
      <c r="F16" s="996">
        <f>E17+E18</f>
        <v>687350.23</v>
      </c>
      <c r="G16" s="997"/>
    </row>
    <row r="17" spans="1:7" ht="21.75" customHeight="1" x14ac:dyDescent="0.2">
      <c r="A17" s="146"/>
      <c r="B17" s="291"/>
      <c r="C17" s="290" t="s">
        <v>233</v>
      </c>
      <c r="D17" s="73" t="s">
        <v>285</v>
      </c>
      <c r="E17" s="1000">
        <f>+CONSOLIDADO!M161</f>
        <v>218621.09</v>
      </c>
      <c r="F17" s="996"/>
      <c r="G17" s="997"/>
    </row>
    <row r="18" spans="1:7" ht="21.75" customHeight="1" thickBot="1" x14ac:dyDescent="0.25">
      <c r="A18" s="161"/>
      <c r="B18" s="295"/>
      <c r="C18" s="296" t="s">
        <v>234</v>
      </c>
      <c r="D18" s="75" t="s">
        <v>286</v>
      </c>
      <c r="E18" s="1001">
        <f>+CONSOLIDADO!N161+CONSOLIDADO!U161+CONSOLIDADO!X161</f>
        <v>468729.14</v>
      </c>
      <c r="F18" s="998"/>
      <c r="G18" s="999"/>
    </row>
    <row r="19" spans="1:7" ht="21.75" customHeight="1" x14ac:dyDescent="0.2">
      <c r="A19" s="146">
        <v>4</v>
      </c>
      <c r="B19" s="158"/>
      <c r="C19" s="159"/>
      <c r="D19" s="77" t="s">
        <v>287</v>
      </c>
      <c r="E19" s="997"/>
      <c r="F19" s="997"/>
      <c r="G19" s="997">
        <f>+F20</f>
        <v>194025.81000000003</v>
      </c>
    </row>
    <row r="20" spans="1:7" ht="21.75" customHeight="1" x14ac:dyDescent="0.2">
      <c r="A20" s="146"/>
      <c r="B20" s="291" t="s">
        <v>288</v>
      </c>
      <c r="C20" s="292"/>
      <c r="D20" s="73" t="s">
        <v>289</v>
      </c>
      <c r="E20" s="996"/>
      <c r="F20" s="996">
        <f>+E21+E22</f>
        <v>194025.81000000003</v>
      </c>
      <c r="G20" s="997"/>
    </row>
    <row r="21" spans="1:7" ht="21.75" customHeight="1" x14ac:dyDescent="0.2">
      <c r="A21" s="146"/>
      <c r="B21" s="291"/>
      <c r="C21" s="292" t="s">
        <v>235</v>
      </c>
      <c r="D21" s="73" t="s">
        <v>290</v>
      </c>
      <c r="E21" s="996">
        <f>+CONSOLIDADO!O161+CONSOLIDADO!V161</f>
        <v>171119.77000000002</v>
      </c>
      <c r="F21" s="996"/>
      <c r="G21" s="997"/>
    </row>
    <row r="22" spans="1:7" ht="21.75" customHeight="1" thickBot="1" x14ac:dyDescent="0.25">
      <c r="A22" s="161"/>
      <c r="B22" s="295"/>
      <c r="C22" s="296" t="s">
        <v>458</v>
      </c>
      <c r="D22" s="75" t="s">
        <v>491</v>
      </c>
      <c r="E22" s="998">
        <f>+CONSOLIDADO!T161</f>
        <v>22906.04</v>
      </c>
      <c r="F22" s="998"/>
      <c r="G22" s="999"/>
    </row>
    <row r="23" spans="1:7" ht="21.75" customHeight="1" x14ac:dyDescent="0.2">
      <c r="A23" s="146">
        <v>5</v>
      </c>
      <c r="B23" s="158"/>
      <c r="C23" s="159"/>
      <c r="D23" s="71" t="s">
        <v>291</v>
      </c>
      <c r="E23" s="997"/>
      <c r="F23" s="997"/>
      <c r="G23" s="997">
        <f>+F24</f>
        <v>355041.18000000005</v>
      </c>
    </row>
    <row r="24" spans="1:7" ht="21.75" customHeight="1" x14ac:dyDescent="0.2">
      <c r="A24" s="69"/>
      <c r="B24" s="291" t="s">
        <v>292</v>
      </c>
      <c r="C24" s="292"/>
      <c r="D24" s="73" t="s">
        <v>293</v>
      </c>
      <c r="E24" s="996"/>
      <c r="F24" s="996">
        <f>E25+E26+E27</f>
        <v>355041.18000000005</v>
      </c>
      <c r="G24" s="997"/>
    </row>
    <row r="25" spans="1:7" ht="21.75" customHeight="1" x14ac:dyDescent="0.2">
      <c r="A25" s="69"/>
      <c r="B25" s="291"/>
      <c r="C25" s="292" t="s">
        <v>236</v>
      </c>
      <c r="D25" s="73" t="s">
        <v>294</v>
      </c>
      <c r="E25" s="996">
        <f>+CONSOLIDADO!P161</f>
        <v>268052.22000000003</v>
      </c>
      <c r="F25" s="996"/>
      <c r="G25" s="997"/>
    </row>
    <row r="26" spans="1:7" ht="21.75" customHeight="1" x14ac:dyDescent="0.2">
      <c r="A26" s="69"/>
      <c r="B26" s="291"/>
      <c r="C26" s="994" t="s">
        <v>706</v>
      </c>
      <c r="D26" s="915" t="s">
        <v>741</v>
      </c>
      <c r="E26" s="996">
        <f>CONSOLIDADO!Q161</f>
        <v>82763.959999999992</v>
      </c>
      <c r="F26" s="996"/>
      <c r="G26" s="997"/>
    </row>
    <row r="27" spans="1:7" ht="21.75" customHeight="1" thickBot="1" x14ac:dyDescent="0.25">
      <c r="A27" s="69"/>
      <c r="B27" s="291"/>
      <c r="C27" s="292" t="s">
        <v>470</v>
      </c>
      <c r="D27" s="73" t="s">
        <v>492</v>
      </c>
      <c r="E27" s="996">
        <f>+CONSOLIDADO!R161</f>
        <v>4225</v>
      </c>
      <c r="F27" s="996"/>
      <c r="G27" s="997"/>
    </row>
    <row r="28" spans="1:7" ht="21.75" customHeight="1" thickBot="1" x14ac:dyDescent="0.25">
      <c r="A28" s="1047" t="s">
        <v>25</v>
      </c>
      <c r="B28" s="1109"/>
      <c r="C28" s="1109"/>
      <c r="D28" s="1229"/>
      <c r="E28" s="1002">
        <f>SUM(E8:E27)</f>
        <v>1901620.2361000001</v>
      </c>
      <c r="F28" s="1002">
        <f>SUM(F8:F25)</f>
        <v>1901620.2361000003</v>
      </c>
      <c r="G28" s="1002">
        <f>SUM(G8:G25)-0.01</f>
        <v>1901620.2261000003</v>
      </c>
    </row>
    <row r="30" spans="1:7" x14ac:dyDescent="0.2">
      <c r="G30" s="589">
        <f>+G28-'ING. REALES'!J71</f>
        <v>-7.8999996185302734E-3</v>
      </c>
    </row>
    <row r="31" spans="1:7" x14ac:dyDescent="0.2">
      <c r="G31" s="7"/>
    </row>
    <row r="33" ht="13.5" customHeight="1" x14ac:dyDescent="0.2"/>
  </sheetData>
  <mergeCells count="10">
    <mergeCell ref="A1:G1"/>
    <mergeCell ref="A2:G2"/>
    <mergeCell ref="A3:G3"/>
    <mergeCell ref="A28:D28"/>
    <mergeCell ref="A4:G4"/>
    <mergeCell ref="A5:G5"/>
    <mergeCell ref="D6:D7"/>
    <mergeCell ref="E6:E7"/>
    <mergeCell ref="F6:F7"/>
    <mergeCell ref="G6:G7"/>
  </mergeCells>
  <phoneticPr fontId="0" type="noConversion"/>
  <printOptions horizontalCentered="1"/>
  <pageMargins left="0.74803149606299213" right="0.19685039370078741" top="0.43307086614173229" bottom="0.23622047244094491" header="0" footer="0"/>
  <pageSetup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5:F27"/>
  <sheetViews>
    <sheetView showGridLines="0" topLeftCell="A7" workbookViewId="0">
      <selection activeCell="D14" sqref="D14"/>
    </sheetView>
  </sheetViews>
  <sheetFormatPr baseColWidth="10" defaultRowHeight="12.75" x14ac:dyDescent="0.2"/>
  <cols>
    <col min="1" max="1" width="11.42578125" style="2"/>
    <col min="2" max="2" width="34" style="2" customWidth="1"/>
    <col min="3" max="4" width="18" style="58" customWidth="1"/>
    <col min="6" max="6" width="13.85546875" bestFit="1" customWidth="1"/>
  </cols>
  <sheetData>
    <row r="5" spans="1:5" ht="15" x14ac:dyDescent="0.2">
      <c r="A5" s="1214" t="s">
        <v>595</v>
      </c>
      <c r="B5" s="1214"/>
      <c r="C5" s="1214"/>
      <c r="D5" s="1214"/>
    </row>
    <row r="6" spans="1:5" ht="15" x14ac:dyDescent="0.2">
      <c r="A6" s="1214" t="s">
        <v>503</v>
      </c>
      <c r="B6" s="1214"/>
      <c r="C6" s="1214"/>
      <c r="D6" s="1214"/>
    </row>
    <row r="7" spans="1:5" ht="15" x14ac:dyDescent="0.2">
      <c r="A7" s="1236" t="s">
        <v>684</v>
      </c>
      <c r="B7" s="1236"/>
      <c r="C7" s="1236"/>
      <c r="D7" s="1236"/>
    </row>
    <row r="8" spans="1:5" ht="13.5" x14ac:dyDescent="0.25">
      <c r="A8" s="135"/>
      <c r="B8" s="163"/>
      <c r="C8" s="187"/>
      <c r="D8" s="187"/>
    </row>
    <row r="9" spans="1:5" ht="14.25" thickBot="1" x14ac:dyDescent="0.3">
      <c r="A9" s="135"/>
      <c r="B9" s="163"/>
      <c r="C9" s="187"/>
      <c r="D9" s="187"/>
    </row>
    <row r="10" spans="1:5" ht="14.25" x14ac:dyDescent="0.2">
      <c r="A10" s="1216" t="s">
        <v>295</v>
      </c>
      <c r="B10" s="1217"/>
      <c r="C10" s="1217"/>
      <c r="D10" s="1218"/>
    </row>
    <row r="11" spans="1:5" ht="14.25" thickBot="1" x14ac:dyDescent="0.3">
      <c r="A11" s="1225" t="s">
        <v>490</v>
      </c>
      <c r="B11" s="1226"/>
      <c r="C11" s="1226"/>
      <c r="D11" s="1227"/>
    </row>
    <row r="12" spans="1:5" ht="15.75" thickBot="1" x14ac:dyDescent="0.3">
      <c r="A12" s="164" t="s">
        <v>296</v>
      </c>
      <c r="B12" s="165" t="s">
        <v>297</v>
      </c>
      <c r="C12" s="197" t="s">
        <v>298</v>
      </c>
      <c r="D12" s="197" t="s">
        <v>299</v>
      </c>
    </row>
    <row r="13" spans="1:5" x14ac:dyDescent="0.2">
      <c r="A13" s="166"/>
      <c r="C13" s="198"/>
      <c r="D13" s="198"/>
    </row>
    <row r="14" spans="1:5" x14ac:dyDescent="0.2">
      <c r="A14" s="137">
        <v>1</v>
      </c>
      <c r="B14" s="133" t="s">
        <v>496</v>
      </c>
      <c r="C14" s="191">
        <f>+'ING. REALES'!C71+'ING. REALES'!D71+'ING. REALES'!E71</f>
        <v>1547427.2899999998</v>
      </c>
      <c r="D14" s="191">
        <f>+CONSOLIDADO!L161+CONSOLIDADO!S161+CONSOLIDADO!T161</f>
        <v>1547427.2926916666</v>
      </c>
      <c r="E14" s="46"/>
    </row>
    <row r="15" spans="1:5" x14ac:dyDescent="0.2">
      <c r="A15" s="137"/>
      <c r="B15" s="133"/>
      <c r="C15" s="191"/>
      <c r="D15" s="198"/>
    </row>
    <row r="16" spans="1:5" x14ac:dyDescent="0.2">
      <c r="A16" s="137">
        <v>2</v>
      </c>
      <c r="B16" s="133" t="s">
        <v>300</v>
      </c>
      <c r="C16" s="1003">
        <f>+'ING. REALES'!G71-0.004</f>
        <v>304849.59999999992</v>
      </c>
      <c r="D16" s="1003">
        <f>+CONSOLIDADO!G161-0.003</f>
        <v>304849.6004083333</v>
      </c>
      <c r="E16" s="46"/>
    </row>
    <row r="17" spans="1:6" x14ac:dyDescent="0.2">
      <c r="A17" s="137"/>
      <c r="B17" s="133"/>
      <c r="C17" s="191"/>
      <c r="D17" s="198"/>
    </row>
    <row r="18" spans="1:6" x14ac:dyDescent="0.2">
      <c r="A18" s="137">
        <v>3</v>
      </c>
      <c r="B18" s="133" t="s">
        <v>301</v>
      </c>
      <c r="C18" s="191">
        <v>0</v>
      </c>
      <c r="D18" s="191">
        <v>0</v>
      </c>
    </row>
    <row r="19" spans="1:6" x14ac:dyDescent="0.2">
      <c r="A19" s="137"/>
      <c r="B19" s="133"/>
      <c r="C19" s="191"/>
      <c r="D19" s="198"/>
    </row>
    <row r="20" spans="1:6" x14ac:dyDescent="0.2">
      <c r="A20" s="137">
        <v>4</v>
      </c>
      <c r="B20" s="133" t="s">
        <v>302</v>
      </c>
      <c r="C20" s="191">
        <f>+'ING. REALES'!I71</f>
        <v>49343.34</v>
      </c>
      <c r="D20" s="191">
        <f>+CONSOLIDADO!W161</f>
        <v>49343.34</v>
      </c>
    </row>
    <row r="21" spans="1:6" x14ac:dyDescent="0.2">
      <c r="A21" s="137"/>
      <c r="B21" s="133"/>
      <c r="C21" s="191"/>
      <c r="D21" s="191"/>
    </row>
    <row r="22" spans="1:6" x14ac:dyDescent="0.2">
      <c r="A22" s="137">
        <v>5</v>
      </c>
      <c r="B22" s="133" t="s">
        <v>486</v>
      </c>
      <c r="C22" s="191">
        <f>+'ING. REALES'!H71</f>
        <v>0</v>
      </c>
      <c r="D22" s="191">
        <f>C22</f>
        <v>0</v>
      </c>
    </row>
    <row r="23" spans="1:6" x14ac:dyDescent="0.2">
      <c r="A23" s="137"/>
      <c r="B23" s="133"/>
      <c r="C23" s="191"/>
      <c r="D23" s="198"/>
    </row>
    <row r="24" spans="1:6" ht="13.5" thickBot="1" x14ac:dyDescent="0.25">
      <c r="A24" s="160"/>
      <c r="C24" s="191"/>
      <c r="D24" s="198"/>
    </row>
    <row r="25" spans="1:6" ht="13.5" thickBot="1" x14ac:dyDescent="0.25">
      <c r="A25" s="167"/>
      <c r="B25" s="162" t="s">
        <v>185</v>
      </c>
      <c r="C25" s="199">
        <f>SUM(C13:C24)</f>
        <v>1901620.2299999997</v>
      </c>
      <c r="D25" s="199">
        <f>SUM(D13:D24)</f>
        <v>1901620.2331000001</v>
      </c>
    </row>
    <row r="26" spans="1:6" x14ac:dyDescent="0.2">
      <c r="B26" s="78"/>
      <c r="C26" s="200"/>
    </row>
    <row r="27" spans="1:6" ht="15.75" x14ac:dyDescent="0.25">
      <c r="B27" s="168"/>
      <c r="D27" s="569">
        <f>+C25-D25</f>
        <v>-3.1000003218650818E-3</v>
      </c>
      <c r="F27" s="59"/>
    </row>
  </sheetData>
  <mergeCells count="5">
    <mergeCell ref="A5:D5"/>
    <mergeCell ref="A10:D10"/>
    <mergeCell ref="A11:D11"/>
    <mergeCell ref="A6:D6"/>
    <mergeCell ref="A7:D7"/>
  </mergeCells>
  <phoneticPr fontId="6" type="noConversion"/>
  <printOptions horizontalCentered="1"/>
  <pageMargins left="0.74803149606299213" right="0.74803149606299213" top="1.3779527559055118" bottom="0.98425196850393704" header="0" footer="0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L33"/>
  <sheetViews>
    <sheetView showGridLines="0" tabSelected="1" topLeftCell="A19" zoomScaleNormal="100" workbookViewId="0">
      <selection activeCell="G33" sqref="G33"/>
    </sheetView>
  </sheetViews>
  <sheetFormatPr baseColWidth="10" defaultRowHeight="12.75" x14ac:dyDescent="0.2"/>
  <cols>
    <col min="1" max="1" width="9.7109375" style="78" customWidth="1"/>
    <col min="2" max="2" width="50.85546875" style="2" customWidth="1"/>
    <col min="3" max="4" width="18.140625" style="2" customWidth="1"/>
    <col min="5" max="5" width="18.140625" style="2" hidden="1" customWidth="1"/>
    <col min="6" max="8" width="18.140625" style="2" customWidth="1"/>
    <col min="9" max="9" width="12.28515625" style="2" bestFit="1" customWidth="1"/>
    <col min="10" max="11" width="11.5703125" style="2" bestFit="1" customWidth="1"/>
    <col min="12" max="12" width="12.28515625" style="2" bestFit="1" customWidth="1"/>
    <col min="13" max="16384" width="11.42578125" style="2"/>
  </cols>
  <sheetData>
    <row r="1" spans="1:12" ht="15.75" x14ac:dyDescent="0.25">
      <c r="A1" s="1237" t="s">
        <v>260</v>
      </c>
      <c r="B1" s="1237"/>
      <c r="C1" s="1237"/>
      <c r="D1" s="1237"/>
      <c r="E1" s="1237"/>
      <c r="F1" s="1237"/>
      <c r="G1" s="1237"/>
      <c r="H1" s="1237"/>
      <c r="I1" s="66"/>
    </row>
    <row r="2" spans="1:12" ht="15.75" x14ac:dyDescent="0.25">
      <c r="A2" s="1238" t="s">
        <v>497</v>
      </c>
      <c r="B2" s="1238"/>
      <c r="C2" s="1238"/>
      <c r="D2" s="1238"/>
      <c r="E2" s="1238"/>
      <c r="F2" s="1238"/>
      <c r="G2" s="1238"/>
      <c r="H2" s="1238"/>
      <c r="I2" s="67"/>
    </row>
    <row r="3" spans="1:12" ht="15.75" x14ac:dyDescent="0.25">
      <c r="A3" s="1238" t="s">
        <v>685</v>
      </c>
      <c r="B3" s="1238"/>
      <c r="C3" s="1238"/>
      <c r="D3" s="1238"/>
      <c r="E3" s="1238"/>
      <c r="F3" s="1238"/>
      <c r="G3" s="1238"/>
      <c r="H3" s="1238"/>
      <c r="I3" s="67"/>
    </row>
    <row r="4" spans="1:12" ht="19.5" customHeight="1" x14ac:dyDescent="0.25">
      <c r="A4" s="1237" t="s">
        <v>261</v>
      </c>
      <c r="B4" s="1237"/>
      <c r="C4" s="1237"/>
      <c r="D4" s="1237"/>
      <c r="E4" s="1237"/>
      <c r="F4" s="1237"/>
      <c r="G4" s="1237"/>
      <c r="H4" s="1237"/>
      <c r="I4" s="66"/>
    </row>
    <row r="5" spans="1:12" ht="18.75" customHeight="1" x14ac:dyDescent="0.25">
      <c r="A5" s="1241" t="s">
        <v>303</v>
      </c>
      <c r="B5" s="1241"/>
      <c r="C5" s="1241"/>
      <c r="D5" s="1241"/>
      <c r="E5" s="1241"/>
      <c r="F5" s="1241"/>
      <c r="G5" s="1241"/>
      <c r="H5" s="1241"/>
      <c r="I5" s="68"/>
    </row>
    <row r="6" spans="1:12" ht="18.75" customHeight="1" thickBot="1" x14ac:dyDescent="0.3">
      <c r="A6" s="273"/>
      <c r="B6" s="273"/>
      <c r="C6" s="273"/>
      <c r="D6" s="273"/>
      <c r="E6" s="273"/>
      <c r="F6" s="273"/>
      <c r="G6" s="273"/>
      <c r="H6" s="273"/>
      <c r="I6" s="68"/>
    </row>
    <row r="7" spans="1:12" ht="15" customHeight="1" x14ac:dyDescent="0.2">
      <c r="A7" s="1239" t="s">
        <v>304</v>
      </c>
      <c r="B7" s="1242" t="s">
        <v>305</v>
      </c>
      <c r="C7" s="1244" t="s">
        <v>306</v>
      </c>
      <c r="D7" s="1244" t="s">
        <v>307</v>
      </c>
      <c r="E7" s="1244" t="s">
        <v>308</v>
      </c>
      <c r="F7" s="1244" t="s">
        <v>309</v>
      </c>
      <c r="G7" s="1244" t="s">
        <v>310</v>
      </c>
      <c r="H7" s="1244" t="s">
        <v>25</v>
      </c>
      <c r="I7" s="20"/>
    </row>
    <row r="8" spans="1:12" ht="15" customHeight="1" thickBot="1" x14ac:dyDescent="0.25">
      <c r="A8" s="1240"/>
      <c r="B8" s="1243"/>
      <c r="C8" s="1245"/>
      <c r="D8" s="1245"/>
      <c r="E8" s="1245"/>
      <c r="F8" s="1245"/>
      <c r="G8" s="1245"/>
      <c r="H8" s="1245"/>
    </row>
    <row r="9" spans="1:12" ht="24.95" customHeight="1" x14ac:dyDescent="0.2">
      <c r="A9" s="64" t="s">
        <v>274</v>
      </c>
      <c r="B9" s="65" t="s">
        <v>275</v>
      </c>
      <c r="C9" s="205">
        <f>C10+C13</f>
        <v>360353.41269166663</v>
      </c>
      <c r="D9" s="205">
        <f>D10+D13</f>
        <v>304849.60340833332</v>
      </c>
      <c r="E9" s="205"/>
      <c r="F9" s="205">
        <v>0</v>
      </c>
      <c r="G9" s="205">
        <v>0</v>
      </c>
      <c r="H9" s="205">
        <f>H10+H13-0.01</f>
        <v>665203.0061</v>
      </c>
    </row>
    <row r="10" spans="1:12" ht="24.95" customHeight="1" x14ac:dyDescent="0.2">
      <c r="A10" s="70" t="s">
        <v>276</v>
      </c>
      <c r="B10" s="71" t="s">
        <v>277</v>
      </c>
      <c r="C10" s="206">
        <f>C11+C12</f>
        <v>208048.99269166662</v>
      </c>
      <c r="D10" s="206">
        <f>D11+D12</f>
        <v>168857.15340833334</v>
      </c>
      <c r="E10" s="206"/>
      <c r="F10" s="206">
        <v>0</v>
      </c>
      <c r="G10" s="206">
        <v>0</v>
      </c>
      <c r="H10" s="206">
        <f>H11+H12</f>
        <v>376906.14610000001</v>
      </c>
      <c r="I10" s="58"/>
      <c r="J10" s="58"/>
      <c r="K10" s="58"/>
      <c r="L10" s="58"/>
    </row>
    <row r="11" spans="1:12" ht="24.95" customHeight="1" x14ac:dyDescent="0.2">
      <c r="A11" s="72" t="s">
        <v>20</v>
      </c>
      <c r="B11" s="73" t="s">
        <v>311</v>
      </c>
      <c r="C11" s="207">
        <f>+CONSOLIDADO!H161</f>
        <v>161378.22269166663</v>
      </c>
      <c r="D11" s="207">
        <f>+CONSOLIDADO!C161</f>
        <v>143107.15340833334</v>
      </c>
      <c r="E11" s="207"/>
      <c r="F11" s="207">
        <v>0</v>
      </c>
      <c r="G11" s="207">
        <v>0</v>
      </c>
      <c r="H11" s="207">
        <f>C11+D11+E11+F11+G11</f>
        <v>304485.37609999999</v>
      </c>
      <c r="I11" s="58"/>
      <c r="J11" s="58"/>
      <c r="K11" s="58"/>
      <c r="L11" s="58"/>
    </row>
    <row r="12" spans="1:12" ht="24.95" customHeight="1" x14ac:dyDescent="0.2">
      <c r="A12" s="72" t="s">
        <v>21</v>
      </c>
      <c r="B12" s="73" t="s">
        <v>279</v>
      </c>
      <c r="C12" s="207">
        <f>+CONSOLIDADO!I161</f>
        <v>46670.77</v>
      </c>
      <c r="D12" s="207">
        <f>+CONSOLIDADO!D161</f>
        <v>25750</v>
      </c>
      <c r="E12" s="207"/>
      <c r="F12" s="207">
        <v>0</v>
      </c>
      <c r="G12" s="207">
        <v>0</v>
      </c>
      <c r="H12" s="207">
        <f>C12+D12+E12+F12+G12</f>
        <v>72420.76999999999</v>
      </c>
      <c r="J12" s="7"/>
    </row>
    <row r="13" spans="1:12" ht="24.95" customHeight="1" x14ac:dyDescent="0.2">
      <c r="A13" s="70" t="s">
        <v>280</v>
      </c>
      <c r="B13" s="71" t="s">
        <v>281</v>
      </c>
      <c r="C13" s="206">
        <f>SUM(C14:C15)</f>
        <v>152304.42000000001</v>
      </c>
      <c r="D13" s="206">
        <f>SUM(D14:D15)</f>
        <v>135992.44999999998</v>
      </c>
      <c r="E13" s="206"/>
      <c r="F13" s="206">
        <v>0</v>
      </c>
      <c r="G13" s="206">
        <v>0</v>
      </c>
      <c r="H13" s="206">
        <f>+H14+H15</f>
        <v>288296.87</v>
      </c>
      <c r="J13" s="7"/>
    </row>
    <row r="14" spans="1:12" ht="24.95" customHeight="1" x14ac:dyDescent="0.2">
      <c r="A14" s="72" t="s">
        <v>24</v>
      </c>
      <c r="B14" s="73" t="s">
        <v>494</v>
      </c>
      <c r="C14" s="207">
        <f>+CONSOLIDADO!J161</f>
        <v>8421.42</v>
      </c>
      <c r="D14" s="207">
        <f>+CONSOLIDADO!E161</f>
        <v>26171.399999999998</v>
      </c>
      <c r="E14" s="206"/>
      <c r="F14" s="1005">
        <v>0</v>
      </c>
      <c r="G14" s="1005">
        <v>0</v>
      </c>
      <c r="H14" s="207">
        <f>C14+D14+E14+F14+G14</f>
        <v>34592.82</v>
      </c>
      <c r="J14" s="7"/>
    </row>
    <row r="15" spans="1:12" ht="24.95" customHeight="1" thickBot="1" x14ac:dyDescent="0.25">
      <c r="A15" s="74" t="s">
        <v>255</v>
      </c>
      <c r="B15" s="75" t="s">
        <v>495</v>
      </c>
      <c r="C15" s="208">
        <f>+CONSOLIDADO!K161</f>
        <v>143883</v>
      </c>
      <c r="D15" s="208">
        <f>+CONSOLIDADO!F161</f>
        <v>109821.04999999999</v>
      </c>
      <c r="E15" s="209"/>
      <c r="F15" s="1006">
        <v>0</v>
      </c>
      <c r="G15" s="1006">
        <v>0</v>
      </c>
      <c r="H15" s="208">
        <f>C15+D15+E15+F15+G15</f>
        <v>253704.05</v>
      </c>
      <c r="J15" s="76"/>
    </row>
    <row r="16" spans="1:12" ht="24.95" customHeight="1" x14ac:dyDescent="0.2">
      <c r="A16" s="70" t="s">
        <v>312</v>
      </c>
      <c r="B16" s="77" t="s">
        <v>282</v>
      </c>
      <c r="C16" s="206">
        <f t="shared" ref="C16:H16" si="0">C17</f>
        <v>663444</v>
      </c>
      <c r="D16" s="206">
        <f t="shared" si="0"/>
        <v>0</v>
      </c>
      <c r="E16" s="206">
        <f t="shared" si="0"/>
        <v>0</v>
      </c>
      <c r="F16" s="206">
        <f t="shared" si="0"/>
        <v>23906.229999999996</v>
      </c>
      <c r="G16" s="206">
        <f t="shared" si="0"/>
        <v>0</v>
      </c>
      <c r="H16" s="206">
        <f t="shared" si="0"/>
        <v>687350.23</v>
      </c>
    </row>
    <row r="17" spans="1:8" ht="24.95" customHeight="1" x14ac:dyDescent="0.2">
      <c r="A17" s="70" t="s">
        <v>283</v>
      </c>
      <c r="B17" s="71" t="s">
        <v>284</v>
      </c>
      <c r="C17" s="206">
        <f>C18+C19</f>
        <v>663444</v>
      </c>
      <c r="D17" s="206">
        <f>D18+D19</f>
        <v>0</v>
      </c>
      <c r="E17" s="206">
        <f>E18+E19</f>
        <v>0</v>
      </c>
      <c r="F17" s="206">
        <f>F18+F19</f>
        <v>23906.229999999996</v>
      </c>
      <c r="G17" s="206">
        <f>G18+G19</f>
        <v>0</v>
      </c>
      <c r="H17" s="206">
        <f>+H18+H19</f>
        <v>687350.23</v>
      </c>
    </row>
    <row r="18" spans="1:8" ht="24.95" customHeight="1" x14ac:dyDescent="0.2">
      <c r="A18" s="72" t="s">
        <v>233</v>
      </c>
      <c r="B18" s="73" t="s">
        <v>313</v>
      </c>
      <c r="C18" s="207">
        <f>CONSOLIDADO!M161</f>
        <v>218621.09</v>
      </c>
      <c r="D18" s="1005">
        <v>0</v>
      </c>
      <c r="E18" s="1005">
        <v>0</v>
      </c>
      <c r="F18" s="1005">
        <v>0</v>
      </c>
      <c r="G18" s="1005">
        <v>0</v>
      </c>
      <c r="H18" s="207">
        <f>C18+D18+E18+F18+G18</f>
        <v>218621.09</v>
      </c>
    </row>
    <row r="19" spans="1:8" ht="24.95" customHeight="1" thickBot="1" x14ac:dyDescent="0.25">
      <c r="A19" s="74" t="s">
        <v>234</v>
      </c>
      <c r="B19" s="75" t="s">
        <v>286</v>
      </c>
      <c r="C19" s="208">
        <f>+CONSOLIDADO!N161</f>
        <v>444822.91000000003</v>
      </c>
      <c r="D19" s="208">
        <v>0</v>
      </c>
      <c r="E19" s="209"/>
      <c r="F19" s="208">
        <f>+CONSOLIDADO!U161</f>
        <v>23906.229999999996</v>
      </c>
      <c r="G19" s="208">
        <f>+CONSOLIDADO!X161</f>
        <v>0</v>
      </c>
      <c r="H19" s="208">
        <f>C19+D19+E19+F19+G19</f>
        <v>468729.14</v>
      </c>
    </row>
    <row r="20" spans="1:8" ht="24.95" customHeight="1" x14ac:dyDescent="0.2">
      <c r="A20" s="70" t="s">
        <v>314</v>
      </c>
      <c r="B20" s="77" t="s">
        <v>287</v>
      </c>
      <c r="C20" s="206">
        <f>C21</f>
        <v>168588.7</v>
      </c>
      <c r="D20" s="206">
        <f t="shared" ref="D20:G21" si="1">D21</f>
        <v>0</v>
      </c>
      <c r="E20" s="206">
        <f t="shared" si="1"/>
        <v>0</v>
      </c>
      <c r="F20" s="206">
        <f t="shared" si="1"/>
        <v>25437.11</v>
      </c>
      <c r="G20" s="206">
        <f t="shared" si="1"/>
        <v>0</v>
      </c>
      <c r="H20" s="206">
        <f>H21</f>
        <v>194025.81000000003</v>
      </c>
    </row>
    <row r="21" spans="1:8" ht="24.95" customHeight="1" x14ac:dyDescent="0.2">
      <c r="A21" s="70" t="s">
        <v>288</v>
      </c>
      <c r="B21" s="71" t="s">
        <v>289</v>
      </c>
      <c r="C21" s="206">
        <f>C22+C23</f>
        <v>168588.7</v>
      </c>
      <c r="D21" s="206">
        <f t="shared" si="1"/>
        <v>0</v>
      </c>
      <c r="E21" s="206">
        <f t="shared" si="1"/>
        <v>0</v>
      </c>
      <c r="F21" s="206">
        <f t="shared" si="1"/>
        <v>25437.11</v>
      </c>
      <c r="G21" s="206">
        <f t="shared" si="1"/>
        <v>0</v>
      </c>
      <c r="H21" s="206">
        <f>H22+H23</f>
        <v>194025.81000000003</v>
      </c>
    </row>
    <row r="22" spans="1:8" ht="21" customHeight="1" x14ac:dyDescent="0.2">
      <c r="A22" s="72" t="s">
        <v>235</v>
      </c>
      <c r="B22" s="73" t="s">
        <v>290</v>
      </c>
      <c r="C22" s="207">
        <f>+CONSOLIDADO!O161</f>
        <v>145682.66</v>
      </c>
      <c r="D22" s="1005">
        <v>0</v>
      </c>
      <c r="E22" s="1005">
        <v>0</v>
      </c>
      <c r="F22" s="1005">
        <f>CONSOLIDADO!V161</f>
        <v>25437.11</v>
      </c>
      <c r="G22" s="1005">
        <v>0</v>
      </c>
      <c r="H22" s="207">
        <f>C22+D22+E22+F22+G22</f>
        <v>171119.77000000002</v>
      </c>
    </row>
    <row r="23" spans="1:8" ht="21" customHeight="1" thickBot="1" x14ac:dyDescent="0.25">
      <c r="A23" s="74" t="s">
        <v>458</v>
      </c>
      <c r="B23" s="75" t="s">
        <v>491</v>
      </c>
      <c r="C23" s="208">
        <f>CONSOLIDADO!T161</f>
        <v>22906.04</v>
      </c>
      <c r="D23" s="1006">
        <v>0</v>
      </c>
      <c r="E23" s="1006">
        <v>0</v>
      </c>
      <c r="F23" s="1006">
        <v>0</v>
      </c>
      <c r="G23" s="1006">
        <v>0</v>
      </c>
      <c r="H23" s="208">
        <f>C23+D23+E23+F23+G23</f>
        <v>22906.04</v>
      </c>
    </row>
    <row r="24" spans="1:8" ht="23.25" customHeight="1" x14ac:dyDescent="0.2">
      <c r="A24" s="70" t="s">
        <v>315</v>
      </c>
      <c r="B24" s="71" t="s">
        <v>291</v>
      </c>
      <c r="C24" s="206">
        <f>C25</f>
        <v>355041.18000000005</v>
      </c>
      <c r="D24" s="206">
        <f t="shared" ref="D24:H25" si="2">D25</f>
        <v>0</v>
      </c>
      <c r="E24" s="206">
        <f t="shared" si="2"/>
        <v>0</v>
      </c>
      <c r="F24" s="206">
        <f t="shared" si="2"/>
        <v>0</v>
      </c>
      <c r="G24" s="206">
        <f t="shared" si="2"/>
        <v>0</v>
      </c>
      <c r="H24" s="206">
        <f t="shared" si="2"/>
        <v>355041.18000000005</v>
      </c>
    </row>
    <row r="25" spans="1:8" ht="24.95" customHeight="1" x14ac:dyDescent="0.2">
      <c r="A25" s="70" t="s">
        <v>292</v>
      </c>
      <c r="B25" s="71" t="s">
        <v>293</v>
      </c>
      <c r="C25" s="206">
        <f>C26+C27+C28</f>
        <v>355041.18000000005</v>
      </c>
      <c r="D25" s="206">
        <f t="shared" si="2"/>
        <v>0</v>
      </c>
      <c r="E25" s="206">
        <f t="shared" si="2"/>
        <v>0</v>
      </c>
      <c r="F25" s="206">
        <f t="shared" si="2"/>
        <v>0</v>
      </c>
      <c r="G25" s="206">
        <f t="shared" si="2"/>
        <v>0</v>
      </c>
      <c r="H25" s="206">
        <f>H26+H27+H28</f>
        <v>355041.18000000005</v>
      </c>
    </row>
    <row r="26" spans="1:8" ht="24.95" customHeight="1" x14ac:dyDescent="0.2">
      <c r="A26" s="72" t="s">
        <v>236</v>
      </c>
      <c r="B26" s="73" t="s">
        <v>294</v>
      </c>
      <c r="C26" s="207">
        <f>RESUMEN2!E25</f>
        <v>268052.22000000003</v>
      </c>
      <c r="D26" s="1005">
        <v>0</v>
      </c>
      <c r="E26" s="1005">
        <v>0</v>
      </c>
      <c r="F26" s="1005">
        <v>0</v>
      </c>
      <c r="G26" s="1005">
        <v>0</v>
      </c>
      <c r="H26" s="207">
        <f>C26+D26+E26+F26+G26</f>
        <v>268052.22000000003</v>
      </c>
    </row>
    <row r="27" spans="1:8" ht="24.95" customHeight="1" x14ac:dyDescent="0.2">
      <c r="A27" s="1004" t="s">
        <v>706</v>
      </c>
      <c r="B27" s="915" t="s">
        <v>741</v>
      </c>
      <c r="C27" s="207">
        <f>RESUMEN2!E26</f>
        <v>82763.959999999992</v>
      </c>
      <c r="D27" s="1005">
        <v>0</v>
      </c>
      <c r="E27" s="1005">
        <v>0</v>
      </c>
      <c r="F27" s="1005">
        <v>0</v>
      </c>
      <c r="G27" s="1005">
        <v>0</v>
      </c>
      <c r="H27" s="207">
        <f>C27+D27+E27+F27+G27</f>
        <v>82763.959999999992</v>
      </c>
    </row>
    <row r="28" spans="1:8" ht="24.95" customHeight="1" thickBot="1" x14ac:dyDescent="0.25">
      <c r="A28" s="72" t="s">
        <v>470</v>
      </c>
      <c r="B28" s="73" t="s">
        <v>492</v>
      </c>
      <c r="C28" s="207">
        <f>+CONSOLIDADO!R161</f>
        <v>4225</v>
      </c>
      <c r="D28" s="1005">
        <v>0</v>
      </c>
      <c r="E28" s="1005">
        <v>0</v>
      </c>
      <c r="F28" s="1005">
        <v>0</v>
      </c>
      <c r="G28" s="1005">
        <v>0</v>
      </c>
      <c r="H28" s="207">
        <f>C28+D28+E28+F28+G28</f>
        <v>4225</v>
      </c>
    </row>
    <row r="29" spans="1:8" ht="21" customHeight="1" thickBot="1" x14ac:dyDescent="0.25">
      <c r="A29" s="1047" t="s">
        <v>316</v>
      </c>
      <c r="B29" s="1229"/>
      <c r="C29" s="210">
        <f>C9+C16+C20+C24</f>
        <v>1547427.2926916666</v>
      </c>
      <c r="D29" s="210">
        <f>D9+D16+D20+D24</f>
        <v>304849.60340833332</v>
      </c>
      <c r="E29" s="210"/>
      <c r="F29" s="210">
        <f>F9+F16+F20+F24</f>
        <v>49343.34</v>
      </c>
      <c r="G29" s="210"/>
      <c r="H29" s="210">
        <f>H9+H16+H20+H24</f>
        <v>1901620.2261000001</v>
      </c>
    </row>
    <row r="31" spans="1:8" x14ac:dyDescent="0.2">
      <c r="H31" s="601"/>
    </row>
    <row r="32" spans="1:8" x14ac:dyDescent="0.2">
      <c r="F32" s="601"/>
    </row>
    <row r="33" spans="8:8" x14ac:dyDescent="0.2">
      <c r="H33" s="601"/>
    </row>
  </sheetData>
  <mergeCells count="14">
    <mergeCell ref="A1:H1"/>
    <mergeCell ref="A2:H2"/>
    <mergeCell ref="A3:H3"/>
    <mergeCell ref="A4:H4"/>
    <mergeCell ref="A29:B29"/>
    <mergeCell ref="A7:A8"/>
    <mergeCell ref="A5:H5"/>
    <mergeCell ref="B7:B8"/>
    <mergeCell ref="C7:C8"/>
    <mergeCell ref="D7:D8"/>
    <mergeCell ref="E7:E8"/>
    <mergeCell ref="F7:F8"/>
    <mergeCell ref="G7:G8"/>
    <mergeCell ref="H7:H8"/>
  </mergeCells>
  <phoneticPr fontId="0" type="noConversion"/>
  <printOptions horizontalCentered="1"/>
  <pageMargins left="0.35433070866141736" right="0.35433070866141736" top="0.74803149606299213" bottom="0.27559055118110237" header="0.15748031496062992" footer="0"/>
  <pageSetup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opLeftCell="U1" workbookViewId="0">
      <selection activeCell="AD10" sqref="AD10"/>
    </sheetView>
  </sheetViews>
  <sheetFormatPr baseColWidth="10" defaultRowHeight="12.75" x14ac:dyDescent="0.2"/>
  <cols>
    <col min="1" max="1" width="14.28515625" style="680" hidden="1" customWidth="1"/>
    <col min="2" max="2" width="0" style="681" hidden="1" customWidth="1"/>
    <col min="3" max="3" width="14.85546875" style="684" hidden="1" customWidth="1"/>
    <col min="4" max="8" width="13" style="684" hidden="1" customWidth="1"/>
    <col min="9" max="9" width="1.7109375" style="694" hidden="1" customWidth="1"/>
    <col min="10" max="10" width="13.85546875" style="684" hidden="1" customWidth="1"/>
    <col min="11" max="18" width="12.5703125" style="684" hidden="1" customWidth="1"/>
    <col min="19" max="19" width="14" style="684" hidden="1" customWidth="1"/>
    <col min="20" max="20" width="17.140625" style="680" hidden="1" customWidth="1"/>
    <col min="21" max="16384" width="11.42578125" style="680"/>
  </cols>
  <sheetData>
    <row r="1" spans="1:22" x14ac:dyDescent="0.2">
      <c r="C1" s="682" t="s">
        <v>687</v>
      </c>
      <c r="D1" s="682"/>
      <c r="E1" s="682"/>
      <c r="F1" s="682"/>
      <c r="G1" s="682"/>
      <c r="H1" s="682"/>
      <c r="I1" s="683"/>
    </row>
    <row r="3" spans="1:22" x14ac:dyDescent="0.2">
      <c r="A3" s="1249"/>
      <c r="B3" s="1248"/>
      <c r="C3" s="1247" t="s">
        <v>397</v>
      </c>
      <c r="D3" s="1247"/>
      <c r="E3" s="1247"/>
      <c r="F3" s="1247"/>
      <c r="G3" s="1247"/>
      <c r="H3" s="1246" t="s">
        <v>692</v>
      </c>
      <c r="J3" s="1247" t="s">
        <v>16</v>
      </c>
      <c r="K3" s="1247"/>
      <c r="L3" s="1247"/>
      <c r="M3" s="1247"/>
      <c r="N3" s="1247"/>
      <c r="O3" s="1247"/>
      <c r="P3" s="1247"/>
      <c r="Q3" s="1247"/>
      <c r="R3" s="1247"/>
      <c r="S3" s="1246" t="s">
        <v>25</v>
      </c>
    </row>
    <row r="4" spans="1:22" ht="25.5" customHeight="1" x14ac:dyDescent="0.2">
      <c r="A4" s="1249"/>
      <c r="B4" s="1248"/>
      <c r="C4" s="687" t="s">
        <v>691</v>
      </c>
      <c r="D4" s="687" t="s">
        <v>398</v>
      </c>
      <c r="E4" s="687" t="s">
        <v>360</v>
      </c>
      <c r="F4" s="687" t="s">
        <v>19</v>
      </c>
      <c r="G4" s="687" t="s">
        <v>664</v>
      </c>
      <c r="H4" s="1246"/>
      <c r="I4" s="695"/>
      <c r="J4" s="687" t="s">
        <v>16</v>
      </c>
      <c r="K4" s="687" t="s">
        <v>688</v>
      </c>
      <c r="L4" s="687" t="s">
        <v>671</v>
      </c>
      <c r="M4" s="698" t="s">
        <v>699</v>
      </c>
      <c r="N4" s="687" t="s">
        <v>18</v>
      </c>
      <c r="O4" s="687" t="s">
        <v>398</v>
      </c>
      <c r="P4" s="687" t="s">
        <v>360</v>
      </c>
      <c r="Q4" s="687" t="s">
        <v>19</v>
      </c>
      <c r="R4" s="687" t="s">
        <v>664</v>
      </c>
      <c r="S4" s="1246"/>
    </row>
    <row r="5" spans="1:22" ht="21.75" customHeight="1" x14ac:dyDescent="0.2">
      <c r="A5" s="685" t="s">
        <v>351</v>
      </c>
      <c r="B5" s="686" t="s">
        <v>20</v>
      </c>
      <c r="C5" s="704">
        <v>791</v>
      </c>
      <c r="D5" s="704">
        <f>O5/12</f>
        <v>0</v>
      </c>
      <c r="E5" s="704">
        <f>P5/12</f>
        <v>0</v>
      </c>
      <c r="F5" s="704">
        <f>Q5/12</f>
        <v>0</v>
      </c>
      <c r="G5" s="704">
        <f>R5/12</f>
        <v>0</v>
      </c>
      <c r="H5" s="704">
        <f>SUM(C5:G5)</f>
        <v>791</v>
      </c>
      <c r="I5" s="705"/>
      <c r="J5" s="704">
        <v>9492</v>
      </c>
      <c r="K5" s="704">
        <v>0</v>
      </c>
      <c r="L5" s="704">
        <v>791</v>
      </c>
      <c r="M5" s="704"/>
      <c r="N5" s="704">
        <v>0</v>
      </c>
      <c r="O5" s="704">
        <v>0</v>
      </c>
      <c r="P5" s="704">
        <v>0</v>
      </c>
      <c r="Q5" s="704">
        <v>0</v>
      </c>
      <c r="R5" s="704">
        <v>0</v>
      </c>
      <c r="S5" s="704">
        <f>SUM(J5:R5)</f>
        <v>10283</v>
      </c>
    </row>
    <row r="6" spans="1:22" ht="21.75" customHeight="1" x14ac:dyDescent="0.2">
      <c r="A6" s="685"/>
      <c r="B6" s="686"/>
      <c r="C6" s="704"/>
      <c r="D6" s="704"/>
      <c r="E6" s="704"/>
      <c r="F6" s="704"/>
      <c r="G6" s="704"/>
      <c r="H6" s="704"/>
      <c r="I6" s="705"/>
      <c r="J6" s="704"/>
      <c r="K6" s="704"/>
      <c r="L6" s="704"/>
      <c r="M6" s="704"/>
      <c r="N6" s="704"/>
      <c r="O6" s="704"/>
      <c r="P6" s="704"/>
      <c r="Q6" s="704"/>
      <c r="R6" s="704"/>
      <c r="S6" s="704"/>
    </row>
    <row r="7" spans="1:22" ht="21.75" customHeight="1" x14ac:dyDescent="0.2">
      <c r="A7" s="685" t="s">
        <v>354</v>
      </c>
      <c r="B7" s="686" t="s">
        <v>20</v>
      </c>
      <c r="C7" s="704">
        <v>6000</v>
      </c>
      <c r="D7" s="704">
        <f>O7/12</f>
        <v>0</v>
      </c>
      <c r="E7" s="704">
        <f t="shared" ref="E7:F7" si="0">P7/12</f>
        <v>0</v>
      </c>
      <c r="F7" s="704">
        <f t="shared" si="0"/>
        <v>315</v>
      </c>
      <c r="G7" s="704">
        <f>R7/12</f>
        <v>42</v>
      </c>
      <c r="H7" s="704">
        <f>SUM(C7:G7)</f>
        <v>6357</v>
      </c>
      <c r="I7" s="705"/>
      <c r="J7" s="704">
        <v>72000</v>
      </c>
      <c r="K7" s="704">
        <v>0</v>
      </c>
      <c r="L7" s="704">
        <v>6000</v>
      </c>
      <c r="M7" s="704"/>
      <c r="N7" s="704">
        <v>0</v>
      </c>
      <c r="O7" s="704">
        <v>0</v>
      </c>
      <c r="P7" s="704">
        <v>0</v>
      </c>
      <c r="Q7" s="704">
        <v>3780</v>
      </c>
      <c r="R7" s="704">
        <v>504</v>
      </c>
      <c r="S7" s="704">
        <f>SUM(J7:R7)</f>
        <v>82284</v>
      </c>
    </row>
    <row r="8" spans="1:22" ht="21.75" customHeight="1" x14ac:dyDescent="0.2">
      <c r="A8" s="685" t="s">
        <v>690</v>
      </c>
      <c r="B8" s="686"/>
      <c r="C8" s="704">
        <v>0</v>
      </c>
      <c r="D8" s="704"/>
      <c r="E8" s="704"/>
      <c r="F8" s="704"/>
      <c r="G8" s="704"/>
      <c r="H8" s="704"/>
      <c r="I8" s="705"/>
      <c r="J8" s="704">
        <v>0</v>
      </c>
      <c r="K8" s="704">
        <v>0</v>
      </c>
      <c r="L8" s="704">
        <f>55*4</f>
        <v>220</v>
      </c>
      <c r="M8" s="704"/>
      <c r="N8" s="704">
        <v>0</v>
      </c>
      <c r="O8" s="704">
        <v>0</v>
      </c>
      <c r="P8" s="704">
        <v>0</v>
      </c>
      <c r="Q8" s="704">
        <v>0</v>
      </c>
      <c r="R8" s="704">
        <v>0</v>
      </c>
      <c r="S8" s="704">
        <f t="shared" ref="S8" si="1">SUM(J8:R8)</f>
        <v>220</v>
      </c>
    </row>
    <row r="9" spans="1:22" ht="21.75" customHeight="1" x14ac:dyDescent="0.2">
      <c r="A9" s="685"/>
      <c r="B9" s="686"/>
      <c r="C9" s="704"/>
      <c r="D9" s="704"/>
      <c r="E9" s="704"/>
      <c r="F9" s="704"/>
      <c r="G9" s="704"/>
      <c r="H9" s="704"/>
      <c r="I9" s="705"/>
      <c r="J9" s="704"/>
      <c r="K9" s="704"/>
      <c r="L9" s="704"/>
      <c r="M9" s="704"/>
      <c r="N9" s="704"/>
      <c r="O9" s="704"/>
      <c r="P9" s="704"/>
      <c r="Q9" s="704"/>
      <c r="R9" s="704"/>
      <c r="S9" s="704"/>
    </row>
    <row r="10" spans="1:22" ht="27.75" customHeight="1" x14ac:dyDescent="0.2">
      <c r="A10" s="697" t="s">
        <v>694</v>
      </c>
      <c r="B10" s="696"/>
      <c r="C10" s="704">
        <v>600</v>
      </c>
      <c r="D10" s="704"/>
      <c r="E10" s="704"/>
      <c r="F10" s="704"/>
      <c r="G10" s="704"/>
      <c r="H10" s="704"/>
      <c r="I10" s="705"/>
      <c r="J10" s="704">
        <f>C10*12</f>
        <v>7200</v>
      </c>
      <c r="K10" s="704">
        <v>0</v>
      </c>
      <c r="L10" s="704">
        <v>0</v>
      </c>
      <c r="M10" s="704"/>
      <c r="N10" s="704">
        <v>0</v>
      </c>
      <c r="O10" s="704">
        <v>0</v>
      </c>
      <c r="P10" s="704">
        <v>0</v>
      </c>
      <c r="Q10" s="704">
        <v>0</v>
      </c>
      <c r="R10" s="704">
        <v>0</v>
      </c>
      <c r="S10" s="704">
        <f t="shared" ref="S10" si="2">SUM(J10:R10)</f>
        <v>7200</v>
      </c>
    </row>
    <row r="11" spans="1:22" ht="21.75" customHeight="1" x14ac:dyDescent="0.2">
      <c r="A11" s="685"/>
      <c r="B11" s="686"/>
      <c r="C11" s="688"/>
      <c r="D11" s="688"/>
      <c r="E11" s="688"/>
      <c r="F11" s="688"/>
      <c r="G11" s="688"/>
      <c r="H11" s="688"/>
      <c r="I11" s="689"/>
      <c r="J11" s="688"/>
      <c r="K11" s="688"/>
      <c r="L11" s="688"/>
      <c r="M11" s="688"/>
      <c r="N11" s="688"/>
      <c r="O11" s="688"/>
      <c r="P11" s="688"/>
      <c r="Q11" s="688"/>
      <c r="R11" s="688"/>
      <c r="S11" s="688"/>
    </row>
    <row r="12" spans="1:22" ht="21.75" customHeight="1" x14ac:dyDescent="0.2">
      <c r="A12" s="685" t="s">
        <v>689</v>
      </c>
      <c r="B12" s="686" t="s">
        <v>20</v>
      </c>
      <c r="C12" s="688">
        <v>6450</v>
      </c>
      <c r="D12" s="688">
        <f t="shared" ref="D12:G15" si="3">O12/12</f>
        <v>371.25</v>
      </c>
      <c r="E12" s="688">
        <f t="shared" si="3"/>
        <v>0</v>
      </c>
      <c r="F12" s="688">
        <f t="shared" si="3"/>
        <v>356.25</v>
      </c>
      <c r="G12" s="688">
        <f t="shared" si="3"/>
        <v>47.5</v>
      </c>
      <c r="H12" s="688">
        <f t="shared" ref="H12:H15" si="4">SUM(C12:G12)</f>
        <v>7225</v>
      </c>
      <c r="I12" s="689"/>
      <c r="J12" s="688">
        <v>77400</v>
      </c>
      <c r="K12" s="688">
        <v>0</v>
      </c>
      <c r="L12" s="688">
        <v>700</v>
      </c>
      <c r="M12" s="688"/>
      <c r="N12" s="688">
        <v>6450</v>
      </c>
      <c r="O12" s="688">
        <v>4455</v>
      </c>
      <c r="P12" s="688">
        <v>0</v>
      </c>
      <c r="Q12" s="688">
        <v>4275</v>
      </c>
      <c r="R12" s="688">
        <v>570</v>
      </c>
      <c r="S12" s="688">
        <f>SUM(J12:R12)</f>
        <v>93850</v>
      </c>
      <c r="U12" s="684"/>
      <c r="V12" s="690"/>
    </row>
    <row r="13" spans="1:22" ht="21.75" customHeight="1" x14ac:dyDescent="0.2">
      <c r="A13" s="685" t="s">
        <v>689</v>
      </c>
      <c r="B13" s="686" t="s">
        <v>21</v>
      </c>
      <c r="C13" s="688">
        <v>4900</v>
      </c>
      <c r="D13" s="688">
        <f t="shared" si="3"/>
        <v>330.75</v>
      </c>
      <c r="E13" s="688">
        <f t="shared" si="3"/>
        <v>0</v>
      </c>
      <c r="F13" s="688">
        <f t="shared" si="3"/>
        <v>303.75</v>
      </c>
      <c r="G13" s="688">
        <f t="shared" si="3"/>
        <v>40.5</v>
      </c>
      <c r="H13" s="688">
        <f t="shared" si="4"/>
        <v>5575</v>
      </c>
      <c r="I13" s="689"/>
      <c r="J13" s="688">
        <v>58800</v>
      </c>
      <c r="K13" s="688">
        <v>0</v>
      </c>
      <c r="L13" s="688">
        <v>600</v>
      </c>
      <c r="M13" s="688"/>
      <c r="N13" s="688">
        <v>4900</v>
      </c>
      <c r="O13" s="688">
        <v>3969</v>
      </c>
      <c r="P13" s="688">
        <v>0</v>
      </c>
      <c r="Q13" s="688">
        <v>3645</v>
      </c>
      <c r="R13" s="688">
        <v>486</v>
      </c>
      <c r="S13" s="688">
        <f>SUM(J13:R13)</f>
        <v>72400</v>
      </c>
    </row>
    <row r="14" spans="1:22" ht="21.75" customHeight="1" x14ac:dyDescent="0.2">
      <c r="A14" s="685" t="s">
        <v>689</v>
      </c>
      <c r="B14" s="686" t="s">
        <v>24</v>
      </c>
      <c r="C14" s="688">
        <v>2507.14</v>
      </c>
      <c r="D14" s="688">
        <f t="shared" si="3"/>
        <v>169.23195000000001</v>
      </c>
      <c r="E14" s="688">
        <f t="shared" si="3"/>
        <v>0</v>
      </c>
      <c r="F14" s="688">
        <f t="shared" si="3"/>
        <v>188.03549999999998</v>
      </c>
      <c r="G14" s="688">
        <f t="shared" si="3"/>
        <v>25.071400000000001</v>
      </c>
      <c r="H14" s="688">
        <f t="shared" si="4"/>
        <v>2889.4788499999995</v>
      </c>
      <c r="I14" s="689"/>
      <c r="J14" s="688">
        <v>30085.68</v>
      </c>
      <c r="K14" s="688">
        <v>0</v>
      </c>
      <c r="L14" s="688">
        <v>700</v>
      </c>
      <c r="M14" s="688"/>
      <c r="N14" s="688">
        <v>2507.14</v>
      </c>
      <c r="O14" s="688">
        <v>2030.7834000000003</v>
      </c>
      <c r="P14" s="688">
        <v>0</v>
      </c>
      <c r="Q14" s="688">
        <v>2256.4259999999999</v>
      </c>
      <c r="R14" s="688">
        <v>300.85680000000002</v>
      </c>
      <c r="S14" s="688">
        <f>SUM(J14:R14)</f>
        <v>37880.886200000001</v>
      </c>
    </row>
    <row r="15" spans="1:22" ht="21.75" customHeight="1" x14ac:dyDescent="0.2">
      <c r="A15" s="685" t="s">
        <v>689</v>
      </c>
      <c r="B15" s="686" t="s">
        <v>255</v>
      </c>
      <c r="C15" s="688">
        <v>7273.3999999999987</v>
      </c>
      <c r="D15" s="688">
        <f t="shared" si="3"/>
        <v>477.62651249999999</v>
      </c>
      <c r="E15" s="688">
        <f t="shared" si="3"/>
        <v>40.857049999999994</v>
      </c>
      <c r="F15" s="688">
        <f t="shared" si="3"/>
        <v>591.14243749999991</v>
      </c>
      <c r="G15" s="688">
        <f t="shared" si="3"/>
        <v>78.818991666666676</v>
      </c>
      <c r="H15" s="688">
        <f t="shared" si="4"/>
        <v>8461.844991666665</v>
      </c>
      <c r="I15" s="689"/>
      <c r="J15" s="688">
        <v>88737.96</v>
      </c>
      <c r="K15" s="688">
        <v>5844.83</v>
      </c>
      <c r="L15" s="688">
        <v>2200</v>
      </c>
      <c r="M15" s="688">
        <v>150</v>
      </c>
      <c r="N15" s="688">
        <v>7394.829999999999</v>
      </c>
      <c r="O15" s="688">
        <v>5731.5181499999999</v>
      </c>
      <c r="P15" s="688">
        <v>490.28459999999995</v>
      </c>
      <c r="Q15" s="688">
        <v>7093.709249999999</v>
      </c>
      <c r="R15" s="688">
        <v>945.82790000000011</v>
      </c>
      <c r="S15" s="688">
        <f>SUM(J15:R15)</f>
        <v>118588.95990000002</v>
      </c>
    </row>
    <row r="16" spans="1:22" ht="21.75" customHeight="1" x14ac:dyDescent="0.2">
      <c r="A16" s="685" t="s">
        <v>702</v>
      </c>
      <c r="B16" s="699"/>
      <c r="C16" s="704">
        <f>SUM(C12:C15)</f>
        <v>21130.539999999997</v>
      </c>
      <c r="D16" s="704">
        <f t="shared" ref="D16:R16" si="5">SUM(D12:D15)</f>
        <v>1348.8584624999999</v>
      </c>
      <c r="E16" s="704">
        <f t="shared" si="5"/>
        <v>40.857049999999994</v>
      </c>
      <c r="F16" s="704">
        <f t="shared" si="5"/>
        <v>1439.1779374999999</v>
      </c>
      <c r="G16" s="704">
        <f t="shared" si="5"/>
        <v>191.89039166666669</v>
      </c>
      <c r="H16" s="704">
        <f t="shared" si="5"/>
        <v>24151.323841666665</v>
      </c>
      <c r="I16" s="704">
        <f t="shared" si="5"/>
        <v>0</v>
      </c>
      <c r="J16" s="704">
        <f t="shared" si="5"/>
        <v>255023.64</v>
      </c>
      <c r="K16" s="704">
        <f t="shared" si="5"/>
        <v>5844.83</v>
      </c>
      <c r="L16" s="704">
        <f>SUM(L12:L15)</f>
        <v>4200</v>
      </c>
      <c r="M16" s="704">
        <f t="shared" si="5"/>
        <v>150</v>
      </c>
      <c r="N16" s="704">
        <f t="shared" si="5"/>
        <v>21251.969999999998</v>
      </c>
      <c r="O16" s="704">
        <f t="shared" si="5"/>
        <v>16186.30155</v>
      </c>
      <c r="P16" s="704">
        <f t="shared" si="5"/>
        <v>490.28459999999995</v>
      </c>
      <c r="Q16" s="704">
        <f t="shared" si="5"/>
        <v>17270.135249999999</v>
      </c>
      <c r="R16" s="704">
        <f t="shared" si="5"/>
        <v>2302.6847000000002</v>
      </c>
      <c r="S16" s="704">
        <f>SUM(S12:S15)</f>
        <v>322719.84610000002</v>
      </c>
    </row>
    <row r="17" spans="1:22" ht="21.75" customHeight="1" x14ac:dyDescent="0.2">
      <c r="A17" s="685"/>
      <c r="B17" s="686"/>
      <c r="C17" s="688"/>
      <c r="D17" s="688"/>
      <c r="E17" s="688"/>
      <c r="F17" s="688"/>
      <c r="G17" s="688"/>
      <c r="H17" s="688"/>
      <c r="I17" s="689"/>
      <c r="J17" s="688"/>
      <c r="K17" s="688"/>
      <c r="L17" s="688"/>
      <c r="M17" s="688"/>
      <c r="N17" s="688"/>
      <c r="O17" s="688"/>
      <c r="P17" s="688"/>
      <c r="Q17" s="688"/>
      <c r="R17" s="688"/>
      <c r="S17" s="688"/>
    </row>
    <row r="18" spans="1:22" ht="21.75" customHeight="1" x14ac:dyDescent="0.2">
      <c r="A18" s="685" t="s">
        <v>4</v>
      </c>
      <c r="B18" s="686"/>
      <c r="C18" s="691">
        <f>SUM(C5:C10)+C16</f>
        <v>28521.539999999997</v>
      </c>
      <c r="D18" s="691">
        <f t="shared" ref="D18:R18" si="6">SUM(D5:D10)+D16</f>
        <v>1348.8584624999999</v>
      </c>
      <c r="E18" s="691">
        <f t="shared" si="6"/>
        <v>40.857049999999994</v>
      </c>
      <c r="F18" s="691">
        <f t="shared" si="6"/>
        <v>1754.1779374999999</v>
      </c>
      <c r="G18" s="691">
        <f t="shared" si="6"/>
        <v>233.89039166666669</v>
      </c>
      <c r="H18" s="691">
        <f t="shared" si="6"/>
        <v>31299.323841666665</v>
      </c>
      <c r="I18" s="691">
        <f t="shared" si="6"/>
        <v>0</v>
      </c>
      <c r="J18" s="691">
        <f t="shared" si="6"/>
        <v>343715.64</v>
      </c>
      <c r="K18" s="691">
        <f t="shared" si="6"/>
        <v>5844.83</v>
      </c>
      <c r="L18" s="691">
        <f>SUM(L5:L10)+L16</f>
        <v>11211</v>
      </c>
      <c r="M18" s="691">
        <f t="shared" si="6"/>
        <v>150</v>
      </c>
      <c r="N18" s="691">
        <f t="shared" si="6"/>
        <v>21251.969999999998</v>
      </c>
      <c r="O18" s="691">
        <f t="shared" si="6"/>
        <v>16186.30155</v>
      </c>
      <c r="P18" s="691">
        <f t="shared" si="6"/>
        <v>490.28459999999995</v>
      </c>
      <c r="Q18" s="691">
        <f t="shared" si="6"/>
        <v>21050.135249999999</v>
      </c>
      <c r="R18" s="691">
        <f t="shared" si="6"/>
        <v>2806.6847000000002</v>
      </c>
      <c r="S18" s="691">
        <f>SUM(S5:S10)+S16</f>
        <v>422706.84610000002</v>
      </c>
      <c r="T18" s="690"/>
      <c r="V18" s="690"/>
    </row>
    <row r="20" spans="1:22" x14ac:dyDescent="0.2">
      <c r="A20" s="692"/>
      <c r="B20" s="693"/>
      <c r="C20" s="679"/>
      <c r="D20" s="679"/>
      <c r="E20" s="679"/>
      <c r="F20" s="679"/>
      <c r="G20" s="679"/>
      <c r="H20" s="679"/>
      <c r="Q20" s="684" t="s">
        <v>705</v>
      </c>
      <c r="S20" s="684">
        <f>'ING. REALES'!C53/2</f>
        <v>165663.12</v>
      </c>
    </row>
    <row r="22" spans="1:22" x14ac:dyDescent="0.2">
      <c r="Q22" s="684" t="s">
        <v>300</v>
      </c>
      <c r="S22" s="684">
        <f>+S18-S20</f>
        <v>257043.72610000003</v>
      </c>
    </row>
  </sheetData>
  <mergeCells count="6">
    <mergeCell ref="S3:S4"/>
    <mergeCell ref="C3:G3"/>
    <mergeCell ref="H3:H4"/>
    <mergeCell ref="B3:B4"/>
    <mergeCell ref="A3:A4"/>
    <mergeCell ref="J3:R3"/>
  </mergeCells>
  <pageMargins left="0.70866141732283472" right="0.70866141732283472" top="0.74803149606299213" bottom="0.74803149606299213" header="0.31496062992125984" footer="0.31496062992125984"/>
  <pageSetup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K76"/>
  <sheetViews>
    <sheetView showGridLines="0" topLeftCell="A4" zoomScaleNormal="100" workbookViewId="0">
      <pane xSplit="2" ySplit="4" topLeftCell="C24" activePane="bottomRight" state="frozen"/>
      <selection activeCell="A4" sqref="A4"/>
      <selection pane="topRight" activeCell="C4" sqref="C4"/>
      <selection pane="bottomLeft" activeCell="A8" sqref="A8"/>
      <selection pane="bottomRight" activeCell="C73" sqref="C73"/>
    </sheetView>
  </sheetViews>
  <sheetFormatPr baseColWidth="10" defaultRowHeight="12.75" x14ac:dyDescent="0.2"/>
  <cols>
    <col min="1" max="1" width="9.140625" style="170" customWidth="1"/>
    <col min="2" max="2" width="50.85546875" style="170" customWidth="1"/>
    <col min="3" max="4" width="18" style="170" customWidth="1"/>
    <col min="5" max="5" width="14.5703125" style="170" customWidth="1"/>
    <col min="6" max="6" width="13.7109375" style="170" customWidth="1"/>
    <col min="7" max="7" width="14.42578125" style="170" customWidth="1"/>
    <col min="8" max="9" width="13.7109375" style="170" customWidth="1"/>
    <col min="10" max="10" width="13.7109375" style="202" customWidth="1"/>
    <col min="11" max="11" width="13.28515625" style="31" bestFit="1" customWidth="1"/>
    <col min="12" max="16384" width="11.42578125" style="31"/>
  </cols>
  <sheetData>
    <row r="1" spans="1:11" ht="12.75" customHeight="1" x14ac:dyDescent="0.2">
      <c r="A1" s="1054" t="s">
        <v>645</v>
      </c>
      <c r="B1" s="1054"/>
      <c r="C1" s="1054"/>
      <c r="D1" s="1054"/>
      <c r="E1" s="1054"/>
      <c r="F1" s="1054"/>
      <c r="G1" s="1054"/>
      <c r="H1" s="1054"/>
      <c r="I1" s="1054"/>
      <c r="J1" s="1054"/>
    </row>
    <row r="2" spans="1:11" x14ac:dyDescent="0.2">
      <c r="A2" s="1054"/>
      <c r="B2" s="1054"/>
      <c r="C2" s="1054"/>
      <c r="D2" s="1054"/>
      <c r="E2" s="1054"/>
      <c r="F2" s="1054"/>
      <c r="G2" s="1054"/>
      <c r="H2" s="1054"/>
      <c r="I2" s="1054"/>
      <c r="J2" s="1054"/>
    </row>
    <row r="3" spans="1:11" x14ac:dyDescent="0.2">
      <c r="A3" s="1054"/>
      <c r="B3" s="1054"/>
      <c r="C3" s="1054"/>
      <c r="D3" s="1054"/>
      <c r="E3" s="1054"/>
      <c r="F3" s="1054"/>
      <c r="G3" s="1054"/>
      <c r="H3" s="1054"/>
      <c r="I3" s="1054"/>
      <c r="J3" s="1054"/>
    </row>
    <row r="4" spans="1:11" ht="15" customHeight="1" thickBot="1" x14ac:dyDescent="0.25">
      <c r="A4" s="230"/>
      <c r="B4" s="230"/>
      <c r="C4" s="230"/>
      <c r="D4" s="230"/>
      <c r="E4" s="230"/>
      <c r="F4" s="230"/>
      <c r="G4" s="230"/>
      <c r="H4" s="230"/>
      <c r="I4" s="230"/>
      <c r="J4" s="229"/>
    </row>
    <row r="5" spans="1:11" s="170" customFormat="1" ht="12.75" customHeight="1" x14ac:dyDescent="0.2">
      <c r="A5" s="1051" t="s">
        <v>588</v>
      </c>
      <c r="B5" s="1043" t="s">
        <v>103</v>
      </c>
      <c r="C5" s="1061" t="s">
        <v>589</v>
      </c>
      <c r="D5" s="1062"/>
      <c r="E5" s="1062"/>
      <c r="F5" s="1063"/>
      <c r="G5" s="1058" t="s">
        <v>300</v>
      </c>
      <c r="H5" s="1043" t="s">
        <v>486</v>
      </c>
      <c r="I5" s="1048" t="s">
        <v>302</v>
      </c>
      <c r="J5" s="1055" t="s">
        <v>25</v>
      </c>
    </row>
    <row r="6" spans="1:11" s="170" customFormat="1" x14ac:dyDescent="0.2">
      <c r="A6" s="1052"/>
      <c r="B6" s="1044"/>
      <c r="C6" s="1039" t="s">
        <v>0</v>
      </c>
      <c r="D6" s="1040"/>
      <c r="E6" s="1041" t="s">
        <v>440</v>
      </c>
      <c r="F6" s="1064" t="s">
        <v>592</v>
      </c>
      <c r="G6" s="1059"/>
      <c r="H6" s="1044"/>
      <c r="I6" s="1049"/>
      <c r="J6" s="1056"/>
    </row>
    <row r="7" spans="1:11" s="170" customFormat="1" ht="21.75" customHeight="1" thickBot="1" x14ac:dyDescent="0.25">
      <c r="A7" s="1053"/>
      <c r="B7" s="1045"/>
      <c r="C7" s="708" t="s">
        <v>590</v>
      </c>
      <c r="D7" s="707" t="s">
        <v>591</v>
      </c>
      <c r="E7" s="1042"/>
      <c r="F7" s="1065"/>
      <c r="G7" s="1060"/>
      <c r="H7" s="1045"/>
      <c r="I7" s="1050"/>
      <c r="J7" s="1057"/>
    </row>
    <row r="8" spans="1:11" s="170" customFormat="1" x14ac:dyDescent="0.2">
      <c r="A8" s="114">
        <v>11</v>
      </c>
      <c r="B8" s="327" t="s">
        <v>337</v>
      </c>
      <c r="C8" s="336">
        <f>C9</f>
        <v>0</v>
      </c>
      <c r="D8" s="231">
        <f>D9</f>
        <v>0</v>
      </c>
      <c r="E8" s="231">
        <f>E9</f>
        <v>0</v>
      </c>
      <c r="F8" s="337">
        <v>0</v>
      </c>
      <c r="G8" s="331">
        <f>G9</f>
        <v>16665.3</v>
      </c>
      <c r="H8" s="344">
        <f>H9</f>
        <v>0</v>
      </c>
      <c r="I8" s="352">
        <f>I9</f>
        <v>0</v>
      </c>
      <c r="J8" s="348">
        <f>I8+G8</f>
        <v>16665.3</v>
      </c>
    </row>
    <row r="9" spans="1:11" s="170" customFormat="1" x14ac:dyDescent="0.2">
      <c r="A9" s="115">
        <v>118</v>
      </c>
      <c r="B9" s="328" t="s">
        <v>338</v>
      </c>
      <c r="C9" s="338">
        <f>SUM(C10:C16)</f>
        <v>0</v>
      </c>
      <c r="D9" s="232">
        <f>SUM(D10:D16)</f>
        <v>0</v>
      </c>
      <c r="E9" s="232">
        <f>SUM(E10:E16)</f>
        <v>0</v>
      </c>
      <c r="F9" s="339">
        <v>0</v>
      </c>
      <c r="G9" s="332">
        <f>SUM(G10:G16)</f>
        <v>16665.3</v>
      </c>
      <c r="H9" s="345">
        <f>SUM(H10:H16)</f>
        <v>0</v>
      </c>
      <c r="I9" s="353">
        <f>SUM(I10:I16)</f>
        <v>0</v>
      </c>
      <c r="J9" s="349">
        <f>+I9+G9</f>
        <v>16665.3</v>
      </c>
    </row>
    <row r="10" spans="1:11" s="170" customFormat="1" x14ac:dyDescent="0.2">
      <c r="A10" s="103">
        <v>11801</v>
      </c>
      <c r="B10" s="329" t="s">
        <v>549</v>
      </c>
      <c r="C10" s="340">
        <v>0</v>
      </c>
      <c r="D10" s="233">
        <v>0</v>
      </c>
      <c r="E10" s="233">
        <v>0</v>
      </c>
      <c r="F10" s="339">
        <v>0</v>
      </c>
      <c r="G10" s="333">
        <v>3632.4</v>
      </c>
      <c r="H10" s="299">
        <v>0</v>
      </c>
      <c r="I10" s="354">
        <v>0</v>
      </c>
      <c r="J10" s="350">
        <f t="shared" ref="J10:J16" si="0">I10+G10</f>
        <v>3632.4</v>
      </c>
      <c r="K10" s="237"/>
    </row>
    <row r="11" spans="1:11" s="170" customFormat="1" x14ac:dyDescent="0.2">
      <c r="A11" s="103">
        <v>11802</v>
      </c>
      <c r="B11" s="329" t="s">
        <v>550</v>
      </c>
      <c r="C11" s="340">
        <v>0</v>
      </c>
      <c r="D11" s="233">
        <v>0</v>
      </c>
      <c r="E11" s="233">
        <v>0</v>
      </c>
      <c r="F11" s="339">
        <v>0</v>
      </c>
      <c r="G11" s="333">
        <v>1610.64</v>
      </c>
      <c r="H11" s="299">
        <v>0</v>
      </c>
      <c r="I11" s="354">
        <v>0</v>
      </c>
      <c r="J11" s="350">
        <f t="shared" si="0"/>
        <v>1610.64</v>
      </c>
    </row>
    <row r="12" spans="1:11" s="170" customFormat="1" x14ac:dyDescent="0.2">
      <c r="A12" s="103">
        <v>11804</v>
      </c>
      <c r="B12" s="329" t="s">
        <v>551</v>
      </c>
      <c r="C12" s="340">
        <v>0</v>
      </c>
      <c r="D12" s="233">
        <v>0</v>
      </c>
      <c r="E12" s="233">
        <v>0</v>
      </c>
      <c r="F12" s="339">
        <v>0</v>
      </c>
      <c r="G12" s="333">
        <v>9823.92</v>
      </c>
      <c r="H12" s="299">
        <v>0</v>
      </c>
      <c r="I12" s="354">
        <v>0</v>
      </c>
      <c r="J12" s="350">
        <f t="shared" si="0"/>
        <v>9823.92</v>
      </c>
    </row>
    <row r="13" spans="1:11" s="170" customFormat="1" x14ac:dyDescent="0.2">
      <c r="A13" s="103">
        <v>11812</v>
      </c>
      <c r="B13" s="527" t="s">
        <v>552</v>
      </c>
      <c r="C13" s="340">
        <v>0</v>
      </c>
      <c r="D13" s="233">
        <v>0</v>
      </c>
      <c r="E13" s="233">
        <v>0</v>
      </c>
      <c r="F13" s="339">
        <v>0</v>
      </c>
      <c r="G13" s="333">
        <v>411.84</v>
      </c>
      <c r="H13" s="299">
        <v>0</v>
      </c>
      <c r="I13" s="354">
        <v>0</v>
      </c>
      <c r="J13" s="350">
        <f t="shared" si="0"/>
        <v>411.84</v>
      </c>
    </row>
    <row r="14" spans="1:11" s="170" customFormat="1" x14ac:dyDescent="0.2">
      <c r="A14" s="103">
        <v>11816</v>
      </c>
      <c r="B14" s="329" t="s">
        <v>553</v>
      </c>
      <c r="C14" s="340">
        <v>0</v>
      </c>
      <c r="D14" s="233">
        <v>0</v>
      </c>
      <c r="E14" s="233">
        <v>0</v>
      </c>
      <c r="F14" s="339">
        <v>0</v>
      </c>
      <c r="G14" s="333">
        <v>672</v>
      </c>
      <c r="H14" s="299">
        <v>0</v>
      </c>
      <c r="I14" s="354">
        <v>0</v>
      </c>
      <c r="J14" s="350">
        <f t="shared" si="0"/>
        <v>672</v>
      </c>
      <c r="K14" s="526"/>
    </row>
    <row r="15" spans="1:11" s="170" customFormat="1" x14ac:dyDescent="0.2">
      <c r="A15" s="103">
        <v>11818</v>
      </c>
      <c r="B15" s="329" t="s">
        <v>554</v>
      </c>
      <c r="C15" s="340">
        <v>0</v>
      </c>
      <c r="D15" s="233">
        <v>0</v>
      </c>
      <c r="E15" s="233">
        <v>0</v>
      </c>
      <c r="F15" s="339">
        <v>0</v>
      </c>
      <c r="G15" s="333">
        <f>150*3.43</f>
        <v>514.5</v>
      </c>
      <c r="H15" s="299">
        <v>0</v>
      </c>
      <c r="I15" s="354">
        <v>0</v>
      </c>
      <c r="J15" s="350">
        <f t="shared" si="0"/>
        <v>514.5</v>
      </c>
      <c r="K15" s="526"/>
    </row>
    <row r="16" spans="1:11" s="170" customFormat="1" hidden="1" x14ac:dyDescent="0.2">
      <c r="A16" s="103">
        <v>11899</v>
      </c>
      <c r="B16" s="329" t="s">
        <v>555</v>
      </c>
      <c r="C16" s="340"/>
      <c r="D16" s="233"/>
      <c r="E16" s="233"/>
      <c r="F16" s="339"/>
      <c r="G16" s="333"/>
      <c r="H16" s="299"/>
      <c r="I16" s="354"/>
      <c r="J16" s="350">
        <f t="shared" si="0"/>
        <v>0</v>
      </c>
    </row>
    <row r="17" spans="1:10" s="170" customFormat="1" x14ac:dyDescent="0.2">
      <c r="A17" s="115">
        <v>12</v>
      </c>
      <c r="B17" s="328" t="s">
        <v>6</v>
      </c>
      <c r="C17" s="338">
        <f>C18+C31</f>
        <v>0</v>
      </c>
      <c r="D17" s="232">
        <f>D18+D31</f>
        <v>0</v>
      </c>
      <c r="E17" s="232">
        <f>E18+E31</f>
        <v>0</v>
      </c>
      <c r="F17" s="341">
        <v>0</v>
      </c>
      <c r="G17" s="332">
        <f>+G18+G31</f>
        <v>99785.743999999992</v>
      </c>
      <c r="H17" s="345">
        <f>H18+H31</f>
        <v>0</v>
      </c>
      <c r="I17" s="353">
        <f>I18+I31</f>
        <v>0</v>
      </c>
      <c r="J17" s="349">
        <f>+I17+G17</f>
        <v>99785.743999999992</v>
      </c>
    </row>
    <row r="18" spans="1:10" s="170" customFormat="1" x14ac:dyDescent="0.2">
      <c r="A18" s="115">
        <v>121</v>
      </c>
      <c r="B18" s="328" t="s">
        <v>339</v>
      </c>
      <c r="C18" s="338">
        <f>SUM(C21:C29)</f>
        <v>0</v>
      </c>
      <c r="D18" s="232">
        <f>SUM(D21:D29)</f>
        <v>0</v>
      </c>
      <c r="E18" s="232">
        <f>SUM(E21:E29)</f>
        <v>0</v>
      </c>
      <c r="F18" s="341">
        <v>0</v>
      </c>
      <c r="G18" s="332">
        <f>SUM(G19:G30)</f>
        <v>99683.743999999992</v>
      </c>
      <c r="H18" s="345">
        <f>SUM(H21:H29)</f>
        <v>0</v>
      </c>
      <c r="I18" s="353">
        <f>SUM(I21:I29)</f>
        <v>0</v>
      </c>
      <c r="J18" s="349">
        <f t="shared" ref="J18:J45" si="1">I18+G18</f>
        <v>99683.743999999992</v>
      </c>
    </row>
    <row r="19" spans="1:10" s="170" customFormat="1" x14ac:dyDescent="0.2">
      <c r="A19" s="103">
        <v>12105</v>
      </c>
      <c r="B19" s="329" t="s">
        <v>556</v>
      </c>
      <c r="C19" s="340">
        <v>0</v>
      </c>
      <c r="D19" s="233">
        <v>0</v>
      </c>
      <c r="E19" s="233">
        <v>0</v>
      </c>
      <c r="F19" s="339">
        <v>0</v>
      </c>
      <c r="G19" s="333">
        <v>2400</v>
      </c>
      <c r="H19" s="299">
        <v>0</v>
      </c>
      <c r="I19" s="354">
        <v>0</v>
      </c>
      <c r="J19" s="350">
        <f t="shared" si="1"/>
        <v>2400</v>
      </c>
    </row>
    <row r="20" spans="1:10" s="170" customFormat="1" x14ac:dyDescent="0.2">
      <c r="A20" s="103">
        <v>12106</v>
      </c>
      <c r="B20" s="329" t="s">
        <v>557</v>
      </c>
      <c r="C20" s="340">
        <v>0</v>
      </c>
      <c r="D20" s="233">
        <v>0</v>
      </c>
      <c r="E20" s="233">
        <v>0</v>
      </c>
      <c r="F20" s="339">
        <v>0</v>
      </c>
      <c r="G20" s="333">
        <v>200</v>
      </c>
      <c r="H20" s="299">
        <v>0</v>
      </c>
      <c r="I20" s="354">
        <v>0</v>
      </c>
      <c r="J20" s="350">
        <f t="shared" si="1"/>
        <v>200</v>
      </c>
    </row>
    <row r="21" spans="1:10" s="170" customFormat="1" x14ac:dyDescent="0.2">
      <c r="A21" s="103">
        <v>12108</v>
      </c>
      <c r="B21" s="329" t="s">
        <v>558</v>
      </c>
      <c r="C21" s="340">
        <v>0</v>
      </c>
      <c r="D21" s="233">
        <v>0</v>
      </c>
      <c r="E21" s="233">
        <v>0</v>
      </c>
      <c r="F21" s="339">
        <v>0</v>
      </c>
      <c r="G21" s="333">
        <v>1740.12</v>
      </c>
      <c r="H21" s="299">
        <v>0</v>
      </c>
      <c r="I21" s="354">
        <v>0</v>
      </c>
      <c r="J21" s="350">
        <f t="shared" si="1"/>
        <v>1740.12</v>
      </c>
    </row>
    <row r="22" spans="1:10" s="170" customFormat="1" x14ac:dyDescent="0.2">
      <c r="A22" s="103">
        <v>12109</v>
      </c>
      <c r="B22" s="329" t="s">
        <v>559</v>
      </c>
      <c r="C22" s="340">
        <v>0</v>
      </c>
      <c r="D22" s="233">
        <v>0</v>
      </c>
      <c r="E22" s="233">
        <v>0</v>
      </c>
      <c r="F22" s="339">
        <v>0</v>
      </c>
      <c r="G22" s="333">
        <v>5361.12</v>
      </c>
      <c r="H22" s="299">
        <v>0</v>
      </c>
      <c r="I22" s="354">
        <v>0</v>
      </c>
      <c r="J22" s="350">
        <f t="shared" si="1"/>
        <v>5361.12</v>
      </c>
    </row>
    <row r="23" spans="1:10" s="170" customFormat="1" hidden="1" x14ac:dyDescent="0.2">
      <c r="A23" s="103">
        <v>12110</v>
      </c>
      <c r="B23" s="329" t="s">
        <v>560</v>
      </c>
      <c r="C23" s="340">
        <v>0</v>
      </c>
      <c r="D23" s="233">
        <v>0</v>
      </c>
      <c r="E23" s="233">
        <v>0</v>
      </c>
      <c r="F23" s="339">
        <v>0</v>
      </c>
      <c r="G23" s="333"/>
      <c r="H23" s="299">
        <v>0</v>
      </c>
      <c r="I23" s="354">
        <v>0</v>
      </c>
      <c r="J23" s="350">
        <f t="shared" si="1"/>
        <v>0</v>
      </c>
    </row>
    <row r="24" spans="1:10" s="170" customFormat="1" x14ac:dyDescent="0.2">
      <c r="A24" s="103">
        <v>12111</v>
      </c>
      <c r="B24" s="329" t="s">
        <v>561</v>
      </c>
      <c r="C24" s="340">
        <v>0</v>
      </c>
      <c r="D24" s="233">
        <v>0</v>
      </c>
      <c r="E24" s="233">
        <v>0</v>
      </c>
      <c r="F24" s="339">
        <v>0</v>
      </c>
      <c r="G24" s="333">
        <v>800</v>
      </c>
      <c r="H24" s="299">
        <v>0</v>
      </c>
      <c r="I24" s="354">
        <v>0</v>
      </c>
      <c r="J24" s="350">
        <f t="shared" si="1"/>
        <v>800</v>
      </c>
    </row>
    <row r="25" spans="1:10" s="170" customFormat="1" x14ac:dyDescent="0.2">
      <c r="A25" s="103">
        <v>12114</v>
      </c>
      <c r="B25" s="329" t="s">
        <v>562</v>
      </c>
      <c r="C25" s="340">
        <v>0</v>
      </c>
      <c r="D25" s="233">
        <v>0</v>
      </c>
      <c r="E25" s="233">
        <v>0</v>
      </c>
      <c r="F25" s="339">
        <v>0</v>
      </c>
      <c r="G25" s="333">
        <f>(G10+G11+G12+G13+G14+G19+G20+G21+G22+G24+G27+G28+G29+G30+G32+G33+G36+G37+G48)*0.05</f>
        <v>12753.864</v>
      </c>
      <c r="H25" s="299">
        <v>0</v>
      </c>
      <c r="I25" s="354">
        <v>0</v>
      </c>
      <c r="J25" s="350">
        <f t="shared" si="1"/>
        <v>12753.864</v>
      </c>
    </row>
    <row r="26" spans="1:10" s="170" customFormat="1" x14ac:dyDescent="0.2">
      <c r="A26" s="103">
        <v>12115</v>
      </c>
      <c r="B26" s="329" t="s">
        <v>563</v>
      </c>
      <c r="C26" s="340">
        <v>0</v>
      </c>
      <c r="D26" s="233">
        <v>0</v>
      </c>
      <c r="E26" s="233">
        <v>0</v>
      </c>
      <c r="F26" s="339">
        <v>0</v>
      </c>
      <c r="G26" s="333">
        <v>50</v>
      </c>
      <c r="H26" s="299">
        <v>0</v>
      </c>
      <c r="I26" s="354">
        <v>0</v>
      </c>
      <c r="J26" s="350">
        <f t="shared" si="1"/>
        <v>50</v>
      </c>
    </row>
    <row r="27" spans="1:10" s="170" customFormat="1" x14ac:dyDescent="0.2">
      <c r="A27" s="103">
        <v>12117</v>
      </c>
      <c r="B27" s="329" t="s">
        <v>564</v>
      </c>
      <c r="C27" s="340">
        <v>0</v>
      </c>
      <c r="D27" s="233">
        <v>0</v>
      </c>
      <c r="E27" s="233">
        <v>0</v>
      </c>
      <c r="F27" s="339">
        <v>0</v>
      </c>
      <c r="G27" s="333">
        <v>376.56</v>
      </c>
      <c r="H27" s="299">
        <v>0</v>
      </c>
      <c r="I27" s="354">
        <v>0</v>
      </c>
      <c r="J27" s="350">
        <f t="shared" si="1"/>
        <v>376.56</v>
      </c>
    </row>
    <row r="28" spans="1:10" s="170" customFormat="1" x14ac:dyDescent="0.2">
      <c r="A28" s="103">
        <v>12118</v>
      </c>
      <c r="B28" s="329" t="s">
        <v>565</v>
      </c>
      <c r="C28" s="340">
        <v>0</v>
      </c>
      <c r="D28" s="233">
        <v>0</v>
      </c>
      <c r="E28" s="233">
        <v>0</v>
      </c>
      <c r="F28" s="339">
        <v>0</v>
      </c>
      <c r="G28" s="333">
        <f>((502*9.52)+(308*1)+(93*1)+(6*1)+(4*1)+(40*9))*12+(3*238.1)*12</f>
        <v>75172.079999999987</v>
      </c>
      <c r="H28" s="299">
        <v>0</v>
      </c>
      <c r="I28" s="354">
        <v>0</v>
      </c>
      <c r="J28" s="350">
        <f t="shared" si="1"/>
        <v>75172.079999999987</v>
      </c>
    </row>
    <row r="29" spans="1:10" s="170" customFormat="1" x14ac:dyDescent="0.2">
      <c r="A29" s="103">
        <v>12119</v>
      </c>
      <c r="B29" s="329" t="s">
        <v>566</v>
      </c>
      <c r="C29" s="340">
        <v>0</v>
      </c>
      <c r="D29" s="233">
        <v>0</v>
      </c>
      <c r="E29" s="233">
        <v>0</v>
      </c>
      <c r="F29" s="339">
        <v>0</v>
      </c>
      <c r="G29" s="333">
        <v>30</v>
      </c>
      <c r="H29" s="299">
        <v>0</v>
      </c>
      <c r="I29" s="354">
        <v>0</v>
      </c>
      <c r="J29" s="350">
        <f t="shared" si="1"/>
        <v>30</v>
      </c>
    </row>
    <row r="30" spans="1:10" s="170" customFormat="1" x14ac:dyDescent="0.2">
      <c r="A30" s="103">
        <v>12199</v>
      </c>
      <c r="B30" s="329" t="s">
        <v>567</v>
      </c>
      <c r="C30" s="340">
        <v>0</v>
      </c>
      <c r="D30" s="233">
        <v>0</v>
      </c>
      <c r="E30" s="233">
        <v>0</v>
      </c>
      <c r="F30" s="339">
        <v>0</v>
      </c>
      <c r="G30" s="333">
        <v>800</v>
      </c>
      <c r="H30" s="299">
        <v>0</v>
      </c>
      <c r="I30" s="354">
        <v>0</v>
      </c>
      <c r="J30" s="350">
        <f t="shared" si="1"/>
        <v>800</v>
      </c>
    </row>
    <row r="31" spans="1:10" s="170" customFormat="1" x14ac:dyDescent="0.2">
      <c r="A31" s="115">
        <v>122</v>
      </c>
      <c r="B31" s="328" t="s">
        <v>340</v>
      </c>
      <c r="C31" s="338">
        <f>SUM(C32:C33)</f>
        <v>0</v>
      </c>
      <c r="D31" s="232">
        <f>SUM(D32:D33)</f>
        <v>0</v>
      </c>
      <c r="E31" s="232">
        <f>SUM(E32:E33)</f>
        <v>0</v>
      </c>
      <c r="F31" s="341">
        <v>0</v>
      </c>
      <c r="G31" s="332">
        <f>SUM(G32:G33)</f>
        <v>102</v>
      </c>
      <c r="H31" s="345">
        <f>SUM(H32:H33)</f>
        <v>0</v>
      </c>
      <c r="I31" s="353">
        <f>SUM(I32:I33)</f>
        <v>0</v>
      </c>
      <c r="J31" s="349">
        <f t="shared" si="1"/>
        <v>102</v>
      </c>
    </row>
    <row r="32" spans="1:10" s="170" customFormat="1" x14ac:dyDescent="0.2">
      <c r="A32" s="103">
        <v>12210</v>
      </c>
      <c r="B32" s="329" t="s">
        <v>568</v>
      </c>
      <c r="C32" s="340">
        <v>0</v>
      </c>
      <c r="D32" s="233">
        <v>0</v>
      </c>
      <c r="E32" s="233">
        <v>0</v>
      </c>
      <c r="F32" s="339">
        <v>0</v>
      </c>
      <c r="G32" s="333">
        <v>100</v>
      </c>
      <c r="H32" s="299">
        <v>0</v>
      </c>
      <c r="I32" s="354">
        <v>0</v>
      </c>
      <c r="J32" s="350">
        <f t="shared" si="1"/>
        <v>100</v>
      </c>
    </row>
    <row r="33" spans="1:10" s="170" customFormat="1" x14ac:dyDescent="0.2">
      <c r="A33" s="103">
        <v>12211</v>
      </c>
      <c r="B33" s="329" t="s">
        <v>569</v>
      </c>
      <c r="C33" s="340">
        <v>0</v>
      </c>
      <c r="D33" s="233">
        <v>0</v>
      </c>
      <c r="E33" s="233">
        <v>0</v>
      </c>
      <c r="F33" s="339">
        <v>0</v>
      </c>
      <c r="G33" s="333">
        <v>2</v>
      </c>
      <c r="H33" s="299">
        <v>0</v>
      </c>
      <c r="I33" s="354">
        <v>0</v>
      </c>
      <c r="J33" s="350">
        <f t="shared" si="1"/>
        <v>2</v>
      </c>
    </row>
    <row r="34" spans="1:10" s="170" customFormat="1" x14ac:dyDescent="0.2">
      <c r="A34" s="115">
        <v>14</v>
      </c>
      <c r="B34" s="328" t="s">
        <v>8</v>
      </c>
      <c r="C34" s="338">
        <f>C35</f>
        <v>0</v>
      </c>
      <c r="D34" s="232">
        <f>D35</f>
        <v>0</v>
      </c>
      <c r="E34" s="232">
        <f>E35</f>
        <v>0</v>
      </c>
      <c r="F34" s="341">
        <v>0</v>
      </c>
      <c r="G34" s="332">
        <f>+G35</f>
        <v>151944.59999999998</v>
      </c>
      <c r="H34" s="345">
        <f>H35</f>
        <v>0</v>
      </c>
      <c r="I34" s="353">
        <f>I35</f>
        <v>0</v>
      </c>
      <c r="J34" s="349">
        <f t="shared" si="1"/>
        <v>151944.59999999998</v>
      </c>
    </row>
    <row r="35" spans="1:10" s="170" customFormat="1" x14ac:dyDescent="0.2">
      <c r="A35" s="115">
        <v>142</v>
      </c>
      <c r="B35" s="328" t="s">
        <v>460</v>
      </c>
      <c r="C35" s="338">
        <v>0</v>
      </c>
      <c r="D35" s="232">
        <v>0</v>
      </c>
      <c r="E35" s="232">
        <v>0</v>
      </c>
      <c r="F35" s="341">
        <v>0</v>
      </c>
      <c r="G35" s="332">
        <f>SUM(G36:G37)</f>
        <v>151944.59999999998</v>
      </c>
      <c r="H35" s="345">
        <v>0</v>
      </c>
      <c r="I35" s="353">
        <v>0</v>
      </c>
      <c r="J35" s="350">
        <f t="shared" si="1"/>
        <v>151944.59999999998</v>
      </c>
    </row>
    <row r="36" spans="1:10" s="170" customFormat="1" x14ac:dyDescent="0.2">
      <c r="A36" s="103">
        <v>14201</v>
      </c>
      <c r="B36" s="329" t="s">
        <v>570</v>
      </c>
      <c r="C36" s="340">
        <v>0</v>
      </c>
      <c r="D36" s="233">
        <v>0</v>
      </c>
      <c r="E36" s="233">
        <v>0</v>
      </c>
      <c r="F36" s="339">
        <v>0</v>
      </c>
      <c r="G36" s="333">
        <f>(2238*4.76+279*5.23)*12</f>
        <v>145344.59999999998</v>
      </c>
      <c r="H36" s="299">
        <v>0</v>
      </c>
      <c r="I36" s="354">
        <v>0</v>
      </c>
      <c r="J36" s="350">
        <f t="shared" si="1"/>
        <v>145344.59999999998</v>
      </c>
    </row>
    <row r="37" spans="1:10" s="170" customFormat="1" x14ac:dyDescent="0.2">
      <c r="A37" s="103">
        <v>14299</v>
      </c>
      <c r="B37" s="329" t="s">
        <v>571</v>
      </c>
      <c r="C37" s="340">
        <v>0</v>
      </c>
      <c r="D37" s="233">
        <v>0</v>
      </c>
      <c r="E37" s="233">
        <v>0</v>
      </c>
      <c r="F37" s="339">
        <v>0</v>
      </c>
      <c r="G37" s="333">
        <v>6600</v>
      </c>
      <c r="H37" s="299">
        <v>0</v>
      </c>
      <c r="I37" s="354">
        <v>0</v>
      </c>
      <c r="J37" s="350">
        <f t="shared" si="1"/>
        <v>6600</v>
      </c>
    </row>
    <row r="38" spans="1:10" s="170" customFormat="1" x14ac:dyDescent="0.2">
      <c r="A38" s="115">
        <v>15</v>
      </c>
      <c r="B38" s="328" t="s">
        <v>9</v>
      </c>
      <c r="C38" s="338">
        <f>C39</f>
        <v>0</v>
      </c>
      <c r="D38" s="232">
        <f>D39</f>
        <v>0</v>
      </c>
      <c r="E38" s="232">
        <f>E39</f>
        <v>0</v>
      </c>
      <c r="F38" s="341">
        <v>0</v>
      </c>
      <c r="G38" s="332">
        <f>G41+G47+G49</f>
        <v>8708.57</v>
      </c>
      <c r="H38" s="345">
        <f>H39</f>
        <v>0</v>
      </c>
      <c r="I38" s="353">
        <f>I39</f>
        <v>0</v>
      </c>
      <c r="J38" s="349">
        <f t="shared" si="1"/>
        <v>8708.57</v>
      </c>
    </row>
    <row r="39" spans="1:10" s="170" customFormat="1" hidden="1" x14ac:dyDescent="0.2">
      <c r="A39" s="115">
        <v>151</v>
      </c>
      <c r="B39" s="328" t="s">
        <v>10</v>
      </c>
      <c r="C39" s="338">
        <f>SUM(C40)</f>
        <v>0</v>
      </c>
      <c r="D39" s="232">
        <f>SUM(D40)</f>
        <v>0</v>
      </c>
      <c r="E39" s="232">
        <f>SUM(E40)</f>
        <v>0</v>
      </c>
      <c r="F39" s="341">
        <v>0</v>
      </c>
      <c r="G39" s="332">
        <f>SUM(G40)</f>
        <v>0</v>
      </c>
      <c r="H39" s="345">
        <f>SUM(H40)</f>
        <v>0</v>
      </c>
      <c r="I39" s="353">
        <f>SUM(I40)</f>
        <v>0</v>
      </c>
      <c r="J39" s="349">
        <f t="shared" si="1"/>
        <v>0</v>
      </c>
    </row>
    <row r="40" spans="1:10" s="170" customFormat="1" hidden="1" x14ac:dyDescent="0.2">
      <c r="A40" s="103">
        <v>15105</v>
      </c>
      <c r="B40" s="329" t="s">
        <v>572</v>
      </c>
      <c r="C40" s="340"/>
      <c r="D40" s="233"/>
      <c r="E40" s="233"/>
      <c r="F40" s="341">
        <v>0</v>
      </c>
      <c r="G40" s="333"/>
      <c r="H40" s="299"/>
      <c r="I40" s="354"/>
      <c r="J40" s="350">
        <f t="shared" si="1"/>
        <v>0</v>
      </c>
    </row>
    <row r="41" spans="1:10" s="170" customFormat="1" x14ac:dyDescent="0.2">
      <c r="A41" s="115">
        <v>153</v>
      </c>
      <c r="B41" s="328" t="s">
        <v>10</v>
      </c>
      <c r="C41" s="338">
        <f>SUM(C46)</f>
        <v>0</v>
      </c>
      <c r="D41" s="232">
        <f>SUM(D46)</f>
        <v>0</v>
      </c>
      <c r="E41" s="232">
        <f>SUM(E46)</f>
        <v>0</v>
      </c>
      <c r="F41" s="341">
        <v>0</v>
      </c>
      <c r="G41" s="332">
        <f>SUM(G42:G45)</f>
        <v>8508.57</v>
      </c>
      <c r="H41" s="345">
        <f>SUM(H46)</f>
        <v>0</v>
      </c>
      <c r="I41" s="353">
        <f>SUM(I46)</f>
        <v>0</v>
      </c>
      <c r="J41" s="349">
        <f t="shared" si="1"/>
        <v>8508.57</v>
      </c>
    </row>
    <row r="42" spans="1:10" s="170" customFormat="1" x14ac:dyDescent="0.2">
      <c r="A42" s="103">
        <v>15301</v>
      </c>
      <c r="B42" s="329" t="s">
        <v>573</v>
      </c>
      <c r="C42" s="342">
        <v>0</v>
      </c>
      <c r="D42" s="298">
        <v>0</v>
      </c>
      <c r="E42" s="298">
        <v>0</v>
      </c>
      <c r="F42" s="343">
        <v>0</v>
      </c>
      <c r="G42" s="333">
        <v>7000</v>
      </c>
      <c r="H42" s="1016">
        <v>0</v>
      </c>
      <c r="I42" s="1017">
        <v>0</v>
      </c>
      <c r="J42" s="350">
        <f t="shared" si="1"/>
        <v>7000</v>
      </c>
    </row>
    <row r="43" spans="1:10" s="170" customFormat="1" x14ac:dyDescent="0.2">
      <c r="A43" s="103">
        <v>15302</v>
      </c>
      <c r="B43" s="329" t="s">
        <v>574</v>
      </c>
      <c r="C43" s="342">
        <v>0</v>
      </c>
      <c r="D43" s="298">
        <v>0</v>
      </c>
      <c r="E43" s="298">
        <v>0</v>
      </c>
      <c r="F43" s="343">
        <v>0</v>
      </c>
      <c r="G43" s="333">
        <v>1500</v>
      </c>
      <c r="H43" s="1016">
        <v>0</v>
      </c>
      <c r="I43" s="1017">
        <v>0</v>
      </c>
      <c r="J43" s="350">
        <f t="shared" si="1"/>
        <v>1500</v>
      </c>
    </row>
    <row r="44" spans="1:10" s="170" customFormat="1" hidden="1" x14ac:dyDescent="0.2">
      <c r="A44" s="103">
        <v>15310</v>
      </c>
      <c r="B44" s="329" t="s">
        <v>575</v>
      </c>
      <c r="C44" s="342">
        <v>0</v>
      </c>
      <c r="D44" s="298">
        <v>0</v>
      </c>
      <c r="E44" s="298">
        <v>0</v>
      </c>
      <c r="F44" s="343">
        <v>0</v>
      </c>
      <c r="G44" s="333"/>
      <c r="H44" s="345"/>
      <c r="I44" s="353">
        <v>0</v>
      </c>
      <c r="J44" s="350">
        <f t="shared" si="1"/>
        <v>0</v>
      </c>
    </row>
    <row r="45" spans="1:10" s="170" customFormat="1" x14ac:dyDescent="0.2">
      <c r="A45" s="103">
        <v>15312</v>
      </c>
      <c r="B45" s="329" t="s">
        <v>576</v>
      </c>
      <c r="C45" s="342">
        <v>0</v>
      </c>
      <c r="D45" s="298">
        <v>0</v>
      </c>
      <c r="E45" s="298">
        <v>0</v>
      </c>
      <c r="F45" s="343">
        <v>0</v>
      </c>
      <c r="G45" s="333">
        <f>2.86+5.71</f>
        <v>8.57</v>
      </c>
      <c r="H45" s="299"/>
      <c r="I45" s="354">
        <v>0</v>
      </c>
      <c r="J45" s="350">
        <f t="shared" si="1"/>
        <v>8.57</v>
      </c>
    </row>
    <row r="46" spans="1:10" s="170" customFormat="1" ht="13.5" hidden="1" customHeight="1" x14ac:dyDescent="0.2">
      <c r="A46" s="103">
        <v>15314</v>
      </c>
      <c r="B46" s="329" t="s">
        <v>577</v>
      </c>
      <c r="C46" s="340"/>
      <c r="D46" s="233"/>
      <c r="E46" s="233"/>
      <c r="F46" s="339"/>
      <c r="G46" s="333"/>
      <c r="H46" s="299"/>
      <c r="I46" s="354"/>
      <c r="J46" s="350"/>
    </row>
    <row r="47" spans="1:10" s="170" customFormat="1" hidden="1" x14ac:dyDescent="0.2">
      <c r="A47" s="115">
        <v>154</v>
      </c>
      <c r="B47" s="328" t="s">
        <v>441</v>
      </c>
      <c r="C47" s="338">
        <f>SUM(C48)</f>
        <v>0</v>
      </c>
      <c r="D47" s="232">
        <f>SUM(D51)</f>
        <v>0</v>
      </c>
      <c r="E47" s="232">
        <f>SUM(E51)</f>
        <v>0</v>
      </c>
      <c r="F47" s="341">
        <v>0</v>
      </c>
      <c r="G47" s="332">
        <f>SUM(G48)</f>
        <v>0</v>
      </c>
      <c r="H47" s="345">
        <f>SUM(H51)</f>
        <v>0</v>
      </c>
      <c r="I47" s="353">
        <f>SUM(I51)</f>
        <v>0</v>
      </c>
      <c r="J47" s="349">
        <f>I47+G47</f>
        <v>0</v>
      </c>
    </row>
    <row r="48" spans="1:10" s="170" customFormat="1" hidden="1" x14ac:dyDescent="0.2">
      <c r="A48" s="103">
        <v>15402</v>
      </c>
      <c r="B48" s="329" t="s">
        <v>578</v>
      </c>
      <c r="C48" s="342">
        <v>0</v>
      </c>
      <c r="D48" s="298">
        <v>0</v>
      </c>
      <c r="E48" s="298">
        <v>0</v>
      </c>
      <c r="F48" s="343">
        <v>0</v>
      </c>
      <c r="G48" s="333">
        <v>0</v>
      </c>
      <c r="H48" s="345">
        <v>0</v>
      </c>
      <c r="I48" s="353">
        <v>0</v>
      </c>
      <c r="J48" s="350">
        <f>I48+G48</f>
        <v>0</v>
      </c>
    </row>
    <row r="49" spans="1:10" s="170" customFormat="1" x14ac:dyDescent="0.2">
      <c r="A49" s="115">
        <v>157</v>
      </c>
      <c r="B49" s="328" t="s">
        <v>341</v>
      </c>
      <c r="C49" s="338">
        <f>C50</f>
        <v>0</v>
      </c>
      <c r="D49" s="232">
        <f>D50</f>
        <v>0</v>
      </c>
      <c r="E49" s="232">
        <f>E50</f>
        <v>0</v>
      </c>
      <c r="F49" s="341">
        <v>0</v>
      </c>
      <c r="G49" s="332">
        <f>G50</f>
        <v>200</v>
      </c>
      <c r="H49" s="345">
        <f>H50</f>
        <v>0</v>
      </c>
      <c r="I49" s="353">
        <f>I50</f>
        <v>0</v>
      </c>
      <c r="J49" s="349">
        <f>I49+G49</f>
        <v>200</v>
      </c>
    </row>
    <row r="50" spans="1:10" s="170" customFormat="1" x14ac:dyDescent="0.2">
      <c r="A50" s="103">
        <v>15703</v>
      </c>
      <c r="B50" s="329" t="s">
        <v>579</v>
      </c>
      <c r="C50" s="340">
        <v>0</v>
      </c>
      <c r="D50" s="233">
        <v>0</v>
      </c>
      <c r="E50" s="233">
        <v>0</v>
      </c>
      <c r="F50" s="339">
        <v>0</v>
      </c>
      <c r="G50" s="333">
        <v>200</v>
      </c>
      <c r="H50" s="299">
        <v>0</v>
      </c>
      <c r="I50" s="354">
        <v>0</v>
      </c>
      <c r="J50" s="350">
        <f>+I50+G50</f>
        <v>200</v>
      </c>
    </row>
    <row r="51" spans="1:10" s="170" customFormat="1" x14ac:dyDescent="0.2">
      <c r="A51" s="115">
        <v>16</v>
      </c>
      <c r="B51" s="328" t="s">
        <v>96</v>
      </c>
      <c r="C51" s="338">
        <f t="shared" ref="C51:I52" si="2">C52</f>
        <v>331326.24</v>
      </c>
      <c r="D51" s="232">
        <f t="shared" si="2"/>
        <v>0</v>
      </c>
      <c r="E51" s="232">
        <f t="shared" si="2"/>
        <v>0</v>
      </c>
      <c r="F51" s="341">
        <f t="shared" si="2"/>
        <v>331326.24</v>
      </c>
      <c r="G51" s="332">
        <f t="shared" si="2"/>
        <v>0</v>
      </c>
      <c r="H51" s="345">
        <f t="shared" si="2"/>
        <v>0</v>
      </c>
      <c r="I51" s="353">
        <f t="shared" si="2"/>
        <v>0</v>
      </c>
      <c r="J51" s="349">
        <f>G51+F51</f>
        <v>331326.24</v>
      </c>
    </row>
    <row r="52" spans="1:10" s="170" customFormat="1" x14ac:dyDescent="0.2">
      <c r="A52" s="115">
        <v>162</v>
      </c>
      <c r="B52" s="328" t="s">
        <v>342</v>
      </c>
      <c r="C52" s="338">
        <f t="shared" si="2"/>
        <v>331326.24</v>
      </c>
      <c r="D52" s="232">
        <f t="shared" si="2"/>
        <v>0</v>
      </c>
      <c r="E52" s="232">
        <f t="shared" si="2"/>
        <v>0</v>
      </c>
      <c r="F52" s="341">
        <f t="shared" si="2"/>
        <v>331326.24</v>
      </c>
      <c r="G52" s="332">
        <f t="shared" si="2"/>
        <v>0</v>
      </c>
      <c r="H52" s="345">
        <f t="shared" si="2"/>
        <v>0</v>
      </c>
      <c r="I52" s="353">
        <f t="shared" si="2"/>
        <v>0</v>
      </c>
      <c r="J52" s="349">
        <f>J53</f>
        <v>331326.24</v>
      </c>
    </row>
    <row r="53" spans="1:10" s="170" customFormat="1" x14ac:dyDescent="0.2">
      <c r="A53" s="103">
        <v>16201</v>
      </c>
      <c r="B53" s="329" t="s">
        <v>580</v>
      </c>
      <c r="C53" s="340">
        <f>(27610.52*12)</f>
        <v>331326.24</v>
      </c>
      <c r="D53" s="233">
        <v>0</v>
      </c>
      <c r="E53" s="233">
        <v>0</v>
      </c>
      <c r="F53" s="339">
        <f>E53+D53+C53</f>
        <v>331326.24</v>
      </c>
      <c r="G53" s="333">
        <v>0</v>
      </c>
      <c r="H53" s="299"/>
      <c r="I53" s="354">
        <v>0</v>
      </c>
      <c r="J53" s="350">
        <f>G53+F53</f>
        <v>331326.24</v>
      </c>
    </row>
    <row r="54" spans="1:10" s="170" customFormat="1" hidden="1" x14ac:dyDescent="0.2">
      <c r="A54" s="115">
        <v>163</v>
      </c>
      <c r="B54" s="328" t="s">
        <v>581</v>
      </c>
      <c r="C54" s="338">
        <v>0</v>
      </c>
      <c r="D54" s="232">
        <v>0</v>
      </c>
      <c r="E54" s="232">
        <v>0</v>
      </c>
      <c r="F54" s="341">
        <v>0</v>
      </c>
      <c r="G54" s="332">
        <v>0</v>
      </c>
      <c r="H54" s="345">
        <v>0</v>
      </c>
      <c r="I54" s="353">
        <v>0</v>
      </c>
      <c r="J54" s="349">
        <v>0</v>
      </c>
    </row>
    <row r="55" spans="1:10" s="170" customFormat="1" hidden="1" x14ac:dyDescent="0.2">
      <c r="A55" s="103">
        <v>16304</v>
      </c>
      <c r="B55" s="329" t="s">
        <v>582</v>
      </c>
      <c r="C55" s="340">
        <v>0</v>
      </c>
      <c r="D55" s="233">
        <v>0</v>
      </c>
      <c r="E55" s="233">
        <v>0</v>
      </c>
      <c r="F55" s="339">
        <v>0</v>
      </c>
      <c r="G55" s="333">
        <v>0</v>
      </c>
      <c r="H55" s="299">
        <v>0</v>
      </c>
      <c r="I55" s="354">
        <v>0</v>
      </c>
      <c r="J55" s="350">
        <v>0</v>
      </c>
    </row>
    <row r="56" spans="1:10" s="170" customFormat="1" hidden="1" x14ac:dyDescent="0.2">
      <c r="A56" s="115">
        <v>21</v>
      </c>
      <c r="B56" s="328" t="s">
        <v>583</v>
      </c>
      <c r="C56" s="338">
        <v>0</v>
      </c>
      <c r="D56" s="232">
        <v>0</v>
      </c>
      <c r="E56" s="232">
        <v>0</v>
      </c>
      <c r="F56" s="341">
        <v>0</v>
      </c>
      <c r="G56" s="332">
        <f>+G57</f>
        <v>0</v>
      </c>
      <c r="H56" s="299">
        <v>0</v>
      </c>
      <c r="I56" s="353">
        <v>0</v>
      </c>
      <c r="J56" s="349">
        <v>0</v>
      </c>
    </row>
    <row r="57" spans="1:10" s="170" customFormat="1" hidden="1" x14ac:dyDescent="0.2">
      <c r="A57" s="103">
        <v>212</v>
      </c>
      <c r="B57" s="329" t="s">
        <v>584</v>
      </c>
      <c r="C57" s="340">
        <v>0</v>
      </c>
      <c r="D57" s="233">
        <v>0</v>
      </c>
      <c r="E57" s="233">
        <v>0</v>
      </c>
      <c r="F57" s="339">
        <v>0</v>
      </c>
      <c r="G57" s="333">
        <v>0</v>
      </c>
      <c r="H57" s="299">
        <v>0</v>
      </c>
      <c r="I57" s="354">
        <v>0</v>
      </c>
      <c r="J57" s="350">
        <v>0</v>
      </c>
    </row>
    <row r="58" spans="1:10" s="170" customFormat="1" hidden="1" x14ac:dyDescent="0.2">
      <c r="A58" s="103">
        <v>21201</v>
      </c>
      <c r="B58" s="329" t="s">
        <v>585</v>
      </c>
      <c r="C58" s="340">
        <v>0</v>
      </c>
      <c r="D58" s="233">
        <v>0</v>
      </c>
      <c r="E58" s="233">
        <v>0</v>
      </c>
      <c r="F58" s="339">
        <v>0</v>
      </c>
      <c r="G58" s="333">
        <v>0</v>
      </c>
      <c r="H58" s="299">
        <v>0</v>
      </c>
      <c r="I58" s="354">
        <v>0</v>
      </c>
      <c r="J58" s="350">
        <v>0</v>
      </c>
    </row>
    <row r="59" spans="1:10" s="170" customFormat="1" x14ac:dyDescent="0.2">
      <c r="A59" s="115">
        <v>22</v>
      </c>
      <c r="B59" s="328" t="s">
        <v>12</v>
      </c>
      <c r="C59" s="338">
        <f t="shared" ref="C59:J59" si="3">C60</f>
        <v>0</v>
      </c>
      <c r="D59" s="232">
        <f t="shared" si="3"/>
        <v>993978.73</v>
      </c>
      <c r="E59" s="232">
        <f t="shared" si="3"/>
        <v>0</v>
      </c>
      <c r="F59" s="341">
        <f t="shared" si="3"/>
        <v>993978.73</v>
      </c>
      <c r="G59" s="332">
        <f t="shared" si="3"/>
        <v>0</v>
      </c>
      <c r="H59" s="345">
        <f t="shared" si="3"/>
        <v>0</v>
      </c>
      <c r="I59" s="353">
        <f t="shared" si="3"/>
        <v>0</v>
      </c>
      <c r="J59" s="349">
        <f t="shared" si="3"/>
        <v>993978.73</v>
      </c>
    </row>
    <row r="60" spans="1:10" s="170" customFormat="1" x14ac:dyDescent="0.2">
      <c r="A60" s="115">
        <v>222</v>
      </c>
      <c r="B60" s="328" t="s">
        <v>343</v>
      </c>
      <c r="C60" s="338">
        <f t="shared" ref="C60:I60" si="4">C61</f>
        <v>0</v>
      </c>
      <c r="D60" s="232">
        <f t="shared" si="4"/>
        <v>993978.73</v>
      </c>
      <c r="E60" s="232">
        <f t="shared" si="4"/>
        <v>0</v>
      </c>
      <c r="F60" s="341">
        <f t="shared" si="4"/>
        <v>993978.73</v>
      </c>
      <c r="G60" s="332">
        <f t="shared" si="4"/>
        <v>0</v>
      </c>
      <c r="H60" s="345">
        <f t="shared" si="4"/>
        <v>0</v>
      </c>
      <c r="I60" s="353">
        <f t="shared" si="4"/>
        <v>0</v>
      </c>
      <c r="J60" s="349">
        <f>I60+G60+F60</f>
        <v>993978.73</v>
      </c>
    </row>
    <row r="61" spans="1:10" s="170" customFormat="1" x14ac:dyDescent="0.2">
      <c r="A61" s="103">
        <v>22201</v>
      </c>
      <c r="B61" s="329" t="s">
        <v>586</v>
      </c>
      <c r="C61" s="340">
        <v>0</v>
      </c>
      <c r="D61" s="233">
        <f>(82831.56*11)+82831.57</f>
        <v>993978.73</v>
      </c>
      <c r="E61" s="233">
        <v>0</v>
      </c>
      <c r="F61" s="339">
        <f>D61</f>
        <v>993978.73</v>
      </c>
      <c r="G61" s="333">
        <v>0</v>
      </c>
      <c r="H61" s="299"/>
      <c r="I61" s="354">
        <v>0</v>
      </c>
      <c r="J61" s="350">
        <f>+I61+G61+F61+H61</f>
        <v>993978.73</v>
      </c>
    </row>
    <row r="62" spans="1:10" s="170" customFormat="1" hidden="1" x14ac:dyDescent="0.2">
      <c r="A62" s="115">
        <v>31</v>
      </c>
      <c r="B62" s="328" t="s">
        <v>344</v>
      </c>
      <c r="C62" s="338">
        <f t="shared" ref="C62:E63" si="5">C63</f>
        <v>0</v>
      </c>
      <c r="D62" s="232">
        <f t="shared" si="5"/>
        <v>0</v>
      </c>
      <c r="E62" s="232">
        <f t="shared" si="5"/>
        <v>0</v>
      </c>
      <c r="F62" s="341">
        <v>0</v>
      </c>
      <c r="G62" s="332">
        <f t="shared" ref="G62:I63" si="6">G63</f>
        <v>0</v>
      </c>
      <c r="H62" s="345">
        <f t="shared" si="6"/>
        <v>0</v>
      </c>
      <c r="I62" s="353">
        <v>0</v>
      </c>
      <c r="J62" s="349">
        <f>I62+G62</f>
        <v>0</v>
      </c>
    </row>
    <row r="63" spans="1:10" s="170" customFormat="1" hidden="1" x14ac:dyDescent="0.2">
      <c r="A63" s="115">
        <v>313</v>
      </c>
      <c r="B63" s="328" t="s">
        <v>345</v>
      </c>
      <c r="C63" s="338">
        <f t="shared" si="5"/>
        <v>0</v>
      </c>
      <c r="D63" s="232">
        <f t="shared" si="5"/>
        <v>0</v>
      </c>
      <c r="E63" s="232">
        <f t="shared" si="5"/>
        <v>0</v>
      </c>
      <c r="F63" s="341">
        <v>0</v>
      </c>
      <c r="G63" s="332">
        <f t="shared" si="6"/>
        <v>0</v>
      </c>
      <c r="H63" s="345">
        <f t="shared" si="6"/>
        <v>0</v>
      </c>
      <c r="I63" s="353">
        <f t="shared" si="6"/>
        <v>0</v>
      </c>
      <c r="J63" s="350">
        <f>+I63+G63</f>
        <v>0</v>
      </c>
    </row>
    <row r="64" spans="1:10" s="170" customFormat="1" hidden="1" x14ac:dyDescent="0.2">
      <c r="A64" s="103">
        <v>31308</v>
      </c>
      <c r="B64" s="329" t="s">
        <v>239</v>
      </c>
      <c r="C64" s="340">
        <v>0</v>
      </c>
      <c r="D64" s="233">
        <v>0</v>
      </c>
      <c r="E64" s="233">
        <v>0</v>
      </c>
      <c r="F64" s="339">
        <v>0</v>
      </c>
      <c r="G64" s="333">
        <v>0</v>
      </c>
      <c r="H64" s="299">
        <v>0</v>
      </c>
      <c r="I64" s="354">
        <v>0</v>
      </c>
      <c r="J64" s="350">
        <v>0</v>
      </c>
    </row>
    <row r="65" spans="1:11" s="170" customFormat="1" x14ac:dyDescent="0.2">
      <c r="A65" s="115">
        <v>32</v>
      </c>
      <c r="B65" s="328" t="s">
        <v>13</v>
      </c>
      <c r="C65" s="338">
        <f>C66+C68</f>
        <v>29027.170000000002</v>
      </c>
      <c r="D65" s="232">
        <f>D66+D68</f>
        <v>170189.11</v>
      </c>
      <c r="E65" s="232">
        <f>E66</f>
        <v>22906.04</v>
      </c>
      <c r="F65" s="341">
        <f>+F66</f>
        <v>112039.9</v>
      </c>
      <c r="G65" s="332">
        <f>G66+G68</f>
        <v>27745.39</v>
      </c>
      <c r="H65" s="345">
        <f>H66</f>
        <v>0</v>
      </c>
      <c r="I65" s="353">
        <f>I66</f>
        <v>49343.34</v>
      </c>
      <c r="J65" s="349">
        <f>+J66+J68</f>
        <v>299211.05</v>
      </c>
    </row>
    <row r="66" spans="1:11" s="170" customFormat="1" x14ac:dyDescent="0.2">
      <c r="A66" s="115">
        <v>321</v>
      </c>
      <c r="B66" s="328" t="s">
        <v>346</v>
      </c>
      <c r="C66" s="338">
        <f>C67</f>
        <v>1506.56</v>
      </c>
      <c r="D66" s="232">
        <f>+D67</f>
        <v>87627.299999999988</v>
      </c>
      <c r="E66" s="232">
        <f>E67</f>
        <v>22906.04</v>
      </c>
      <c r="F66" s="341">
        <f>+F67</f>
        <v>112039.9</v>
      </c>
      <c r="G66" s="332">
        <f>G67</f>
        <v>181.03</v>
      </c>
      <c r="H66" s="345">
        <f>H67</f>
        <v>0</v>
      </c>
      <c r="I66" s="353">
        <f>I67</f>
        <v>49343.34</v>
      </c>
      <c r="J66" s="349">
        <f>+J67</f>
        <v>161564.26999999999</v>
      </c>
    </row>
    <row r="67" spans="1:11" s="170" customFormat="1" x14ac:dyDescent="0.2">
      <c r="A67" s="103">
        <v>32102</v>
      </c>
      <c r="B67" s="359" t="s">
        <v>621</v>
      </c>
      <c r="C67" s="710">
        <v>1506.56</v>
      </c>
      <c r="D67" s="233">
        <f>69962.51+6749.75+3575.22+140.95+608.85+106.97+6238.4+39.56+140.09+65</f>
        <v>87627.299999999988</v>
      </c>
      <c r="E67" s="233">
        <f>2429.39+20476.65</f>
        <v>22906.04</v>
      </c>
      <c r="F67" s="339">
        <f>+D67+C67+E67</f>
        <v>112039.9</v>
      </c>
      <c r="G67" s="333">
        <v>181.03</v>
      </c>
      <c r="H67" s="299">
        <v>0</v>
      </c>
      <c r="I67" s="354">
        <f>7138.79+18379.56+4611.02+98.78+19115.19</f>
        <v>49343.34</v>
      </c>
      <c r="J67" s="350">
        <f>+I67+G67+F67+H67</f>
        <v>161564.26999999999</v>
      </c>
      <c r="K67" s="237"/>
    </row>
    <row r="68" spans="1:11" s="170" customFormat="1" x14ac:dyDescent="0.2">
      <c r="A68" s="115">
        <v>322</v>
      </c>
      <c r="B68" s="328" t="s">
        <v>347</v>
      </c>
      <c r="C68" s="338">
        <f>C69</f>
        <v>27520.61</v>
      </c>
      <c r="D68" s="232">
        <f>D69</f>
        <v>82561.81</v>
      </c>
      <c r="E68" s="232">
        <f>E69</f>
        <v>0</v>
      </c>
      <c r="F68" s="341">
        <f>+F69</f>
        <v>110082.42</v>
      </c>
      <c r="G68" s="332">
        <f>G69</f>
        <v>27564.36</v>
      </c>
      <c r="H68" s="345">
        <f>H69</f>
        <v>0</v>
      </c>
      <c r="I68" s="353">
        <f>I69</f>
        <v>0</v>
      </c>
      <c r="J68" s="349">
        <f>F68+I68+G68</f>
        <v>137646.78</v>
      </c>
    </row>
    <row r="69" spans="1:11" s="170" customFormat="1" ht="13.5" thickBot="1" x14ac:dyDescent="0.25">
      <c r="A69" s="116">
        <v>32201</v>
      </c>
      <c r="B69" s="330" t="s">
        <v>347</v>
      </c>
      <c r="C69" s="711">
        <v>27520.61</v>
      </c>
      <c r="D69" s="712">
        <v>82561.81</v>
      </c>
      <c r="E69" s="234">
        <v>0</v>
      </c>
      <c r="F69" s="339">
        <f>+D69+C69+E69</f>
        <v>110082.42</v>
      </c>
      <c r="G69" s="740">
        <v>27564.36</v>
      </c>
      <c r="H69" s="346"/>
      <c r="I69" s="355">
        <v>0</v>
      </c>
      <c r="J69" s="350">
        <f>+I69+G69+F69+H69</f>
        <v>137646.78</v>
      </c>
    </row>
    <row r="70" spans="1:11" s="170" customFormat="1" ht="13.5" thickBot="1" x14ac:dyDescent="0.25">
      <c r="A70" s="1046" t="s">
        <v>587</v>
      </c>
      <c r="B70" s="1047"/>
      <c r="C70" s="235">
        <f>C8+C17+C34+C38+C51+C56+C59+C62+C65</f>
        <v>360353.41</v>
      </c>
      <c r="D70" s="235">
        <f>D8+D17+D34+D38+D51+D56+D59+D62+D65</f>
        <v>1164167.8399999999</v>
      </c>
      <c r="E70" s="235">
        <f>E8+E17+E34+E38+E51+E56+E59+E62+E65</f>
        <v>22906.04</v>
      </c>
      <c r="F70" s="235">
        <f>SUM(C70:E70)</f>
        <v>1547427.2899999998</v>
      </c>
      <c r="G70" s="334">
        <f>G65+G38+G34+G17+G8</f>
        <v>304849.60399999993</v>
      </c>
      <c r="H70" s="347">
        <f>H8+H17+H34+H38+H51+H56+H59+H62+H65</f>
        <v>0</v>
      </c>
      <c r="I70" s="235">
        <f>I8+I17+I34+I38+I51+I56+I59+I62+I65</f>
        <v>49343.34</v>
      </c>
      <c r="J70" s="351">
        <f>+J65+J59+J51+J38+J34+J17+J8</f>
        <v>1901620.2339999999</v>
      </c>
    </row>
    <row r="71" spans="1:11" s="170" customFormat="1" ht="13.5" thickBot="1" x14ac:dyDescent="0.25">
      <c r="A71" s="1046" t="s">
        <v>348</v>
      </c>
      <c r="B71" s="1047"/>
      <c r="C71" s="235">
        <f t="shared" ref="C71:J71" si="7">+C70</f>
        <v>360353.41</v>
      </c>
      <c r="D71" s="235">
        <f t="shared" si="7"/>
        <v>1164167.8399999999</v>
      </c>
      <c r="E71" s="235">
        <f t="shared" si="7"/>
        <v>22906.04</v>
      </c>
      <c r="F71" s="235">
        <f t="shared" si="7"/>
        <v>1547427.2899999998</v>
      </c>
      <c r="G71" s="334">
        <f>+G70</f>
        <v>304849.60399999993</v>
      </c>
      <c r="H71" s="347">
        <f>+H70</f>
        <v>0</v>
      </c>
      <c r="I71" s="235">
        <f t="shared" si="7"/>
        <v>49343.34</v>
      </c>
      <c r="J71" s="351">
        <f t="shared" si="7"/>
        <v>1901620.2339999999</v>
      </c>
      <c r="K71" s="297"/>
    </row>
    <row r="72" spans="1:11" x14ac:dyDescent="0.2">
      <c r="D72" s="237"/>
      <c r="G72" s="237"/>
    </row>
    <row r="73" spans="1:11" x14ac:dyDescent="0.2">
      <c r="C73" s="735"/>
      <c r="D73" s="236"/>
      <c r="E73" s="297"/>
      <c r="G73" s="237"/>
      <c r="J73" s="300"/>
      <c r="K73" s="301"/>
    </row>
    <row r="74" spans="1:11" x14ac:dyDescent="0.2">
      <c r="C74" s="237"/>
      <c r="D74" s="237"/>
      <c r="H74" s="1038"/>
      <c r="I74" s="1038"/>
      <c r="J74" s="300"/>
      <c r="K74" s="301"/>
    </row>
    <row r="75" spans="1:11" x14ac:dyDescent="0.2">
      <c r="C75" s="653"/>
      <c r="D75" s="245"/>
      <c r="I75" s="1038"/>
      <c r="J75" s="1038"/>
      <c r="K75" s="302"/>
    </row>
    <row r="76" spans="1:11" x14ac:dyDescent="0.2">
      <c r="J76" s="238"/>
    </row>
  </sheetData>
  <mergeCells count="15">
    <mergeCell ref="A1:J3"/>
    <mergeCell ref="J5:J7"/>
    <mergeCell ref="G5:G7"/>
    <mergeCell ref="C5:F5"/>
    <mergeCell ref="F6:F7"/>
    <mergeCell ref="A70:B70"/>
    <mergeCell ref="A71:B71"/>
    <mergeCell ref="I5:I7"/>
    <mergeCell ref="A5:A7"/>
    <mergeCell ref="B5:B7"/>
    <mergeCell ref="I75:J75"/>
    <mergeCell ref="H74:I74"/>
    <mergeCell ref="C6:D6"/>
    <mergeCell ref="E6:E7"/>
    <mergeCell ref="H5:H7"/>
  </mergeCells>
  <phoneticPr fontId="7" type="noConversion"/>
  <printOptions horizontalCentered="1"/>
  <pageMargins left="0.11811023622047245" right="0.11811023622047245" top="0.55118110236220474" bottom="0.55118110236220474" header="0" footer="0"/>
  <pageSetup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Q75"/>
  <sheetViews>
    <sheetView showGridLines="0" topLeftCell="A5" workbookViewId="0">
      <pane xSplit="3" ySplit="3" topLeftCell="D59" activePane="bottomRight" state="frozen"/>
      <selection activeCell="A5" sqref="A5"/>
      <selection pane="topRight" activeCell="D5" sqref="D5"/>
      <selection pane="bottomLeft" activeCell="A8" sqref="A8"/>
      <selection pane="bottomRight" sqref="A1:P3"/>
    </sheetView>
  </sheetViews>
  <sheetFormatPr baseColWidth="10" defaultRowHeight="12.75" x14ac:dyDescent="0.2"/>
  <cols>
    <col min="1" max="1" width="9.140625" style="170" customWidth="1"/>
    <col min="2" max="2" width="50.85546875" style="170" customWidth="1"/>
    <col min="3" max="3" width="14.85546875" style="170" customWidth="1"/>
    <col min="4" max="15" width="12.5703125" style="170" customWidth="1"/>
    <col min="16" max="16" width="13.5703125" style="170" customWidth="1"/>
    <col min="17" max="18" width="0" style="31" hidden="1" customWidth="1"/>
    <col min="19" max="16384" width="11.42578125" style="31"/>
  </cols>
  <sheetData>
    <row r="1" spans="1:17" ht="12.75" customHeight="1" x14ac:dyDescent="0.2">
      <c r="A1" s="1054" t="s">
        <v>645</v>
      </c>
      <c r="B1" s="1054"/>
      <c r="C1" s="1054"/>
      <c r="D1" s="1054"/>
      <c r="E1" s="1054"/>
      <c r="F1" s="1054"/>
      <c r="G1" s="1054"/>
      <c r="H1" s="1054"/>
      <c r="I1" s="1054"/>
      <c r="J1" s="1054"/>
      <c r="K1" s="1054"/>
      <c r="L1" s="1054"/>
      <c r="M1" s="1054"/>
      <c r="N1" s="1054"/>
      <c r="O1" s="1054"/>
      <c r="P1" s="1054"/>
    </row>
    <row r="2" spans="1:17" x14ac:dyDescent="0.2">
      <c r="A2" s="1054"/>
      <c r="B2" s="1054"/>
      <c r="C2" s="1054"/>
      <c r="D2" s="1054"/>
      <c r="E2" s="1054"/>
      <c r="F2" s="1054"/>
      <c r="G2" s="1054"/>
      <c r="H2" s="1054"/>
      <c r="I2" s="1054"/>
      <c r="J2" s="1054"/>
      <c r="K2" s="1054"/>
      <c r="L2" s="1054"/>
      <c r="M2" s="1054"/>
      <c r="N2" s="1054"/>
      <c r="O2" s="1054"/>
      <c r="P2" s="1054"/>
    </row>
    <row r="3" spans="1:17" x14ac:dyDescent="0.2">
      <c r="A3" s="1054"/>
      <c r="B3" s="1054"/>
      <c r="C3" s="1054"/>
      <c r="D3" s="1054"/>
      <c r="E3" s="1054"/>
      <c r="F3" s="1054"/>
      <c r="G3" s="1054"/>
      <c r="H3" s="1054"/>
      <c r="I3" s="1054"/>
      <c r="J3" s="1054"/>
      <c r="K3" s="1054"/>
      <c r="L3" s="1054"/>
      <c r="M3" s="1054"/>
      <c r="N3" s="1054"/>
      <c r="O3" s="1054"/>
      <c r="P3" s="1054"/>
    </row>
    <row r="4" spans="1:17" ht="15" customHeight="1" thickBot="1" x14ac:dyDescent="0.25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</row>
    <row r="5" spans="1:17" s="170" customFormat="1" ht="12.75" customHeight="1" x14ac:dyDescent="0.2">
      <c r="A5" s="1051" t="s">
        <v>588</v>
      </c>
      <c r="B5" s="1043" t="s">
        <v>103</v>
      </c>
      <c r="C5" s="622" t="s">
        <v>589</v>
      </c>
      <c r="D5" s="623"/>
      <c r="E5" s="623"/>
      <c r="F5" s="623"/>
      <c r="G5" s="623"/>
      <c r="H5" s="623"/>
      <c r="I5" s="623"/>
      <c r="J5" s="623"/>
      <c r="K5" s="623"/>
      <c r="L5" s="623"/>
      <c r="M5" s="623"/>
      <c r="N5" s="623"/>
      <c r="O5" s="623"/>
      <c r="P5" s="623"/>
    </row>
    <row r="6" spans="1:17" s="170" customFormat="1" x14ac:dyDescent="0.2">
      <c r="A6" s="1052"/>
      <c r="B6" s="1044"/>
      <c r="C6" s="620" t="s">
        <v>0</v>
      </c>
      <c r="D6" s="624"/>
      <c r="E6" s="624"/>
      <c r="F6" s="624"/>
      <c r="G6" s="624"/>
      <c r="H6" s="624"/>
      <c r="I6" s="624"/>
      <c r="J6" s="624"/>
      <c r="K6" s="624"/>
      <c r="L6" s="624"/>
      <c r="M6" s="624"/>
      <c r="N6" s="624"/>
      <c r="O6" s="624"/>
      <c r="P6" s="621"/>
    </row>
    <row r="7" spans="1:17" s="170" customFormat="1" ht="21.75" customHeight="1" thickBot="1" x14ac:dyDescent="0.25">
      <c r="A7" s="1053"/>
      <c r="B7" s="1045"/>
      <c r="C7" s="335" t="s">
        <v>298</v>
      </c>
      <c r="D7" s="625" t="s">
        <v>646</v>
      </c>
      <c r="E7" s="625" t="s">
        <v>647</v>
      </c>
      <c r="F7" s="625" t="s">
        <v>648</v>
      </c>
      <c r="G7" s="625" t="s">
        <v>649</v>
      </c>
      <c r="H7" s="625" t="s">
        <v>650</v>
      </c>
      <c r="I7" s="625" t="s">
        <v>651</v>
      </c>
      <c r="J7" s="625" t="s">
        <v>652</v>
      </c>
      <c r="K7" s="625" t="s">
        <v>653</v>
      </c>
      <c r="L7" s="625" t="s">
        <v>654</v>
      </c>
      <c r="M7" s="625" t="s">
        <v>655</v>
      </c>
      <c r="N7" s="625" t="s">
        <v>656</v>
      </c>
      <c r="O7" s="625" t="s">
        <v>657</v>
      </c>
      <c r="P7" s="617" t="s">
        <v>25</v>
      </c>
    </row>
    <row r="8" spans="1:17" s="170" customFormat="1" x14ac:dyDescent="0.2">
      <c r="A8" s="114">
        <v>11</v>
      </c>
      <c r="B8" s="327" t="s">
        <v>337</v>
      </c>
      <c r="C8" s="627">
        <f>C9</f>
        <v>16665.3</v>
      </c>
      <c r="D8" s="331">
        <f>D9</f>
        <v>1388.7749999999999</v>
      </c>
      <c r="E8" s="331">
        <f t="shared" ref="E8:O8" si="0">E9</f>
        <v>1388.7749999999999</v>
      </c>
      <c r="F8" s="331">
        <f t="shared" si="0"/>
        <v>1388.7749999999999</v>
      </c>
      <c r="G8" s="331">
        <f t="shared" si="0"/>
        <v>1388.7749999999999</v>
      </c>
      <c r="H8" s="331">
        <f t="shared" si="0"/>
        <v>1388.7749999999999</v>
      </c>
      <c r="I8" s="331">
        <f t="shared" si="0"/>
        <v>1388.7749999999999</v>
      </c>
      <c r="J8" s="331">
        <f t="shared" si="0"/>
        <v>1388.7749999999999</v>
      </c>
      <c r="K8" s="331">
        <f t="shared" si="0"/>
        <v>1388.7749999999999</v>
      </c>
      <c r="L8" s="331">
        <f t="shared" si="0"/>
        <v>1388.7749999999999</v>
      </c>
      <c r="M8" s="331">
        <f t="shared" si="0"/>
        <v>1388.7749999999999</v>
      </c>
      <c r="N8" s="331">
        <f t="shared" si="0"/>
        <v>1388.7749999999999</v>
      </c>
      <c r="O8" s="331">
        <f t="shared" si="0"/>
        <v>1388.7749999999999</v>
      </c>
      <c r="P8" s="231">
        <f>P9</f>
        <v>16665.3</v>
      </c>
      <c r="Q8" s="297">
        <f>C8-P8</f>
        <v>0</v>
      </c>
    </row>
    <row r="9" spans="1:17" s="170" customFormat="1" x14ac:dyDescent="0.2">
      <c r="A9" s="115">
        <v>118</v>
      </c>
      <c r="B9" s="328" t="s">
        <v>338</v>
      </c>
      <c r="C9" s="353">
        <f>SUM(C10:C16)</f>
        <v>16665.3</v>
      </c>
      <c r="D9" s="332">
        <f t="shared" ref="D9:O9" si="1">SUM(D10:D16)</f>
        <v>1388.7749999999999</v>
      </c>
      <c r="E9" s="332">
        <f t="shared" si="1"/>
        <v>1388.7749999999999</v>
      </c>
      <c r="F9" s="332">
        <f t="shared" si="1"/>
        <v>1388.7749999999999</v>
      </c>
      <c r="G9" s="332">
        <f t="shared" si="1"/>
        <v>1388.7749999999999</v>
      </c>
      <c r="H9" s="332">
        <f t="shared" si="1"/>
        <v>1388.7749999999999</v>
      </c>
      <c r="I9" s="332">
        <f t="shared" si="1"/>
        <v>1388.7749999999999</v>
      </c>
      <c r="J9" s="332">
        <f t="shared" si="1"/>
        <v>1388.7749999999999</v>
      </c>
      <c r="K9" s="332">
        <f t="shared" si="1"/>
        <v>1388.7749999999999</v>
      </c>
      <c r="L9" s="332">
        <f t="shared" si="1"/>
        <v>1388.7749999999999</v>
      </c>
      <c r="M9" s="332">
        <f t="shared" si="1"/>
        <v>1388.7749999999999</v>
      </c>
      <c r="N9" s="332">
        <f t="shared" si="1"/>
        <v>1388.7749999999999</v>
      </c>
      <c r="O9" s="332">
        <f t="shared" si="1"/>
        <v>1388.7749999999999</v>
      </c>
      <c r="P9" s="232">
        <f>SUM(P10:P16)</f>
        <v>16665.3</v>
      </c>
      <c r="Q9" s="297">
        <f t="shared" ref="Q9:Q71" si="2">C9-P9</f>
        <v>0</v>
      </c>
    </row>
    <row r="10" spans="1:17" s="170" customFormat="1" x14ac:dyDescent="0.2">
      <c r="A10" s="103">
        <v>11801</v>
      </c>
      <c r="B10" s="329" t="s">
        <v>549</v>
      </c>
      <c r="C10" s="354">
        <v>3632.4</v>
      </c>
      <c r="D10" s="333">
        <f>$C10/12</f>
        <v>302.7</v>
      </c>
      <c r="E10" s="333">
        <f t="shared" ref="E10:O15" si="3">$C10/12</f>
        <v>302.7</v>
      </c>
      <c r="F10" s="333">
        <f t="shared" si="3"/>
        <v>302.7</v>
      </c>
      <c r="G10" s="333">
        <f t="shared" si="3"/>
        <v>302.7</v>
      </c>
      <c r="H10" s="333">
        <f t="shared" si="3"/>
        <v>302.7</v>
      </c>
      <c r="I10" s="333">
        <f t="shared" si="3"/>
        <v>302.7</v>
      </c>
      <c r="J10" s="333">
        <f t="shared" si="3"/>
        <v>302.7</v>
      </c>
      <c r="K10" s="333">
        <f t="shared" si="3"/>
        <v>302.7</v>
      </c>
      <c r="L10" s="333">
        <f t="shared" si="3"/>
        <v>302.7</v>
      </c>
      <c r="M10" s="333">
        <f t="shared" si="3"/>
        <v>302.7</v>
      </c>
      <c r="N10" s="333">
        <f t="shared" si="3"/>
        <v>302.7</v>
      </c>
      <c r="O10" s="333">
        <f t="shared" si="3"/>
        <v>302.7</v>
      </c>
      <c r="P10" s="233">
        <f>SUM(D10:O10)</f>
        <v>3632.3999999999992</v>
      </c>
      <c r="Q10" s="297">
        <f t="shared" si="2"/>
        <v>0</v>
      </c>
    </row>
    <row r="11" spans="1:17" s="170" customFormat="1" x14ac:dyDescent="0.2">
      <c r="A11" s="103">
        <v>11802</v>
      </c>
      <c r="B11" s="329" t="s">
        <v>550</v>
      </c>
      <c r="C11" s="354">
        <v>1610.64</v>
      </c>
      <c r="D11" s="333">
        <f t="shared" ref="D11:D15" si="4">$C11/12</f>
        <v>134.22</v>
      </c>
      <c r="E11" s="333">
        <f t="shared" si="3"/>
        <v>134.22</v>
      </c>
      <c r="F11" s="333">
        <f t="shared" si="3"/>
        <v>134.22</v>
      </c>
      <c r="G11" s="333">
        <f t="shared" si="3"/>
        <v>134.22</v>
      </c>
      <c r="H11" s="333">
        <f t="shared" si="3"/>
        <v>134.22</v>
      </c>
      <c r="I11" s="333">
        <f t="shared" si="3"/>
        <v>134.22</v>
      </c>
      <c r="J11" s="333">
        <f t="shared" si="3"/>
        <v>134.22</v>
      </c>
      <c r="K11" s="333">
        <f t="shared" si="3"/>
        <v>134.22</v>
      </c>
      <c r="L11" s="333">
        <f t="shared" si="3"/>
        <v>134.22</v>
      </c>
      <c r="M11" s="333">
        <f t="shared" si="3"/>
        <v>134.22</v>
      </c>
      <c r="N11" s="333">
        <f t="shared" si="3"/>
        <v>134.22</v>
      </c>
      <c r="O11" s="333">
        <f t="shared" si="3"/>
        <v>134.22</v>
      </c>
      <c r="P11" s="233">
        <f t="shared" ref="P11:P15" si="5">SUM(D11:O11)</f>
        <v>1610.64</v>
      </c>
      <c r="Q11" s="297">
        <f t="shared" si="2"/>
        <v>0</v>
      </c>
    </row>
    <row r="12" spans="1:17" s="170" customFormat="1" x14ac:dyDescent="0.2">
      <c r="A12" s="103">
        <v>11804</v>
      </c>
      <c r="B12" s="329" t="s">
        <v>551</v>
      </c>
      <c r="C12" s="354">
        <v>9823.92</v>
      </c>
      <c r="D12" s="333">
        <f t="shared" si="4"/>
        <v>818.66</v>
      </c>
      <c r="E12" s="333">
        <f t="shared" si="3"/>
        <v>818.66</v>
      </c>
      <c r="F12" s="333">
        <f t="shared" si="3"/>
        <v>818.66</v>
      </c>
      <c r="G12" s="333">
        <f t="shared" si="3"/>
        <v>818.66</v>
      </c>
      <c r="H12" s="333">
        <f t="shared" si="3"/>
        <v>818.66</v>
      </c>
      <c r="I12" s="333">
        <f t="shared" si="3"/>
        <v>818.66</v>
      </c>
      <c r="J12" s="333">
        <f t="shared" si="3"/>
        <v>818.66</v>
      </c>
      <c r="K12" s="333">
        <f t="shared" si="3"/>
        <v>818.66</v>
      </c>
      <c r="L12" s="333">
        <f t="shared" si="3"/>
        <v>818.66</v>
      </c>
      <c r="M12" s="333">
        <f t="shared" si="3"/>
        <v>818.66</v>
      </c>
      <c r="N12" s="333">
        <f t="shared" si="3"/>
        <v>818.66</v>
      </c>
      <c r="O12" s="333">
        <f t="shared" si="3"/>
        <v>818.66</v>
      </c>
      <c r="P12" s="233">
        <f t="shared" si="5"/>
        <v>9823.92</v>
      </c>
      <c r="Q12" s="297">
        <f t="shared" si="2"/>
        <v>0</v>
      </c>
    </row>
    <row r="13" spans="1:17" s="170" customFormat="1" x14ac:dyDescent="0.2">
      <c r="A13" s="103">
        <v>11812</v>
      </c>
      <c r="B13" s="527" t="s">
        <v>552</v>
      </c>
      <c r="C13" s="354">
        <v>411.84</v>
      </c>
      <c r="D13" s="333">
        <f t="shared" si="4"/>
        <v>34.32</v>
      </c>
      <c r="E13" s="333">
        <f t="shared" si="3"/>
        <v>34.32</v>
      </c>
      <c r="F13" s="333">
        <f t="shared" si="3"/>
        <v>34.32</v>
      </c>
      <c r="G13" s="333">
        <f t="shared" si="3"/>
        <v>34.32</v>
      </c>
      <c r="H13" s="333">
        <f t="shared" si="3"/>
        <v>34.32</v>
      </c>
      <c r="I13" s="333">
        <f t="shared" si="3"/>
        <v>34.32</v>
      </c>
      <c r="J13" s="333">
        <f t="shared" si="3"/>
        <v>34.32</v>
      </c>
      <c r="K13" s="333">
        <f t="shared" si="3"/>
        <v>34.32</v>
      </c>
      <c r="L13" s="333">
        <f t="shared" si="3"/>
        <v>34.32</v>
      </c>
      <c r="M13" s="333">
        <f t="shared" si="3"/>
        <v>34.32</v>
      </c>
      <c r="N13" s="333">
        <f t="shared" si="3"/>
        <v>34.32</v>
      </c>
      <c r="O13" s="333">
        <f t="shared" si="3"/>
        <v>34.32</v>
      </c>
      <c r="P13" s="233">
        <f t="shared" si="5"/>
        <v>411.84</v>
      </c>
      <c r="Q13" s="297">
        <f t="shared" si="2"/>
        <v>0</v>
      </c>
    </row>
    <row r="14" spans="1:17" s="170" customFormat="1" x14ac:dyDescent="0.2">
      <c r="A14" s="103">
        <v>11816</v>
      </c>
      <c r="B14" s="329" t="s">
        <v>553</v>
      </c>
      <c r="C14" s="354">
        <v>672</v>
      </c>
      <c r="D14" s="333">
        <f t="shared" si="4"/>
        <v>56</v>
      </c>
      <c r="E14" s="333">
        <f t="shared" si="3"/>
        <v>56</v>
      </c>
      <c r="F14" s="333">
        <f t="shared" si="3"/>
        <v>56</v>
      </c>
      <c r="G14" s="333">
        <f t="shared" si="3"/>
        <v>56</v>
      </c>
      <c r="H14" s="333">
        <f t="shared" si="3"/>
        <v>56</v>
      </c>
      <c r="I14" s="333">
        <f t="shared" si="3"/>
        <v>56</v>
      </c>
      <c r="J14" s="333">
        <f t="shared" si="3"/>
        <v>56</v>
      </c>
      <c r="K14" s="333">
        <f t="shared" si="3"/>
        <v>56</v>
      </c>
      <c r="L14" s="333">
        <f t="shared" si="3"/>
        <v>56</v>
      </c>
      <c r="M14" s="333">
        <f t="shared" si="3"/>
        <v>56</v>
      </c>
      <c r="N14" s="333">
        <f t="shared" si="3"/>
        <v>56</v>
      </c>
      <c r="O14" s="333">
        <f t="shared" si="3"/>
        <v>56</v>
      </c>
      <c r="P14" s="233">
        <f t="shared" si="5"/>
        <v>672</v>
      </c>
      <c r="Q14" s="297">
        <f t="shared" si="2"/>
        <v>0</v>
      </c>
    </row>
    <row r="15" spans="1:17" s="170" customFormat="1" x14ac:dyDescent="0.2">
      <c r="A15" s="103">
        <v>11818</v>
      </c>
      <c r="B15" s="329" t="s">
        <v>554</v>
      </c>
      <c r="C15" s="354">
        <v>514.5</v>
      </c>
      <c r="D15" s="333">
        <f t="shared" si="4"/>
        <v>42.875</v>
      </c>
      <c r="E15" s="333">
        <f t="shared" si="3"/>
        <v>42.875</v>
      </c>
      <c r="F15" s="333">
        <f t="shared" si="3"/>
        <v>42.875</v>
      </c>
      <c r="G15" s="333">
        <f t="shared" si="3"/>
        <v>42.875</v>
      </c>
      <c r="H15" s="333">
        <f t="shared" si="3"/>
        <v>42.875</v>
      </c>
      <c r="I15" s="333">
        <f t="shared" si="3"/>
        <v>42.875</v>
      </c>
      <c r="J15" s="333">
        <f t="shared" si="3"/>
        <v>42.875</v>
      </c>
      <c r="K15" s="333">
        <f t="shared" si="3"/>
        <v>42.875</v>
      </c>
      <c r="L15" s="333">
        <f t="shared" si="3"/>
        <v>42.875</v>
      </c>
      <c r="M15" s="333">
        <f t="shared" si="3"/>
        <v>42.875</v>
      </c>
      <c r="N15" s="333">
        <f t="shared" si="3"/>
        <v>42.875</v>
      </c>
      <c r="O15" s="333">
        <f t="shared" si="3"/>
        <v>42.875</v>
      </c>
      <c r="P15" s="233">
        <f t="shared" si="5"/>
        <v>514.5</v>
      </c>
      <c r="Q15" s="297">
        <f t="shared" si="2"/>
        <v>0</v>
      </c>
    </row>
    <row r="16" spans="1:17" s="170" customFormat="1" x14ac:dyDescent="0.2">
      <c r="A16" s="103">
        <v>11899</v>
      </c>
      <c r="B16" s="329" t="s">
        <v>555</v>
      </c>
      <c r="C16" s="354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233"/>
      <c r="Q16" s="297">
        <f t="shared" si="2"/>
        <v>0</v>
      </c>
    </row>
    <row r="17" spans="1:17" s="170" customFormat="1" x14ac:dyDescent="0.2">
      <c r="A17" s="115">
        <v>12</v>
      </c>
      <c r="B17" s="328" t="s">
        <v>6</v>
      </c>
      <c r="C17" s="353">
        <f>+C18+C31</f>
        <v>99785.743999999992</v>
      </c>
      <c r="D17" s="338">
        <f t="shared" ref="D17:P17" si="6">+D18+D31</f>
        <v>2042.6386666666667</v>
      </c>
      <c r="E17" s="232">
        <f t="shared" si="6"/>
        <v>20853.65866666667</v>
      </c>
      <c r="F17" s="232">
        <f t="shared" si="6"/>
        <v>2042.6386666666667</v>
      </c>
      <c r="G17" s="232">
        <f t="shared" si="6"/>
        <v>2042.6386666666667</v>
      </c>
      <c r="H17" s="232">
        <f t="shared" si="6"/>
        <v>20817.65866666667</v>
      </c>
      <c r="I17" s="232">
        <f t="shared" si="6"/>
        <v>2042.6386666666667</v>
      </c>
      <c r="J17" s="232">
        <f t="shared" si="6"/>
        <v>2042.6386666666667</v>
      </c>
      <c r="K17" s="232">
        <f t="shared" si="6"/>
        <v>20853.65866666667</v>
      </c>
      <c r="L17" s="232">
        <f t="shared" si="6"/>
        <v>2042.6386666666667</v>
      </c>
      <c r="M17" s="232">
        <f t="shared" si="6"/>
        <v>2042.6386666666667</v>
      </c>
      <c r="N17" s="232">
        <f t="shared" si="6"/>
        <v>20817.65866666667</v>
      </c>
      <c r="O17" s="232">
        <f t="shared" si="6"/>
        <v>2144.6386666666667</v>
      </c>
      <c r="P17" s="232">
        <f t="shared" si="6"/>
        <v>99785.744000000006</v>
      </c>
      <c r="Q17" s="297">
        <f t="shared" si="2"/>
        <v>0</v>
      </c>
    </row>
    <row r="18" spans="1:17" s="170" customFormat="1" x14ac:dyDescent="0.2">
      <c r="A18" s="115">
        <v>121</v>
      </c>
      <c r="B18" s="328" t="s">
        <v>339</v>
      </c>
      <c r="C18" s="353">
        <f>SUM(C19:C30)</f>
        <v>99683.743999999992</v>
      </c>
      <c r="D18" s="338">
        <f t="shared" ref="D18:P18" si="7">SUM(D19:D30)</f>
        <v>2042.6386666666667</v>
      </c>
      <c r="E18" s="232">
        <f t="shared" si="7"/>
        <v>20853.65866666667</v>
      </c>
      <c r="F18" s="232">
        <f t="shared" si="7"/>
        <v>2042.6386666666667</v>
      </c>
      <c r="G18" s="232">
        <f t="shared" si="7"/>
        <v>2042.6386666666667</v>
      </c>
      <c r="H18" s="232">
        <f t="shared" si="7"/>
        <v>20817.65866666667</v>
      </c>
      <c r="I18" s="232">
        <f t="shared" si="7"/>
        <v>2042.6386666666667</v>
      </c>
      <c r="J18" s="232">
        <f t="shared" si="7"/>
        <v>2042.6386666666667</v>
      </c>
      <c r="K18" s="232">
        <f t="shared" si="7"/>
        <v>20853.65866666667</v>
      </c>
      <c r="L18" s="232">
        <f t="shared" si="7"/>
        <v>2042.6386666666667</v>
      </c>
      <c r="M18" s="232">
        <f t="shared" si="7"/>
        <v>2042.6386666666667</v>
      </c>
      <c r="N18" s="232">
        <f t="shared" si="7"/>
        <v>20817.65866666667</v>
      </c>
      <c r="O18" s="232">
        <f t="shared" si="7"/>
        <v>2042.6386666666667</v>
      </c>
      <c r="P18" s="232">
        <f t="shared" si="7"/>
        <v>99683.744000000006</v>
      </c>
      <c r="Q18" s="297">
        <f t="shared" si="2"/>
        <v>0</v>
      </c>
    </row>
    <row r="19" spans="1:17" s="170" customFormat="1" x14ac:dyDescent="0.2">
      <c r="A19" s="103">
        <v>12105</v>
      </c>
      <c r="B19" s="329" t="s">
        <v>556</v>
      </c>
      <c r="C19" s="354">
        <v>2400</v>
      </c>
      <c r="D19" s="333">
        <f t="shared" ref="D19:O30" si="8">$C19/12</f>
        <v>200</v>
      </c>
      <c r="E19" s="333">
        <f t="shared" si="8"/>
        <v>200</v>
      </c>
      <c r="F19" s="333">
        <f t="shared" si="8"/>
        <v>200</v>
      </c>
      <c r="G19" s="333">
        <f t="shared" si="8"/>
        <v>200</v>
      </c>
      <c r="H19" s="333">
        <f t="shared" si="8"/>
        <v>200</v>
      </c>
      <c r="I19" s="333">
        <f t="shared" si="8"/>
        <v>200</v>
      </c>
      <c r="J19" s="333">
        <f t="shared" si="8"/>
        <v>200</v>
      </c>
      <c r="K19" s="333">
        <f t="shared" si="8"/>
        <v>200</v>
      </c>
      <c r="L19" s="333">
        <f t="shared" si="8"/>
        <v>200</v>
      </c>
      <c r="M19" s="333">
        <f t="shared" si="8"/>
        <v>200</v>
      </c>
      <c r="N19" s="333">
        <f t="shared" si="8"/>
        <v>200</v>
      </c>
      <c r="O19" s="333">
        <f t="shared" si="8"/>
        <v>200</v>
      </c>
      <c r="P19" s="233">
        <f t="shared" ref="P19:P33" si="9">SUM(D19:O19)</f>
        <v>2400</v>
      </c>
      <c r="Q19" s="297">
        <f t="shared" si="2"/>
        <v>0</v>
      </c>
    </row>
    <row r="20" spans="1:17" s="170" customFormat="1" x14ac:dyDescent="0.2">
      <c r="A20" s="103">
        <v>12106</v>
      </c>
      <c r="B20" s="329" t="s">
        <v>557</v>
      </c>
      <c r="C20" s="354">
        <v>200</v>
      </c>
      <c r="D20" s="333">
        <f t="shared" si="8"/>
        <v>16.666666666666668</v>
      </c>
      <c r="E20" s="333">
        <f t="shared" si="8"/>
        <v>16.666666666666668</v>
      </c>
      <c r="F20" s="333">
        <f t="shared" si="8"/>
        <v>16.666666666666668</v>
      </c>
      <c r="G20" s="333">
        <f t="shared" si="8"/>
        <v>16.666666666666668</v>
      </c>
      <c r="H20" s="333">
        <f t="shared" si="8"/>
        <v>16.666666666666668</v>
      </c>
      <c r="I20" s="333">
        <f t="shared" si="8"/>
        <v>16.666666666666668</v>
      </c>
      <c r="J20" s="333">
        <f t="shared" si="8"/>
        <v>16.666666666666668</v>
      </c>
      <c r="K20" s="333">
        <f t="shared" si="8"/>
        <v>16.666666666666668</v>
      </c>
      <c r="L20" s="333">
        <f t="shared" si="8"/>
        <v>16.666666666666668</v>
      </c>
      <c r="M20" s="333">
        <f t="shared" si="8"/>
        <v>16.666666666666668</v>
      </c>
      <c r="N20" s="333">
        <f t="shared" si="8"/>
        <v>16.666666666666668</v>
      </c>
      <c r="O20" s="333">
        <f t="shared" si="8"/>
        <v>16.666666666666668</v>
      </c>
      <c r="P20" s="233">
        <f t="shared" si="9"/>
        <v>199.99999999999997</v>
      </c>
      <c r="Q20" s="297">
        <f t="shared" si="2"/>
        <v>0</v>
      </c>
    </row>
    <row r="21" spans="1:17" s="170" customFormat="1" x14ac:dyDescent="0.2">
      <c r="A21" s="103">
        <v>12108</v>
      </c>
      <c r="B21" s="329" t="s">
        <v>558</v>
      </c>
      <c r="C21" s="354">
        <v>1740.12</v>
      </c>
      <c r="D21" s="333">
        <f t="shared" si="8"/>
        <v>145.01</v>
      </c>
      <c r="E21" s="333">
        <f t="shared" si="8"/>
        <v>145.01</v>
      </c>
      <c r="F21" s="333">
        <f t="shared" si="8"/>
        <v>145.01</v>
      </c>
      <c r="G21" s="333">
        <f t="shared" si="8"/>
        <v>145.01</v>
      </c>
      <c r="H21" s="333">
        <f t="shared" si="8"/>
        <v>145.01</v>
      </c>
      <c r="I21" s="333">
        <f t="shared" si="8"/>
        <v>145.01</v>
      </c>
      <c r="J21" s="333">
        <f t="shared" si="8"/>
        <v>145.01</v>
      </c>
      <c r="K21" s="333">
        <f t="shared" si="8"/>
        <v>145.01</v>
      </c>
      <c r="L21" s="333">
        <f t="shared" si="8"/>
        <v>145.01</v>
      </c>
      <c r="M21" s="333">
        <f t="shared" si="8"/>
        <v>145.01</v>
      </c>
      <c r="N21" s="333">
        <f t="shared" si="8"/>
        <v>145.01</v>
      </c>
      <c r="O21" s="333">
        <f t="shared" si="8"/>
        <v>145.01</v>
      </c>
      <c r="P21" s="233">
        <f t="shared" si="9"/>
        <v>1740.12</v>
      </c>
      <c r="Q21" s="297">
        <f t="shared" si="2"/>
        <v>0</v>
      </c>
    </row>
    <row r="22" spans="1:17" s="170" customFormat="1" x14ac:dyDescent="0.2">
      <c r="A22" s="103">
        <v>12109</v>
      </c>
      <c r="B22" s="329" t="s">
        <v>559</v>
      </c>
      <c r="C22" s="354">
        <v>5361.12</v>
      </c>
      <c r="D22" s="333">
        <f t="shared" si="8"/>
        <v>446.76</v>
      </c>
      <c r="E22" s="333">
        <f t="shared" si="8"/>
        <v>446.76</v>
      </c>
      <c r="F22" s="333">
        <f t="shared" si="8"/>
        <v>446.76</v>
      </c>
      <c r="G22" s="333">
        <f t="shared" si="8"/>
        <v>446.76</v>
      </c>
      <c r="H22" s="333">
        <f t="shared" si="8"/>
        <v>446.76</v>
      </c>
      <c r="I22" s="333">
        <f t="shared" si="8"/>
        <v>446.76</v>
      </c>
      <c r="J22" s="333">
        <f t="shared" si="8"/>
        <v>446.76</v>
      </c>
      <c r="K22" s="333">
        <f t="shared" si="8"/>
        <v>446.76</v>
      </c>
      <c r="L22" s="333">
        <f t="shared" si="8"/>
        <v>446.76</v>
      </c>
      <c r="M22" s="333">
        <f t="shared" si="8"/>
        <v>446.76</v>
      </c>
      <c r="N22" s="333">
        <f t="shared" si="8"/>
        <v>446.76</v>
      </c>
      <c r="O22" s="333">
        <f t="shared" si="8"/>
        <v>446.76</v>
      </c>
      <c r="P22" s="233">
        <f t="shared" si="9"/>
        <v>5361.1200000000017</v>
      </c>
      <c r="Q22" s="297">
        <f t="shared" si="2"/>
        <v>0</v>
      </c>
    </row>
    <row r="23" spans="1:17" s="170" customFormat="1" x14ac:dyDescent="0.2">
      <c r="A23" s="103">
        <v>12110</v>
      </c>
      <c r="B23" s="329" t="s">
        <v>560</v>
      </c>
      <c r="C23" s="354"/>
      <c r="D23" s="333">
        <f t="shared" si="8"/>
        <v>0</v>
      </c>
      <c r="E23" s="333">
        <f t="shared" si="8"/>
        <v>0</v>
      </c>
      <c r="F23" s="333">
        <f t="shared" si="8"/>
        <v>0</v>
      </c>
      <c r="G23" s="333">
        <f t="shared" si="8"/>
        <v>0</v>
      </c>
      <c r="H23" s="333">
        <f t="shared" si="8"/>
        <v>0</v>
      </c>
      <c r="I23" s="333">
        <f t="shared" si="8"/>
        <v>0</v>
      </c>
      <c r="J23" s="333">
        <f t="shared" si="8"/>
        <v>0</v>
      </c>
      <c r="K23" s="333">
        <f t="shared" si="8"/>
        <v>0</v>
      </c>
      <c r="L23" s="333">
        <f t="shared" si="8"/>
        <v>0</v>
      </c>
      <c r="M23" s="333">
        <f t="shared" si="8"/>
        <v>0</v>
      </c>
      <c r="N23" s="333">
        <f t="shared" si="8"/>
        <v>0</v>
      </c>
      <c r="O23" s="333">
        <f t="shared" si="8"/>
        <v>0</v>
      </c>
      <c r="P23" s="233">
        <f t="shared" si="9"/>
        <v>0</v>
      </c>
      <c r="Q23" s="297">
        <f t="shared" si="2"/>
        <v>0</v>
      </c>
    </row>
    <row r="24" spans="1:17" s="170" customFormat="1" x14ac:dyDescent="0.2">
      <c r="A24" s="103">
        <v>12111</v>
      </c>
      <c r="B24" s="329" t="s">
        <v>561</v>
      </c>
      <c r="C24" s="354">
        <v>800</v>
      </c>
      <c r="D24" s="333">
        <f t="shared" si="8"/>
        <v>66.666666666666671</v>
      </c>
      <c r="E24" s="333">
        <f t="shared" si="8"/>
        <v>66.666666666666671</v>
      </c>
      <c r="F24" s="333">
        <f t="shared" si="8"/>
        <v>66.666666666666671</v>
      </c>
      <c r="G24" s="333">
        <f t="shared" si="8"/>
        <v>66.666666666666671</v>
      </c>
      <c r="H24" s="333">
        <f t="shared" si="8"/>
        <v>66.666666666666671</v>
      </c>
      <c r="I24" s="333">
        <f t="shared" si="8"/>
        <v>66.666666666666671</v>
      </c>
      <c r="J24" s="333">
        <f t="shared" si="8"/>
        <v>66.666666666666671</v>
      </c>
      <c r="K24" s="333">
        <f t="shared" si="8"/>
        <v>66.666666666666671</v>
      </c>
      <c r="L24" s="333">
        <f t="shared" si="8"/>
        <v>66.666666666666671</v>
      </c>
      <c r="M24" s="333">
        <f t="shared" si="8"/>
        <v>66.666666666666671</v>
      </c>
      <c r="N24" s="333">
        <f t="shared" si="8"/>
        <v>66.666666666666671</v>
      </c>
      <c r="O24" s="333">
        <f t="shared" si="8"/>
        <v>66.666666666666671</v>
      </c>
      <c r="P24" s="233">
        <f t="shared" si="9"/>
        <v>799.99999999999989</v>
      </c>
      <c r="Q24" s="297">
        <f t="shared" si="2"/>
        <v>0</v>
      </c>
    </row>
    <row r="25" spans="1:17" s="170" customFormat="1" x14ac:dyDescent="0.2">
      <c r="A25" s="103">
        <v>12114</v>
      </c>
      <c r="B25" s="329" t="s">
        <v>562</v>
      </c>
      <c r="C25" s="354">
        <v>12753.864</v>
      </c>
      <c r="D25" s="333">
        <f t="shared" si="8"/>
        <v>1062.8219999999999</v>
      </c>
      <c r="E25" s="333">
        <f t="shared" si="8"/>
        <v>1062.8219999999999</v>
      </c>
      <c r="F25" s="333">
        <f t="shared" si="8"/>
        <v>1062.8219999999999</v>
      </c>
      <c r="G25" s="333">
        <f t="shared" si="8"/>
        <v>1062.8219999999999</v>
      </c>
      <c r="H25" s="333">
        <f t="shared" si="8"/>
        <v>1062.8219999999999</v>
      </c>
      <c r="I25" s="333">
        <f t="shared" si="8"/>
        <v>1062.8219999999999</v>
      </c>
      <c r="J25" s="333">
        <f t="shared" si="8"/>
        <v>1062.8219999999999</v>
      </c>
      <c r="K25" s="333">
        <f t="shared" si="8"/>
        <v>1062.8219999999999</v>
      </c>
      <c r="L25" s="333">
        <f t="shared" si="8"/>
        <v>1062.8219999999999</v>
      </c>
      <c r="M25" s="333">
        <f t="shared" si="8"/>
        <v>1062.8219999999999</v>
      </c>
      <c r="N25" s="333">
        <f t="shared" si="8"/>
        <v>1062.8219999999999</v>
      </c>
      <c r="O25" s="333">
        <f t="shared" si="8"/>
        <v>1062.8219999999999</v>
      </c>
      <c r="P25" s="233">
        <f t="shared" si="9"/>
        <v>12753.864</v>
      </c>
      <c r="Q25" s="297">
        <f t="shared" si="2"/>
        <v>0</v>
      </c>
    </row>
    <row r="26" spans="1:17" s="170" customFormat="1" x14ac:dyDescent="0.2">
      <c r="A26" s="103">
        <v>12115</v>
      </c>
      <c r="B26" s="329" t="s">
        <v>563</v>
      </c>
      <c r="C26" s="354">
        <v>50</v>
      </c>
      <c r="D26" s="333">
        <f t="shared" si="8"/>
        <v>4.166666666666667</v>
      </c>
      <c r="E26" s="333">
        <f t="shared" si="8"/>
        <v>4.166666666666667</v>
      </c>
      <c r="F26" s="333">
        <f t="shared" si="8"/>
        <v>4.166666666666667</v>
      </c>
      <c r="G26" s="333">
        <f t="shared" si="8"/>
        <v>4.166666666666667</v>
      </c>
      <c r="H26" s="333">
        <f t="shared" si="8"/>
        <v>4.166666666666667</v>
      </c>
      <c r="I26" s="333">
        <f t="shared" si="8"/>
        <v>4.166666666666667</v>
      </c>
      <c r="J26" s="333">
        <f t="shared" si="8"/>
        <v>4.166666666666667</v>
      </c>
      <c r="K26" s="333">
        <f t="shared" si="8"/>
        <v>4.166666666666667</v>
      </c>
      <c r="L26" s="333">
        <f t="shared" si="8"/>
        <v>4.166666666666667</v>
      </c>
      <c r="M26" s="333">
        <f t="shared" si="8"/>
        <v>4.166666666666667</v>
      </c>
      <c r="N26" s="333">
        <f t="shared" si="8"/>
        <v>4.166666666666667</v>
      </c>
      <c r="O26" s="333">
        <f t="shared" si="8"/>
        <v>4.166666666666667</v>
      </c>
      <c r="P26" s="233">
        <f t="shared" si="9"/>
        <v>49.999999999999993</v>
      </c>
      <c r="Q26" s="297">
        <f t="shared" si="2"/>
        <v>0</v>
      </c>
    </row>
    <row r="27" spans="1:17" s="170" customFormat="1" x14ac:dyDescent="0.2">
      <c r="A27" s="103">
        <v>12117</v>
      </c>
      <c r="B27" s="329" t="s">
        <v>564</v>
      </c>
      <c r="C27" s="354">
        <v>376.56</v>
      </c>
      <c r="D27" s="333">
        <f t="shared" si="8"/>
        <v>31.38</v>
      </c>
      <c r="E27" s="333">
        <f t="shared" si="8"/>
        <v>31.38</v>
      </c>
      <c r="F27" s="333">
        <f t="shared" si="8"/>
        <v>31.38</v>
      </c>
      <c r="G27" s="333">
        <f t="shared" si="8"/>
        <v>31.38</v>
      </c>
      <c r="H27" s="333">
        <f t="shared" si="8"/>
        <v>31.38</v>
      </c>
      <c r="I27" s="333">
        <f t="shared" si="8"/>
        <v>31.38</v>
      </c>
      <c r="J27" s="333">
        <f t="shared" si="8"/>
        <v>31.38</v>
      </c>
      <c r="K27" s="333">
        <f t="shared" si="8"/>
        <v>31.38</v>
      </c>
      <c r="L27" s="333">
        <f t="shared" si="8"/>
        <v>31.38</v>
      </c>
      <c r="M27" s="333">
        <f t="shared" si="8"/>
        <v>31.38</v>
      </c>
      <c r="N27" s="333">
        <f t="shared" si="8"/>
        <v>31.38</v>
      </c>
      <c r="O27" s="333">
        <f t="shared" si="8"/>
        <v>31.38</v>
      </c>
      <c r="P27" s="233">
        <f t="shared" si="9"/>
        <v>376.56</v>
      </c>
      <c r="Q27" s="297">
        <f t="shared" si="2"/>
        <v>0</v>
      </c>
    </row>
    <row r="28" spans="1:17" s="170" customFormat="1" x14ac:dyDescent="0.2">
      <c r="A28" s="103">
        <v>12118</v>
      </c>
      <c r="B28" s="329" t="s">
        <v>565</v>
      </c>
      <c r="C28" s="354">
        <f>((502*9.52)+(308*1)+(93*1)+(6*1)+(4*1)+(40*9))*12+(3*238.1)*12</f>
        <v>75172.079999999987</v>
      </c>
      <c r="D28" s="333">
        <v>0</v>
      </c>
      <c r="E28" s="333">
        <v>18811.02</v>
      </c>
      <c r="F28" s="333">
        <v>0</v>
      </c>
      <c r="G28" s="333">
        <v>0</v>
      </c>
      <c r="H28" s="333">
        <v>18775.02</v>
      </c>
      <c r="I28" s="333">
        <v>0</v>
      </c>
      <c r="J28" s="333">
        <v>0</v>
      </c>
      <c r="K28" s="333">
        <v>18811.02</v>
      </c>
      <c r="L28" s="333">
        <v>0</v>
      </c>
      <c r="M28" s="333">
        <v>0</v>
      </c>
      <c r="N28" s="333">
        <v>18775.02</v>
      </c>
      <c r="O28" s="333">
        <v>0</v>
      </c>
      <c r="P28" s="233">
        <f t="shared" si="9"/>
        <v>75172.08</v>
      </c>
      <c r="Q28" s="297">
        <f t="shared" si="2"/>
        <v>0</v>
      </c>
    </row>
    <row r="29" spans="1:17" s="170" customFormat="1" x14ac:dyDescent="0.2">
      <c r="A29" s="103">
        <v>12119</v>
      </c>
      <c r="B29" s="329" t="s">
        <v>566</v>
      </c>
      <c r="C29" s="354">
        <v>30</v>
      </c>
      <c r="D29" s="333">
        <f t="shared" si="8"/>
        <v>2.5</v>
      </c>
      <c r="E29" s="333">
        <f t="shared" si="8"/>
        <v>2.5</v>
      </c>
      <c r="F29" s="333">
        <f t="shared" si="8"/>
        <v>2.5</v>
      </c>
      <c r="G29" s="333">
        <f t="shared" si="8"/>
        <v>2.5</v>
      </c>
      <c r="H29" s="333">
        <f t="shared" si="8"/>
        <v>2.5</v>
      </c>
      <c r="I29" s="333">
        <f t="shared" si="8"/>
        <v>2.5</v>
      </c>
      <c r="J29" s="333">
        <f t="shared" si="8"/>
        <v>2.5</v>
      </c>
      <c r="K29" s="333">
        <f t="shared" si="8"/>
        <v>2.5</v>
      </c>
      <c r="L29" s="333">
        <f t="shared" si="8"/>
        <v>2.5</v>
      </c>
      <c r="M29" s="333">
        <f t="shared" si="8"/>
        <v>2.5</v>
      </c>
      <c r="N29" s="333">
        <f t="shared" si="8"/>
        <v>2.5</v>
      </c>
      <c r="O29" s="333">
        <f t="shared" si="8"/>
        <v>2.5</v>
      </c>
      <c r="P29" s="233">
        <f t="shared" si="9"/>
        <v>30</v>
      </c>
      <c r="Q29" s="297">
        <f t="shared" si="2"/>
        <v>0</v>
      </c>
    </row>
    <row r="30" spans="1:17" s="170" customFormat="1" x14ac:dyDescent="0.2">
      <c r="A30" s="103">
        <v>12199</v>
      </c>
      <c r="B30" s="329" t="s">
        <v>567</v>
      </c>
      <c r="C30" s="354">
        <v>800</v>
      </c>
      <c r="D30" s="333">
        <f t="shared" si="8"/>
        <v>66.666666666666671</v>
      </c>
      <c r="E30" s="333">
        <f t="shared" si="8"/>
        <v>66.666666666666671</v>
      </c>
      <c r="F30" s="333">
        <f t="shared" si="8"/>
        <v>66.666666666666671</v>
      </c>
      <c r="G30" s="333">
        <f t="shared" si="8"/>
        <v>66.666666666666671</v>
      </c>
      <c r="H30" s="333">
        <f t="shared" si="8"/>
        <v>66.666666666666671</v>
      </c>
      <c r="I30" s="333">
        <f t="shared" si="8"/>
        <v>66.666666666666671</v>
      </c>
      <c r="J30" s="333">
        <f t="shared" si="8"/>
        <v>66.666666666666671</v>
      </c>
      <c r="K30" s="333">
        <f t="shared" si="8"/>
        <v>66.666666666666671</v>
      </c>
      <c r="L30" s="333">
        <f t="shared" si="8"/>
        <v>66.666666666666671</v>
      </c>
      <c r="M30" s="333">
        <f t="shared" si="8"/>
        <v>66.666666666666671</v>
      </c>
      <c r="N30" s="333">
        <f t="shared" si="8"/>
        <v>66.666666666666671</v>
      </c>
      <c r="O30" s="333">
        <f t="shared" si="8"/>
        <v>66.666666666666671</v>
      </c>
      <c r="P30" s="233">
        <f t="shared" si="9"/>
        <v>799.99999999999989</v>
      </c>
      <c r="Q30" s="297">
        <f t="shared" si="2"/>
        <v>0</v>
      </c>
    </row>
    <row r="31" spans="1:17" s="170" customFormat="1" x14ac:dyDescent="0.2">
      <c r="A31" s="115">
        <v>122</v>
      </c>
      <c r="B31" s="328" t="s">
        <v>340</v>
      </c>
      <c r="C31" s="353">
        <f>SUM(C32:C33)</f>
        <v>102</v>
      </c>
      <c r="D31" s="332">
        <f t="shared" ref="D31:P31" si="10">SUM(D32:D33)</f>
        <v>0</v>
      </c>
      <c r="E31" s="332">
        <f t="shared" si="10"/>
        <v>0</v>
      </c>
      <c r="F31" s="332">
        <f t="shared" si="10"/>
        <v>0</v>
      </c>
      <c r="G31" s="332">
        <f t="shared" si="10"/>
        <v>0</v>
      </c>
      <c r="H31" s="332">
        <f t="shared" si="10"/>
        <v>0</v>
      </c>
      <c r="I31" s="332">
        <f t="shared" si="10"/>
        <v>0</v>
      </c>
      <c r="J31" s="332">
        <f t="shared" si="10"/>
        <v>0</v>
      </c>
      <c r="K31" s="332">
        <f t="shared" si="10"/>
        <v>0</v>
      </c>
      <c r="L31" s="332">
        <f t="shared" si="10"/>
        <v>0</v>
      </c>
      <c r="M31" s="332">
        <f t="shared" si="10"/>
        <v>0</v>
      </c>
      <c r="N31" s="332">
        <f t="shared" si="10"/>
        <v>0</v>
      </c>
      <c r="O31" s="332">
        <f t="shared" si="10"/>
        <v>102</v>
      </c>
      <c r="P31" s="232">
        <f t="shared" si="10"/>
        <v>102</v>
      </c>
      <c r="Q31" s="297">
        <f t="shared" si="2"/>
        <v>0</v>
      </c>
    </row>
    <row r="32" spans="1:17" s="170" customFormat="1" x14ac:dyDescent="0.2">
      <c r="A32" s="103">
        <v>12210</v>
      </c>
      <c r="B32" s="329" t="s">
        <v>568</v>
      </c>
      <c r="C32" s="354">
        <v>100</v>
      </c>
      <c r="D32" s="333">
        <v>0</v>
      </c>
      <c r="E32" s="333">
        <v>0</v>
      </c>
      <c r="F32" s="333">
        <v>0</v>
      </c>
      <c r="G32" s="333">
        <v>0</v>
      </c>
      <c r="H32" s="333">
        <v>0</v>
      </c>
      <c r="I32" s="333">
        <v>0</v>
      </c>
      <c r="J32" s="333">
        <v>0</v>
      </c>
      <c r="K32" s="333">
        <v>0</v>
      </c>
      <c r="L32" s="333">
        <v>0</v>
      </c>
      <c r="M32" s="333">
        <v>0</v>
      </c>
      <c r="N32" s="333">
        <v>0</v>
      </c>
      <c r="O32" s="333">
        <v>100</v>
      </c>
      <c r="P32" s="233">
        <f t="shared" si="9"/>
        <v>100</v>
      </c>
      <c r="Q32" s="297">
        <f t="shared" si="2"/>
        <v>0</v>
      </c>
    </row>
    <row r="33" spans="1:17" s="170" customFormat="1" x14ac:dyDescent="0.2">
      <c r="A33" s="103">
        <v>12211</v>
      </c>
      <c r="B33" s="329" t="s">
        <v>569</v>
      </c>
      <c r="C33" s="354">
        <v>2</v>
      </c>
      <c r="D33" s="333">
        <v>0</v>
      </c>
      <c r="E33" s="333">
        <v>0</v>
      </c>
      <c r="F33" s="333">
        <v>0</v>
      </c>
      <c r="G33" s="333">
        <v>0</v>
      </c>
      <c r="H33" s="333">
        <v>0</v>
      </c>
      <c r="I33" s="333">
        <v>0</v>
      </c>
      <c r="J33" s="333">
        <v>0</v>
      </c>
      <c r="K33" s="333">
        <v>0</v>
      </c>
      <c r="L33" s="333">
        <v>0</v>
      </c>
      <c r="M33" s="333">
        <v>0</v>
      </c>
      <c r="N33" s="333">
        <v>0</v>
      </c>
      <c r="O33" s="333">
        <v>2</v>
      </c>
      <c r="P33" s="233">
        <f t="shared" si="9"/>
        <v>2</v>
      </c>
      <c r="Q33" s="297">
        <f t="shared" si="2"/>
        <v>0</v>
      </c>
    </row>
    <row r="34" spans="1:17" s="170" customFormat="1" x14ac:dyDescent="0.2">
      <c r="A34" s="115">
        <v>14</v>
      </c>
      <c r="B34" s="328" t="s">
        <v>8</v>
      </c>
      <c r="C34" s="353">
        <f>+C35</f>
        <v>151944.59999999998</v>
      </c>
      <c r="D34" s="332">
        <f t="shared" ref="D34:P34" si="11">+D35</f>
        <v>12662.049999999997</v>
      </c>
      <c r="E34" s="332">
        <f t="shared" si="11"/>
        <v>12662.049999999997</v>
      </c>
      <c r="F34" s="332">
        <f t="shared" si="11"/>
        <v>12662.049999999997</v>
      </c>
      <c r="G34" s="332">
        <f t="shared" si="11"/>
        <v>12662.049999999997</v>
      </c>
      <c r="H34" s="332">
        <f t="shared" si="11"/>
        <v>12662.049999999997</v>
      </c>
      <c r="I34" s="332">
        <f t="shared" si="11"/>
        <v>12662.049999999997</v>
      </c>
      <c r="J34" s="332">
        <f t="shared" si="11"/>
        <v>12662.049999999997</v>
      </c>
      <c r="K34" s="332">
        <f t="shared" si="11"/>
        <v>12662.049999999997</v>
      </c>
      <c r="L34" s="332">
        <f t="shared" si="11"/>
        <v>12662.049999999997</v>
      </c>
      <c r="M34" s="332">
        <f t="shared" si="11"/>
        <v>12662.049999999997</v>
      </c>
      <c r="N34" s="332">
        <f t="shared" si="11"/>
        <v>12662.049999999997</v>
      </c>
      <c r="O34" s="332">
        <f t="shared" si="11"/>
        <v>12662.049999999997</v>
      </c>
      <c r="P34" s="232">
        <f t="shared" si="11"/>
        <v>151944.59999999998</v>
      </c>
      <c r="Q34" s="297">
        <f t="shared" si="2"/>
        <v>0</v>
      </c>
    </row>
    <row r="35" spans="1:17" s="170" customFormat="1" x14ac:dyDescent="0.2">
      <c r="A35" s="115">
        <v>142</v>
      </c>
      <c r="B35" s="328" t="s">
        <v>460</v>
      </c>
      <c r="C35" s="353">
        <f>SUM(C36:C37)</f>
        <v>151944.59999999998</v>
      </c>
      <c r="D35" s="332">
        <f t="shared" ref="D35:P35" si="12">SUM(D36:D37)</f>
        <v>12662.049999999997</v>
      </c>
      <c r="E35" s="332">
        <f t="shared" si="12"/>
        <v>12662.049999999997</v>
      </c>
      <c r="F35" s="332">
        <f t="shared" si="12"/>
        <v>12662.049999999997</v>
      </c>
      <c r="G35" s="332">
        <f t="shared" si="12"/>
        <v>12662.049999999997</v>
      </c>
      <c r="H35" s="332">
        <f t="shared" si="12"/>
        <v>12662.049999999997</v>
      </c>
      <c r="I35" s="332">
        <f t="shared" si="12"/>
        <v>12662.049999999997</v>
      </c>
      <c r="J35" s="332">
        <f t="shared" si="12"/>
        <v>12662.049999999997</v>
      </c>
      <c r="K35" s="332">
        <f t="shared" si="12"/>
        <v>12662.049999999997</v>
      </c>
      <c r="L35" s="332">
        <f t="shared" si="12"/>
        <v>12662.049999999997</v>
      </c>
      <c r="M35" s="332">
        <f t="shared" si="12"/>
        <v>12662.049999999997</v>
      </c>
      <c r="N35" s="332">
        <f t="shared" si="12"/>
        <v>12662.049999999997</v>
      </c>
      <c r="O35" s="332">
        <f t="shared" si="12"/>
        <v>12662.049999999997</v>
      </c>
      <c r="P35" s="232">
        <f t="shared" si="12"/>
        <v>151944.59999999998</v>
      </c>
      <c r="Q35" s="297">
        <f t="shared" si="2"/>
        <v>0</v>
      </c>
    </row>
    <row r="36" spans="1:17" s="170" customFormat="1" x14ac:dyDescent="0.2">
      <c r="A36" s="103">
        <v>14201</v>
      </c>
      <c r="B36" s="329" t="s">
        <v>570</v>
      </c>
      <c r="C36" s="354">
        <v>145344.59999999998</v>
      </c>
      <c r="D36" s="333">
        <f t="shared" ref="D36:O37" si="13">$C36/12</f>
        <v>12112.049999999997</v>
      </c>
      <c r="E36" s="333">
        <f t="shared" si="13"/>
        <v>12112.049999999997</v>
      </c>
      <c r="F36" s="333">
        <f t="shared" si="13"/>
        <v>12112.049999999997</v>
      </c>
      <c r="G36" s="333">
        <f t="shared" si="13"/>
        <v>12112.049999999997</v>
      </c>
      <c r="H36" s="333">
        <f t="shared" si="13"/>
        <v>12112.049999999997</v>
      </c>
      <c r="I36" s="333">
        <f t="shared" si="13"/>
        <v>12112.049999999997</v>
      </c>
      <c r="J36" s="333">
        <f t="shared" si="13"/>
        <v>12112.049999999997</v>
      </c>
      <c r="K36" s="333">
        <f t="shared" si="13"/>
        <v>12112.049999999997</v>
      </c>
      <c r="L36" s="333">
        <f t="shared" si="13"/>
        <v>12112.049999999997</v>
      </c>
      <c r="M36" s="333">
        <f t="shared" si="13"/>
        <v>12112.049999999997</v>
      </c>
      <c r="N36" s="333">
        <f t="shared" si="13"/>
        <v>12112.049999999997</v>
      </c>
      <c r="O36" s="333">
        <f t="shared" si="13"/>
        <v>12112.049999999997</v>
      </c>
      <c r="P36" s="233">
        <f t="shared" ref="P36:P37" si="14">SUM(D36:O36)</f>
        <v>145344.59999999998</v>
      </c>
      <c r="Q36" s="297">
        <f t="shared" si="2"/>
        <v>0</v>
      </c>
    </row>
    <row r="37" spans="1:17" s="170" customFormat="1" x14ac:dyDescent="0.2">
      <c r="A37" s="103">
        <v>14299</v>
      </c>
      <c r="B37" s="329" t="s">
        <v>571</v>
      </c>
      <c r="C37" s="354">
        <v>6600</v>
      </c>
      <c r="D37" s="333">
        <f t="shared" si="13"/>
        <v>550</v>
      </c>
      <c r="E37" s="333">
        <f t="shared" si="13"/>
        <v>550</v>
      </c>
      <c r="F37" s="333">
        <f t="shared" si="13"/>
        <v>550</v>
      </c>
      <c r="G37" s="333">
        <f t="shared" si="13"/>
        <v>550</v>
      </c>
      <c r="H37" s="333">
        <f t="shared" si="13"/>
        <v>550</v>
      </c>
      <c r="I37" s="333">
        <f t="shared" si="13"/>
        <v>550</v>
      </c>
      <c r="J37" s="333">
        <f t="shared" si="13"/>
        <v>550</v>
      </c>
      <c r="K37" s="333">
        <f t="shared" si="13"/>
        <v>550</v>
      </c>
      <c r="L37" s="333">
        <f t="shared" si="13"/>
        <v>550</v>
      </c>
      <c r="M37" s="333">
        <f t="shared" si="13"/>
        <v>550</v>
      </c>
      <c r="N37" s="333">
        <f t="shared" si="13"/>
        <v>550</v>
      </c>
      <c r="O37" s="333">
        <f t="shared" si="13"/>
        <v>550</v>
      </c>
      <c r="P37" s="233">
        <f t="shared" si="14"/>
        <v>6600</v>
      </c>
      <c r="Q37" s="297">
        <f t="shared" si="2"/>
        <v>0</v>
      </c>
    </row>
    <row r="38" spans="1:17" s="170" customFormat="1" x14ac:dyDescent="0.2">
      <c r="A38" s="115">
        <v>15</v>
      </c>
      <c r="B38" s="328" t="s">
        <v>9</v>
      </c>
      <c r="C38" s="353">
        <f>C41+C47+C49</f>
        <v>8708.57</v>
      </c>
      <c r="D38" s="332">
        <f t="shared" ref="D38:P38" si="15">D41+D47+D49</f>
        <v>708.33333333333337</v>
      </c>
      <c r="E38" s="332">
        <f t="shared" si="15"/>
        <v>708.33333333333337</v>
      </c>
      <c r="F38" s="332">
        <f t="shared" si="15"/>
        <v>708.33333333333337</v>
      </c>
      <c r="G38" s="332">
        <f t="shared" si="15"/>
        <v>708.33333333333337</v>
      </c>
      <c r="H38" s="332">
        <f t="shared" si="15"/>
        <v>708.33333333333337</v>
      </c>
      <c r="I38" s="332">
        <f t="shared" si="15"/>
        <v>708.33333333333337</v>
      </c>
      <c r="J38" s="332">
        <f t="shared" si="15"/>
        <v>708.33333333333337</v>
      </c>
      <c r="K38" s="332">
        <f t="shared" si="15"/>
        <v>708.33333333333337</v>
      </c>
      <c r="L38" s="332">
        <f t="shared" si="15"/>
        <v>708.33333333333337</v>
      </c>
      <c r="M38" s="332">
        <f t="shared" si="15"/>
        <v>708.33333333333337</v>
      </c>
      <c r="N38" s="332">
        <f t="shared" si="15"/>
        <v>708.33333333333337</v>
      </c>
      <c r="O38" s="332">
        <f t="shared" si="15"/>
        <v>716.90333333333342</v>
      </c>
      <c r="P38" s="232">
        <f t="shared" si="15"/>
        <v>8708.57</v>
      </c>
      <c r="Q38" s="297">
        <f t="shared" si="2"/>
        <v>0</v>
      </c>
    </row>
    <row r="39" spans="1:17" s="170" customFormat="1" x14ac:dyDescent="0.2">
      <c r="A39" s="115">
        <v>151</v>
      </c>
      <c r="B39" s="328" t="s">
        <v>10</v>
      </c>
      <c r="C39" s="353">
        <f>SUM(C40)</f>
        <v>0</v>
      </c>
      <c r="D39" s="332">
        <f t="shared" ref="D39:P39" si="16">SUM(D40)</f>
        <v>0</v>
      </c>
      <c r="E39" s="332">
        <f t="shared" si="16"/>
        <v>0</v>
      </c>
      <c r="F39" s="332">
        <f t="shared" si="16"/>
        <v>0</v>
      </c>
      <c r="G39" s="332">
        <f t="shared" si="16"/>
        <v>0</v>
      </c>
      <c r="H39" s="332">
        <f t="shared" si="16"/>
        <v>0</v>
      </c>
      <c r="I39" s="332">
        <f t="shared" si="16"/>
        <v>0</v>
      </c>
      <c r="J39" s="332">
        <f t="shared" si="16"/>
        <v>0</v>
      </c>
      <c r="K39" s="332">
        <f t="shared" si="16"/>
        <v>0</v>
      </c>
      <c r="L39" s="332">
        <f t="shared" si="16"/>
        <v>0</v>
      </c>
      <c r="M39" s="332">
        <f t="shared" si="16"/>
        <v>0</v>
      </c>
      <c r="N39" s="332">
        <f t="shared" si="16"/>
        <v>0</v>
      </c>
      <c r="O39" s="332">
        <f t="shared" si="16"/>
        <v>0</v>
      </c>
      <c r="P39" s="232">
        <f t="shared" si="16"/>
        <v>0</v>
      </c>
      <c r="Q39" s="297">
        <f t="shared" si="2"/>
        <v>0</v>
      </c>
    </row>
    <row r="40" spans="1:17" s="170" customFormat="1" x14ac:dyDescent="0.2">
      <c r="A40" s="103">
        <v>15105</v>
      </c>
      <c r="B40" s="329" t="s">
        <v>572</v>
      </c>
      <c r="C40" s="354"/>
      <c r="D40" s="333"/>
      <c r="E40" s="333"/>
      <c r="F40" s="333"/>
      <c r="G40" s="333"/>
      <c r="H40" s="333"/>
      <c r="I40" s="333"/>
      <c r="J40" s="333"/>
      <c r="K40" s="333"/>
      <c r="L40" s="333"/>
      <c r="M40" s="333"/>
      <c r="N40" s="333"/>
      <c r="O40" s="333"/>
      <c r="P40" s="233"/>
      <c r="Q40" s="297">
        <f t="shared" si="2"/>
        <v>0</v>
      </c>
    </row>
    <row r="41" spans="1:17" s="170" customFormat="1" x14ac:dyDescent="0.2">
      <c r="A41" s="115">
        <v>153</v>
      </c>
      <c r="B41" s="328" t="s">
        <v>10</v>
      </c>
      <c r="C41" s="353">
        <f>SUM(C42:C45)</f>
        <v>8508.57</v>
      </c>
      <c r="D41" s="332">
        <f t="shared" ref="D41:O41" si="17">SUM(D42:D45)</f>
        <v>708.33333333333337</v>
      </c>
      <c r="E41" s="332">
        <f t="shared" si="17"/>
        <v>708.33333333333337</v>
      </c>
      <c r="F41" s="332">
        <f t="shared" si="17"/>
        <v>708.33333333333337</v>
      </c>
      <c r="G41" s="332">
        <f t="shared" si="17"/>
        <v>708.33333333333337</v>
      </c>
      <c r="H41" s="332">
        <f t="shared" si="17"/>
        <v>708.33333333333337</v>
      </c>
      <c r="I41" s="332">
        <f t="shared" si="17"/>
        <v>708.33333333333337</v>
      </c>
      <c r="J41" s="332">
        <f t="shared" si="17"/>
        <v>708.33333333333337</v>
      </c>
      <c r="K41" s="332">
        <f t="shared" si="17"/>
        <v>708.33333333333337</v>
      </c>
      <c r="L41" s="332">
        <f t="shared" si="17"/>
        <v>708.33333333333337</v>
      </c>
      <c r="M41" s="332">
        <f t="shared" si="17"/>
        <v>708.33333333333337</v>
      </c>
      <c r="N41" s="332">
        <f t="shared" si="17"/>
        <v>708.33333333333337</v>
      </c>
      <c r="O41" s="332">
        <f t="shared" si="17"/>
        <v>716.90333333333342</v>
      </c>
      <c r="P41" s="232">
        <f>SUM(P42:P45)</f>
        <v>8508.57</v>
      </c>
      <c r="Q41" s="297">
        <f t="shared" si="2"/>
        <v>0</v>
      </c>
    </row>
    <row r="42" spans="1:17" s="170" customFormat="1" x14ac:dyDescent="0.2">
      <c r="A42" s="103">
        <v>15301</v>
      </c>
      <c r="B42" s="329" t="s">
        <v>573</v>
      </c>
      <c r="C42" s="354">
        <v>7000</v>
      </c>
      <c r="D42" s="333">
        <f t="shared" ref="D42:O43" si="18">$C42/12</f>
        <v>583.33333333333337</v>
      </c>
      <c r="E42" s="333">
        <f t="shared" si="18"/>
        <v>583.33333333333337</v>
      </c>
      <c r="F42" s="333">
        <f t="shared" si="18"/>
        <v>583.33333333333337</v>
      </c>
      <c r="G42" s="333">
        <f t="shared" si="18"/>
        <v>583.33333333333337</v>
      </c>
      <c r="H42" s="333">
        <f t="shared" si="18"/>
        <v>583.33333333333337</v>
      </c>
      <c r="I42" s="333">
        <f t="shared" si="18"/>
        <v>583.33333333333337</v>
      </c>
      <c r="J42" s="333">
        <f t="shared" si="18"/>
        <v>583.33333333333337</v>
      </c>
      <c r="K42" s="333">
        <f t="shared" si="18"/>
        <v>583.33333333333337</v>
      </c>
      <c r="L42" s="333">
        <f t="shared" si="18"/>
        <v>583.33333333333337</v>
      </c>
      <c r="M42" s="333">
        <f t="shared" si="18"/>
        <v>583.33333333333337</v>
      </c>
      <c r="N42" s="333">
        <f t="shared" si="18"/>
        <v>583.33333333333337</v>
      </c>
      <c r="O42" s="333">
        <f t="shared" si="18"/>
        <v>583.33333333333337</v>
      </c>
      <c r="P42" s="233">
        <f t="shared" ref="P42:P45" si="19">SUM(D42:O42)</f>
        <v>6999.9999999999991</v>
      </c>
      <c r="Q42" s="297">
        <f t="shared" si="2"/>
        <v>0</v>
      </c>
    </row>
    <row r="43" spans="1:17" s="170" customFormat="1" x14ac:dyDescent="0.2">
      <c r="A43" s="103">
        <v>15302</v>
      </c>
      <c r="B43" s="329" t="s">
        <v>574</v>
      </c>
      <c r="C43" s="354">
        <v>1500</v>
      </c>
      <c r="D43" s="333">
        <f>$C43/12</f>
        <v>125</v>
      </c>
      <c r="E43" s="333">
        <f t="shared" si="18"/>
        <v>125</v>
      </c>
      <c r="F43" s="333">
        <f t="shared" si="18"/>
        <v>125</v>
      </c>
      <c r="G43" s="333">
        <f t="shared" si="18"/>
        <v>125</v>
      </c>
      <c r="H43" s="333">
        <f t="shared" si="18"/>
        <v>125</v>
      </c>
      <c r="I43" s="333">
        <f t="shared" si="18"/>
        <v>125</v>
      </c>
      <c r="J43" s="333">
        <f t="shared" si="18"/>
        <v>125</v>
      </c>
      <c r="K43" s="333">
        <f t="shared" si="18"/>
        <v>125</v>
      </c>
      <c r="L43" s="333">
        <f t="shared" si="18"/>
        <v>125</v>
      </c>
      <c r="M43" s="333">
        <f t="shared" si="18"/>
        <v>125</v>
      </c>
      <c r="N43" s="333">
        <f t="shared" si="18"/>
        <v>125</v>
      </c>
      <c r="O43" s="333">
        <f t="shared" si="18"/>
        <v>125</v>
      </c>
      <c r="P43" s="233">
        <f t="shared" si="19"/>
        <v>1500</v>
      </c>
      <c r="Q43" s="297">
        <f t="shared" si="2"/>
        <v>0</v>
      </c>
    </row>
    <row r="44" spans="1:17" s="170" customFormat="1" x14ac:dyDescent="0.2">
      <c r="A44" s="103">
        <v>15310</v>
      </c>
      <c r="B44" s="329" t="s">
        <v>575</v>
      </c>
      <c r="C44" s="354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233">
        <f t="shared" si="19"/>
        <v>0</v>
      </c>
      <c r="Q44" s="297">
        <f t="shared" si="2"/>
        <v>0</v>
      </c>
    </row>
    <row r="45" spans="1:17" s="170" customFormat="1" x14ac:dyDescent="0.2">
      <c r="A45" s="103">
        <v>15312</v>
      </c>
      <c r="B45" s="329" t="s">
        <v>576</v>
      </c>
      <c r="C45" s="354">
        <v>8.57</v>
      </c>
      <c r="D45" s="333">
        <v>0</v>
      </c>
      <c r="E45" s="333">
        <v>0</v>
      </c>
      <c r="F45" s="333">
        <v>0</v>
      </c>
      <c r="G45" s="333">
        <v>0</v>
      </c>
      <c r="H45" s="333">
        <v>0</v>
      </c>
      <c r="I45" s="333">
        <v>0</v>
      </c>
      <c r="J45" s="333">
        <v>0</v>
      </c>
      <c r="K45" s="333">
        <v>0</v>
      </c>
      <c r="L45" s="333">
        <v>0</v>
      </c>
      <c r="M45" s="333">
        <v>0</v>
      </c>
      <c r="N45" s="333">
        <v>0</v>
      </c>
      <c r="O45" s="333">
        <v>8.57</v>
      </c>
      <c r="P45" s="233">
        <f t="shared" si="19"/>
        <v>8.57</v>
      </c>
      <c r="Q45" s="297">
        <f t="shared" si="2"/>
        <v>0</v>
      </c>
    </row>
    <row r="46" spans="1:17" s="170" customFormat="1" ht="13.5" customHeight="1" x14ac:dyDescent="0.2">
      <c r="A46" s="103">
        <v>15314</v>
      </c>
      <c r="B46" s="329" t="s">
        <v>577</v>
      </c>
      <c r="C46" s="354"/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333"/>
      <c r="O46" s="333"/>
      <c r="P46" s="233"/>
      <c r="Q46" s="297">
        <f t="shared" si="2"/>
        <v>0</v>
      </c>
    </row>
    <row r="47" spans="1:17" s="170" customFormat="1" hidden="1" x14ac:dyDescent="0.2">
      <c r="A47" s="115">
        <v>154</v>
      </c>
      <c r="B47" s="328" t="s">
        <v>441</v>
      </c>
      <c r="C47" s="353">
        <f>SUM(C48)</f>
        <v>0</v>
      </c>
      <c r="D47" s="332"/>
      <c r="E47" s="332"/>
      <c r="F47" s="332"/>
      <c r="G47" s="332"/>
      <c r="H47" s="332"/>
      <c r="I47" s="332"/>
      <c r="J47" s="332"/>
      <c r="K47" s="332"/>
      <c r="L47" s="332"/>
      <c r="M47" s="332"/>
      <c r="N47" s="332"/>
      <c r="O47" s="332"/>
      <c r="P47" s="232"/>
      <c r="Q47" s="297">
        <f t="shared" si="2"/>
        <v>0</v>
      </c>
    </row>
    <row r="48" spans="1:17" s="170" customFormat="1" hidden="1" x14ac:dyDescent="0.2">
      <c r="A48" s="103">
        <v>15402</v>
      </c>
      <c r="B48" s="329" t="s">
        <v>578</v>
      </c>
      <c r="C48" s="354">
        <v>0</v>
      </c>
      <c r="D48" s="333"/>
      <c r="E48" s="333"/>
      <c r="F48" s="333"/>
      <c r="G48" s="333"/>
      <c r="H48" s="333"/>
      <c r="I48" s="333"/>
      <c r="J48" s="333"/>
      <c r="K48" s="333"/>
      <c r="L48" s="333"/>
      <c r="M48" s="333"/>
      <c r="N48" s="333"/>
      <c r="O48" s="333"/>
      <c r="P48" s="298">
        <v>0</v>
      </c>
      <c r="Q48" s="297">
        <f t="shared" si="2"/>
        <v>0</v>
      </c>
    </row>
    <row r="49" spans="1:17" s="170" customFormat="1" x14ac:dyDescent="0.2">
      <c r="A49" s="115">
        <v>157</v>
      </c>
      <c r="B49" s="328" t="s">
        <v>341</v>
      </c>
      <c r="C49" s="353">
        <f>C50</f>
        <v>200</v>
      </c>
      <c r="D49" s="332"/>
      <c r="E49" s="332"/>
      <c r="F49" s="332"/>
      <c r="G49" s="332"/>
      <c r="H49" s="332"/>
      <c r="I49" s="332"/>
      <c r="J49" s="332"/>
      <c r="K49" s="332"/>
      <c r="L49" s="332"/>
      <c r="M49" s="332"/>
      <c r="N49" s="332"/>
      <c r="O49" s="332"/>
      <c r="P49" s="232">
        <f>P50</f>
        <v>200</v>
      </c>
      <c r="Q49" s="297">
        <f t="shared" si="2"/>
        <v>0</v>
      </c>
    </row>
    <row r="50" spans="1:17" s="170" customFormat="1" x14ac:dyDescent="0.2">
      <c r="A50" s="103">
        <v>15703</v>
      </c>
      <c r="B50" s="329" t="s">
        <v>579</v>
      </c>
      <c r="C50" s="354">
        <v>200</v>
      </c>
      <c r="D50" s="333">
        <v>0</v>
      </c>
      <c r="E50" s="333">
        <v>0</v>
      </c>
      <c r="F50" s="333">
        <v>50</v>
      </c>
      <c r="G50" s="333">
        <v>0</v>
      </c>
      <c r="H50" s="333">
        <v>0</v>
      </c>
      <c r="I50" s="333">
        <v>50</v>
      </c>
      <c r="J50" s="333">
        <v>0</v>
      </c>
      <c r="K50" s="333">
        <v>0</v>
      </c>
      <c r="L50" s="333">
        <v>50</v>
      </c>
      <c r="M50" s="333">
        <v>0</v>
      </c>
      <c r="N50" s="333">
        <v>0</v>
      </c>
      <c r="O50" s="333">
        <v>50</v>
      </c>
      <c r="P50" s="233">
        <f t="shared" ref="P50" si="20">SUM(D50:O50)</f>
        <v>200</v>
      </c>
      <c r="Q50" s="297">
        <f t="shared" si="2"/>
        <v>0</v>
      </c>
    </row>
    <row r="51" spans="1:17" s="170" customFormat="1" x14ac:dyDescent="0.2">
      <c r="A51" s="115">
        <v>16</v>
      </c>
      <c r="B51" s="328" t="s">
        <v>96</v>
      </c>
      <c r="C51" s="353">
        <f t="shared" ref="C51:P52" si="21">C52</f>
        <v>331326.24</v>
      </c>
      <c r="D51" s="332">
        <f t="shared" si="21"/>
        <v>0</v>
      </c>
      <c r="E51" s="232">
        <f t="shared" si="21"/>
        <v>27610.52</v>
      </c>
      <c r="F51" s="232">
        <f t="shared" si="21"/>
        <v>27610.52</v>
      </c>
      <c r="G51" s="232">
        <f t="shared" si="21"/>
        <v>27610.52</v>
      </c>
      <c r="H51" s="232">
        <f t="shared" si="21"/>
        <v>27610.52</v>
      </c>
      <c r="I51" s="232">
        <f t="shared" si="21"/>
        <v>27610.52</v>
      </c>
      <c r="J51" s="232">
        <f t="shared" si="21"/>
        <v>27610.52</v>
      </c>
      <c r="K51" s="232">
        <f t="shared" si="21"/>
        <v>27610.52</v>
      </c>
      <c r="L51" s="232">
        <f t="shared" si="21"/>
        <v>27610.52</v>
      </c>
      <c r="M51" s="232">
        <f t="shared" si="21"/>
        <v>27610.52</v>
      </c>
      <c r="N51" s="232">
        <f t="shared" si="21"/>
        <v>27610.52</v>
      </c>
      <c r="O51" s="232">
        <f t="shared" si="21"/>
        <v>55221.04</v>
      </c>
      <c r="P51" s="232">
        <f t="shared" si="21"/>
        <v>331326.23999999993</v>
      </c>
      <c r="Q51" s="297">
        <f t="shared" si="2"/>
        <v>0</v>
      </c>
    </row>
    <row r="52" spans="1:17" s="170" customFormat="1" x14ac:dyDescent="0.2">
      <c r="A52" s="115">
        <v>162</v>
      </c>
      <c r="B52" s="328" t="s">
        <v>342</v>
      </c>
      <c r="C52" s="353">
        <f t="shared" si="21"/>
        <v>331326.24</v>
      </c>
      <c r="D52" s="332">
        <f t="shared" si="21"/>
        <v>0</v>
      </c>
      <c r="E52" s="232">
        <f t="shared" si="21"/>
        <v>27610.52</v>
      </c>
      <c r="F52" s="232">
        <f t="shared" si="21"/>
        <v>27610.52</v>
      </c>
      <c r="G52" s="232">
        <f t="shared" si="21"/>
        <v>27610.52</v>
      </c>
      <c r="H52" s="232">
        <f t="shared" si="21"/>
        <v>27610.52</v>
      </c>
      <c r="I52" s="232">
        <f t="shared" si="21"/>
        <v>27610.52</v>
      </c>
      <c r="J52" s="232">
        <f t="shared" si="21"/>
        <v>27610.52</v>
      </c>
      <c r="K52" s="232">
        <f t="shared" si="21"/>
        <v>27610.52</v>
      </c>
      <c r="L52" s="232">
        <f t="shared" si="21"/>
        <v>27610.52</v>
      </c>
      <c r="M52" s="232">
        <f t="shared" si="21"/>
        <v>27610.52</v>
      </c>
      <c r="N52" s="232">
        <f t="shared" si="21"/>
        <v>27610.52</v>
      </c>
      <c r="O52" s="232">
        <f t="shared" si="21"/>
        <v>55221.04</v>
      </c>
      <c r="P52" s="332">
        <f t="shared" si="21"/>
        <v>331326.23999999993</v>
      </c>
      <c r="Q52" s="297">
        <f t="shared" si="2"/>
        <v>0</v>
      </c>
    </row>
    <row r="53" spans="1:17" s="170" customFormat="1" x14ac:dyDescent="0.2">
      <c r="A53" s="103">
        <v>16201</v>
      </c>
      <c r="B53" s="329" t="s">
        <v>580</v>
      </c>
      <c r="C53" s="354">
        <f>(27610.52*12)</f>
        <v>331326.24</v>
      </c>
      <c r="D53" s="333"/>
      <c r="E53" s="298">
        <f>27610.52</f>
        <v>27610.52</v>
      </c>
      <c r="F53" s="298">
        <f t="shared" ref="F53:N53" si="22">27610.52</f>
        <v>27610.52</v>
      </c>
      <c r="G53" s="298">
        <f t="shared" si="22"/>
        <v>27610.52</v>
      </c>
      <c r="H53" s="298">
        <f t="shared" si="22"/>
        <v>27610.52</v>
      </c>
      <c r="I53" s="298">
        <f t="shared" si="22"/>
        <v>27610.52</v>
      </c>
      <c r="J53" s="298">
        <f t="shared" si="22"/>
        <v>27610.52</v>
      </c>
      <c r="K53" s="298">
        <f t="shared" si="22"/>
        <v>27610.52</v>
      </c>
      <c r="L53" s="298">
        <f t="shared" si="22"/>
        <v>27610.52</v>
      </c>
      <c r="M53" s="298">
        <f t="shared" si="22"/>
        <v>27610.52</v>
      </c>
      <c r="N53" s="298">
        <f t="shared" si="22"/>
        <v>27610.52</v>
      </c>
      <c r="O53" s="298">
        <f>27610.52*2</f>
        <v>55221.04</v>
      </c>
      <c r="P53" s="333">
        <f t="shared" ref="P53" si="23">SUM(D53:O53)</f>
        <v>331326.23999999993</v>
      </c>
      <c r="Q53" s="297">
        <f t="shared" si="2"/>
        <v>0</v>
      </c>
    </row>
    <row r="54" spans="1:17" s="170" customFormat="1" hidden="1" x14ac:dyDescent="0.2">
      <c r="A54" s="115">
        <v>163</v>
      </c>
      <c r="B54" s="328" t="s">
        <v>581</v>
      </c>
      <c r="C54" s="353">
        <v>0</v>
      </c>
      <c r="D54" s="3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332">
        <v>0</v>
      </c>
      <c r="Q54" s="297">
        <f t="shared" si="2"/>
        <v>0</v>
      </c>
    </row>
    <row r="55" spans="1:17" s="170" customFormat="1" hidden="1" x14ac:dyDescent="0.2">
      <c r="A55" s="103">
        <v>16304</v>
      </c>
      <c r="B55" s="329" t="s">
        <v>582</v>
      </c>
      <c r="C55" s="354">
        <v>0</v>
      </c>
      <c r="D55" s="333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333">
        <v>0</v>
      </c>
      <c r="Q55" s="297">
        <f t="shared" si="2"/>
        <v>0</v>
      </c>
    </row>
    <row r="56" spans="1:17" s="170" customFormat="1" hidden="1" x14ac:dyDescent="0.2">
      <c r="A56" s="115">
        <v>21</v>
      </c>
      <c r="B56" s="328" t="s">
        <v>583</v>
      </c>
      <c r="C56" s="353">
        <v>0</v>
      </c>
      <c r="D56" s="3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332">
        <v>0</v>
      </c>
      <c r="Q56" s="297">
        <f t="shared" si="2"/>
        <v>0</v>
      </c>
    </row>
    <row r="57" spans="1:17" s="170" customFormat="1" hidden="1" x14ac:dyDescent="0.2">
      <c r="A57" s="103">
        <v>212</v>
      </c>
      <c r="B57" s="329" t="s">
        <v>584</v>
      </c>
      <c r="C57" s="354">
        <v>0</v>
      </c>
      <c r="D57" s="3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333">
        <v>0</v>
      </c>
      <c r="Q57" s="297">
        <f t="shared" si="2"/>
        <v>0</v>
      </c>
    </row>
    <row r="58" spans="1:17" s="170" customFormat="1" hidden="1" x14ac:dyDescent="0.2">
      <c r="A58" s="103">
        <v>21201</v>
      </c>
      <c r="B58" s="329" t="s">
        <v>585</v>
      </c>
      <c r="C58" s="354">
        <v>0</v>
      </c>
      <c r="D58" s="3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333">
        <v>0</v>
      </c>
      <c r="Q58" s="297">
        <f t="shared" si="2"/>
        <v>0</v>
      </c>
    </row>
    <row r="59" spans="1:17" s="170" customFormat="1" x14ac:dyDescent="0.2">
      <c r="A59" s="115">
        <v>22</v>
      </c>
      <c r="B59" s="328" t="s">
        <v>12</v>
      </c>
      <c r="C59" s="353">
        <f>C60</f>
        <v>993978.73</v>
      </c>
      <c r="D59" s="626">
        <f t="shared" ref="D59:P60" si="24">D60</f>
        <v>0</v>
      </c>
      <c r="E59" s="345">
        <f t="shared" si="24"/>
        <v>82831.56</v>
      </c>
      <c r="F59" s="345">
        <f t="shared" si="24"/>
        <v>82831.56</v>
      </c>
      <c r="G59" s="345">
        <f t="shared" si="24"/>
        <v>82831.56</v>
      </c>
      <c r="H59" s="345">
        <f t="shared" si="24"/>
        <v>82831.56</v>
      </c>
      <c r="I59" s="345">
        <f t="shared" si="24"/>
        <v>82831.56</v>
      </c>
      <c r="J59" s="345">
        <f t="shared" si="24"/>
        <v>82831.56</v>
      </c>
      <c r="K59" s="345">
        <f t="shared" si="24"/>
        <v>82831.56</v>
      </c>
      <c r="L59" s="345">
        <f t="shared" si="24"/>
        <v>82831.56</v>
      </c>
      <c r="M59" s="345">
        <f t="shared" si="24"/>
        <v>82831.56</v>
      </c>
      <c r="N59" s="345">
        <f t="shared" si="24"/>
        <v>82831.56</v>
      </c>
      <c r="O59" s="345">
        <f t="shared" si="24"/>
        <v>165663.13</v>
      </c>
      <c r="P59" s="232">
        <f t="shared" si="24"/>
        <v>993978.7300000001</v>
      </c>
      <c r="Q59" s="297">
        <f t="shared" si="2"/>
        <v>0</v>
      </c>
    </row>
    <row r="60" spans="1:17" s="170" customFormat="1" x14ac:dyDescent="0.2">
      <c r="A60" s="115">
        <v>222</v>
      </c>
      <c r="B60" s="328" t="s">
        <v>343</v>
      </c>
      <c r="C60" s="353">
        <f>C61</f>
        <v>993978.73</v>
      </c>
      <c r="D60" s="626">
        <f t="shared" si="24"/>
        <v>0</v>
      </c>
      <c r="E60" s="345">
        <f t="shared" si="24"/>
        <v>82831.56</v>
      </c>
      <c r="F60" s="345">
        <f t="shared" si="24"/>
        <v>82831.56</v>
      </c>
      <c r="G60" s="345">
        <f t="shared" si="24"/>
        <v>82831.56</v>
      </c>
      <c r="H60" s="345">
        <f t="shared" si="24"/>
        <v>82831.56</v>
      </c>
      <c r="I60" s="345">
        <f t="shared" si="24"/>
        <v>82831.56</v>
      </c>
      <c r="J60" s="345">
        <f t="shared" si="24"/>
        <v>82831.56</v>
      </c>
      <c r="K60" s="345">
        <f t="shared" si="24"/>
        <v>82831.56</v>
      </c>
      <c r="L60" s="345">
        <f t="shared" si="24"/>
        <v>82831.56</v>
      </c>
      <c r="M60" s="345">
        <f t="shared" si="24"/>
        <v>82831.56</v>
      </c>
      <c r="N60" s="345">
        <f t="shared" si="24"/>
        <v>82831.56</v>
      </c>
      <c r="O60" s="345">
        <f t="shared" si="24"/>
        <v>165663.13</v>
      </c>
      <c r="P60" s="232">
        <f t="shared" si="24"/>
        <v>993978.7300000001</v>
      </c>
      <c r="Q60" s="297">
        <f t="shared" si="2"/>
        <v>0</v>
      </c>
    </row>
    <row r="61" spans="1:17" s="170" customFormat="1" x14ac:dyDescent="0.2">
      <c r="A61" s="103">
        <v>22201</v>
      </c>
      <c r="B61" s="329" t="s">
        <v>586</v>
      </c>
      <c r="C61" s="354">
        <f>(82831.56*11)+82831.57</f>
        <v>993978.73</v>
      </c>
      <c r="D61" s="333"/>
      <c r="E61" s="298">
        <v>82831.56</v>
      </c>
      <c r="F61" s="298">
        <v>82831.56</v>
      </c>
      <c r="G61" s="298">
        <v>82831.56</v>
      </c>
      <c r="H61" s="298">
        <v>82831.56</v>
      </c>
      <c r="I61" s="298">
        <v>82831.56</v>
      </c>
      <c r="J61" s="298">
        <v>82831.56</v>
      </c>
      <c r="K61" s="298">
        <v>82831.56</v>
      </c>
      <c r="L61" s="298">
        <v>82831.56</v>
      </c>
      <c r="M61" s="298">
        <v>82831.56</v>
      </c>
      <c r="N61" s="298">
        <v>82831.56</v>
      </c>
      <c r="O61" s="298">
        <f>82831.56+82831.57</f>
        <v>165663.13</v>
      </c>
      <c r="P61" s="233">
        <f t="shared" ref="P61" si="25">SUM(D61:O61)</f>
        <v>993978.7300000001</v>
      </c>
      <c r="Q61" s="297">
        <f t="shared" si="2"/>
        <v>0</v>
      </c>
    </row>
    <row r="62" spans="1:17" s="170" customFormat="1" hidden="1" x14ac:dyDescent="0.2">
      <c r="A62" s="115">
        <v>31</v>
      </c>
      <c r="B62" s="328" t="s">
        <v>344</v>
      </c>
      <c r="C62" s="353">
        <f t="shared" ref="C62:P63" si="26">C63</f>
        <v>0</v>
      </c>
      <c r="D62" s="3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332">
        <f t="shared" si="26"/>
        <v>0</v>
      </c>
      <c r="Q62" s="297">
        <f t="shared" si="2"/>
        <v>0</v>
      </c>
    </row>
    <row r="63" spans="1:17" s="170" customFormat="1" hidden="1" x14ac:dyDescent="0.2">
      <c r="A63" s="115">
        <v>313</v>
      </c>
      <c r="B63" s="328" t="s">
        <v>345</v>
      </c>
      <c r="C63" s="353">
        <f t="shared" si="26"/>
        <v>0</v>
      </c>
      <c r="D63" s="3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332">
        <f t="shared" si="26"/>
        <v>0</v>
      </c>
      <c r="Q63" s="297">
        <f t="shared" si="2"/>
        <v>0</v>
      </c>
    </row>
    <row r="64" spans="1:17" s="170" customFormat="1" hidden="1" x14ac:dyDescent="0.2">
      <c r="A64" s="103">
        <v>31308</v>
      </c>
      <c r="B64" s="329" t="s">
        <v>239</v>
      </c>
      <c r="C64" s="354">
        <v>0</v>
      </c>
      <c r="D64" s="3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333">
        <v>0</v>
      </c>
      <c r="Q64" s="297">
        <f t="shared" si="2"/>
        <v>0</v>
      </c>
    </row>
    <row r="65" spans="1:17" s="170" customFormat="1" x14ac:dyDescent="0.2">
      <c r="A65" s="115">
        <v>32</v>
      </c>
      <c r="B65" s="328" t="s">
        <v>13</v>
      </c>
      <c r="C65" s="353">
        <v>299211.05</v>
      </c>
      <c r="D65" s="332">
        <f>D66+D68</f>
        <v>173034.83499999999</v>
      </c>
      <c r="E65" s="232">
        <f t="shared" ref="E65:P65" si="27">E66+E68</f>
        <v>11470.565000000001</v>
      </c>
      <c r="F65" s="232">
        <f t="shared" si="27"/>
        <v>11470.565000000001</v>
      </c>
      <c r="G65" s="232">
        <f t="shared" si="27"/>
        <v>11470.565000000001</v>
      </c>
      <c r="H65" s="232">
        <f t="shared" si="27"/>
        <v>11470.565000000001</v>
      </c>
      <c r="I65" s="232">
        <f t="shared" si="27"/>
        <v>11470.565000000001</v>
      </c>
      <c r="J65" s="232">
        <f t="shared" si="27"/>
        <v>11470.565000000001</v>
      </c>
      <c r="K65" s="232">
        <f t="shared" si="27"/>
        <v>11470.565000000001</v>
      </c>
      <c r="L65" s="232">
        <f t="shared" si="27"/>
        <v>11470.565000000001</v>
      </c>
      <c r="M65" s="232">
        <f t="shared" si="27"/>
        <v>11470.565000000001</v>
      </c>
      <c r="N65" s="232">
        <f t="shared" si="27"/>
        <v>11470.565000000001</v>
      </c>
      <c r="O65" s="232">
        <f t="shared" si="27"/>
        <v>11470.565000000001</v>
      </c>
      <c r="P65" s="332">
        <f t="shared" si="27"/>
        <v>299211.05</v>
      </c>
      <c r="Q65" s="297">
        <f>C65-P65</f>
        <v>0</v>
      </c>
    </row>
    <row r="66" spans="1:17" s="170" customFormat="1" x14ac:dyDescent="0.2">
      <c r="A66" s="115">
        <v>321</v>
      </c>
      <c r="B66" s="328" t="s">
        <v>346</v>
      </c>
      <c r="C66" s="353">
        <v>161564.26999999999</v>
      </c>
      <c r="D66" s="332">
        <f t="shared" ref="D66:P66" si="28">D67</f>
        <v>161564.26999999999</v>
      </c>
      <c r="E66" s="232">
        <f t="shared" si="28"/>
        <v>0</v>
      </c>
      <c r="F66" s="232">
        <f t="shared" si="28"/>
        <v>0</v>
      </c>
      <c r="G66" s="232">
        <f t="shared" si="28"/>
        <v>0</v>
      </c>
      <c r="H66" s="232">
        <f t="shared" si="28"/>
        <v>0</v>
      </c>
      <c r="I66" s="232">
        <f t="shared" si="28"/>
        <v>0</v>
      </c>
      <c r="J66" s="232">
        <f t="shared" si="28"/>
        <v>0</v>
      </c>
      <c r="K66" s="232">
        <f t="shared" si="28"/>
        <v>0</v>
      </c>
      <c r="L66" s="232">
        <f t="shared" si="28"/>
        <v>0</v>
      </c>
      <c r="M66" s="232">
        <f t="shared" si="28"/>
        <v>0</v>
      </c>
      <c r="N66" s="232">
        <f t="shared" si="28"/>
        <v>0</v>
      </c>
      <c r="O66" s="232">
        <f t="shared" si="28"/>
        <v>0</v>
      </c>
      <c r="P66" s="332">
        <f t="shared" si="28"/>
        <v>161564.26999999999</v>
      </c>
      <c r="Q66" s="297">
        <f t="shared" si="2"/>
        <v>0</v>
      </c>
    </row>
    <row r="67" spans="1:17" s="170" customFormat="1" x14ac:dyDescent="0.2">
      <c r="A67" s="103">
        <v>32102</v>
      </c>
      <c r="B67" s="359" t="s">
        <v>621</v>
      </c>
      <c r="C67" s="354">
        <v>161564.26999999999</v>
      </c>
      <c r="D67" s="354">
        <v>161564.26999999999</v>
      </c>
      <c r="E67" s="233"/>
      <c r="F67" s="233"/>
      <c r="G67" s="233"/>
      <c r="H67" s="233"/>
      <c r="I67" s="233"/>
      <c r="J67" s="233"/>
      <c r="K67" s="233"/>
      <c r="L67" s="233"/>
      <c r="M67" s="233"/>
      <c r="N67" s="233"/>
      <c r="O67" s="233"/>
      <c r="P67" s="333">
        <f t="shared" ref="P67" si="29">SUM(D67:O67)</f>
        <v>161564.26999999999</v>
      </c>
      <c r="Q67" s="297">
        <f t="shared" si="2"/>
        <v>0</v>
      </c>
    </row>
    <row r="68" spans="1:17" s="170" customFormat="1" x14ac:dyDescent="0.2">
      <c r="A68" s="115">
        <v>322</v>
      </c>
      <c r="B68" s="328" t="s">
        <v>347</v>
      </c>
      <c r="C68" s="353">
        <v>137646.78</v>
      </c>
      <c r="D68" s="332">
        <f t="shared" ref="D68:P68" si="30">D69</f>
        <v>11470.565000000001</v>
      </c>
      <c r="E68" s="232">
        <f t="shared" si="30"/>
        <v>11470.565000000001</v>
      </c>
      <c r="F68" s="232">
        <f t="shared" si="30"/>
        <v>11470.565000000001</v>
      </c>
      <c r="G68" s="232">
        <f t="shared" si="30"/>
        <v>11470.565000000001</v>
      </c>
      <c r="H68" s="232">
        <f t="shared" si="30"/>
        <v>11470.565000000001</v>
      </c>
      <c r="I68" s="232">
        <f t="shared" si="30"/>
        <v>11470.565000000001</v>
      </c>
      <c r="J68" s="232">
        <f t="shared" si="30"/>
        <v>11470.565000000001</v>
      </c>
      <c r="K68" s="232">
        <f t="shared" si="30"/>
        <v>11470.565000000001</v>
      </c>
      <c r="L68" s="232">
        <f t="shared" si="30"/>
        <v>11470.565000000001</v>
      </c>
      <c r="M68" s="232">
        <f t="shared" si="30"/>
        <v>11470.565000000001</v>
      </c>
      <c r="N68" s="232">
        <f t="shared" si="30"/>
        <v>11470.565000000001</v>
      </c>
      <c r="O68" s="232">
        <f t="shared" si="30"/>
        <v>11470.565000000001</v>
      </c>
      <c r="P68" s="332">
        <f t="shared" si="30"/>
        <v>137646.78</v>
      </c>
      <c r="Q68" s="297">
        <f t="shared" si="2"/>
        <v>0</v>
      </c>
    </row>
    <row r="69" spans="1:17" s="170" customFormat="1" ht="13.5" thickBot="1" x14ac:dyDescent="0.25">
      <c r="A69" s="116">
        <v>32201</v>
      </c>
      <c r="B69" s="330" t="s">
        <v>347</v>
      </c>
      <c r="C69" s="355">
        <v>137646.78</v>
      </c>
      <c r="D69" s="333">
        <f t="shared" ref="D69:O69" si="31">$C69/12</f>
        <v>11470.565000000001</v>
      </c>
      <c r="E69" s="333">
        <f t="shared" si="31"/>
        <v>11470.565000000001</v>
      </c>
      <c r="F69" s="333">
        <f t="shared" si="31"/>
        <v>11470.565000000001</v>
      </c>
      <c r="G69" s="333">
        <f t="shared" si="31"/>
        <v>11470.565000000001</v>
      </c>
      <c r="H69" s="333">
        <f t="shared" si="31"/>
        <v>11470.565000000001</v>
      </c>
      <c r="I69" s="333">
        <f t="shared" si="31"/>
        <v>11470.565000000001</v>
      </c>
      <c r="J69" s="333">
        <f t="shared" si="31"/>
        <v>11470.565000000001</v>
      </c>
      <c r="K69" s="333">
        <f t="shared" si="31"/>
        <v>11470.565000000001</v>
      </c>
      <c r="L69" s="333">
        <f t="shared" si="31"/>
        <v>11470.565000000001</v>
      </c>
      <c r="M69" s="333">
        <f t="shared" si="31"/>
        <v>11470.565000000001</v>
      </c>
      <c r="N69" s="333">
        <f t="shared" si="31"/>
        <v>11470.565000000001</v>
      </c>
      <c r="O69" s="333">
        <f t="shared" si="31"/>
        <v>11470.565000000001</v>
      </c>
      <c r="P69" s="628">
        <f t="shared" ref="P69" si="32">SUM(D69:O69)</f>
        <v>137646.78</v>
      </c>
      <c r="Q69" s="297">
        <f t="shared" si="2"/>
        <v>0</v>
      </c>
    </row>
    <row r="70" spans="1:17" s="170" customFormat="1" ht="13.5" thickBot="1" x14ac:dyDescent="0.25">
      <c r="A70" s="1046" t="s">
        <v>587</v>
      </c>
      <c r="B70" s="1047"/>
      <c r="C70" s="235">
        <f>C8+C17+C34+C38+C51+C59+C62+C65</f>
        <v>1901620.2339999999</v>
      </c>
      <c r="D70" s="334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>
        <f>P8+P17+P34+P38+P51+P59+P65</f>
        <v>1901620.2339999999</v>
      </c>
      <c r="Q70" s="297">
        <f t="shared" si="2"/>
        <v>0</v>
      </c>
    </row>
    <row r="71" spans="1:17" s="170" customFormat="1" ht="13.5" thickBot="1" x14ac:dyDescent="0.25">
      <c r="A71" s="1046" t="s">
        <v>348</v>
      </c>
      <c r="B71" s="1047"/>
      <c r="C71" s="235">
        <f>+C70</f>
        <v>1901620.2339999999</v>
      </c>
      <c r="D71" s="334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>
        <f t="shared" ref="P71" si="33">+P70</f>
        <v>1901620.2339999999</v>
      </c>
      <c r="Q71" s="297">
        <f t="shared" si="2"/>
        <v>0</v>
      </c>
    </row>
    <row r="72" spans="1:17" ht="13.5" thickBot="1" x14ac:dyDescent="0.25">
      <c r="P72" s="237"/>
    </row>
    <row r="73" spans="1:17" ht="13.5" thickBot="1" x14ac:dyDescent="0.25">
      <c r="C73" s="235">
        <f>'ING. REALES'!J71</f>
        <v>1901620.2339999999</v>
      </c>
      <c r="P73" s="236">
        <f>'ING. REALES'!J71-DISTRIBUCIÓN!P71</f>
        <v>0</v>
      </c>
    </row>
    <row r="74" spans="1:17" x14ac:dyDescent="0.2">
      <c r="C74" s="237">
        <f>C73-C71</f>
        <v>0</v>
      </c>
      <c r="P74" s="237"/>
    </row>
    <row r="75" spans="1:17" x14ac:dyDescent="0.2">
      <c r="P75" s="245"/>
    </row>
  </sheetData>
  <autoFilter ref="A5:P71"/>
  <mergeCells count="5">
    <mergeCell ref="A70:B70"/>
    <mergeCell ref="A71:B71"/>
    <mergeCell ref="A1:P3"/>
    <mergeCell ref="A5:A7"/>
    <mergeCell ref="B5:B7"/>
  </mergeCells>
  <pageMargins left="0.11811023622047245" right="0.11811023622047245" top="0.55118110236220474" bottom="0.55118110236220474" header="0" footer="0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V30"/>
  <sheetViews>
    <sheetView showGridLines="0" topLeftCell="C1" zoomScaleNormal="100" workbookViewId="0">
      <selection activeCell="H29" sqref="H29"/>
    </sheetView>
  </sheetViews>
  <sheetFormatPr baseColWidth="10" defaultColWidth="9.140625" defaultRowHeight="12.75" x14ac:dyDescent="0.2"/>
  <cols>
    <col min="1" max="2" width="4.28515625" style="104" hidden="1" customWidth="1"/>
    <col min="3" max="3" width="5.42578125" style="104" customWidth="1"/>
    <col min="4" max="4" width="30.140625" style="104" customWidth="1"/>
    <col min="5" max="5" width="17.7109375" style="104" customWidth="1"/>
    <col min="6" max="6" width="9.5703125" style="104" customWidth="1"/>
    <col min="7" max="7" width="15.140625" style="104" customWidth="1"/>
    <col min="8" max="8" width="9.140625" style="104" customWidth="1"/>
    <col min="9" max="9" width="11.28515625" style="104" customWidth="1"/>
    <col min="10" max="10" width="12.42578125" style="104" customWidth="1"/>
    <col min="11" max="11" width="14.42578125" style="104" customWidth="1"/>
    <col min="12" max="12" width="15.42578125" style="104" customWidth="1"/>
    <col min="13" max="17" width="9.140625" style="104" hidden="1" customWidth="1"/>
    <col min="18" max="18" width="10" style="104" hidden="1" customWidth="1"/>
    <col min="19" max="19" width="9.140625" style="104" hidden="1" customWidth="1"/>
    <col min="20" max="20" width="9.140625" style="736"/>
    <col min="21" max="16384" width="9.140625" style="104"/>
  </cols>
  <sheetData>
    <row r="2" spans="3:22" ht="12.75" customHeight="1" x14ac:dyDescent="0.2">
      <c r="C2" s="1066" t="s">
        <v>670</v>
      </c>
      <c r="D2" s="1066"/>
      <c r="E2" s="1066"/>
      <c r="F2" s="1066"/>
      <c r="G2" s="1066"/>
      <c r="H2" s="1066"/>
      <c r="I2" s="1066"/>
      <c r="J2" s="1066"/>
      <c r="K2" s="1066"/>
      <c r="L2" s="1066"/>
      <c r="M2" s="1066"/>
      <c r="N2" s="31"/>
      <c r="O2" s="31"/>
      <c r="P2" s="31"/>
      <c r="Q2" s="31"/>
      <c r="R2" s="31"/>
      <c r="S2" s="31"/>
    </row>
    <row r="3" spans="3:22" ht="46.5" customHeight="1" thickBot="1" x14ac:dyDescent="0.25">
      <c r="C3" s="1067"/>
      <c r="D3" s="1067"/>
      <c r="E3" s="1067"/>
      <c r="F3" s="1067"/>
      <c r="G3" s="1067"/>
      <c r="H3" s="1067"/>
      <c r="I3" s="1067"/>
      <c r="J3" s="1067"/>
      <c r="K3" s="1067"/>
      <c r="L3" s="1067"/>
      <c r="M3" s="1067"/>
      <c r="N3" s="31"/>
      <c r="O3" s="31"/>
      <c r="P3" s="31"/>
      <c r="Q3" s="31"/>
      <c r="R3" s="31"/>
      <c r="S3" s="31"/>
    </row>
    <row r="4" spans="3:22" s="107" customFormat="1" ht="27.75" customHeight="1" thickBot="1" x14ac:dyDescent="0.25">
      <c r="C4" s="1068" t="s">
        <v>388</v>
      </c>
      <c r="D4" s="1068" t="s">
        <v>627</v>
      </c>
      <c r="E4" s="1084" t="s">
        <v>628</v>
      </c>
      <c r="F4" s="1085" t="s">
        <v>390</v>
      </c>
      <c r="G4" s="1085" t="s">
        <v>349</v>
      </c>
      <c r="H4" s="1076" t="s">
        <v>350</v>
      </c>
      <c r="I4" s="1080" t="s">
        <v>351</v>
      </c>
      <c r="J4" s="1081"/>
      <c r="K4" s="714" t="s">
        <v>17</v>
      </c>
      <c r="L4" s="1048" t="s">
        <v>532</v>
      </c>
      <c r="M4" s="1079" t="s">
        <v>352</v>
      </c>
      <c r="N4" s="1068"/>
      <c r="O4" s="1068"/>
      <c r="P4" s="1068"/>
      <c r="Q4" s="1068"/>
      <c r="R4" s="1068" t="s">
        <v>353</v>
      </c>
      <c r="S4" s="1068" t="s">
        <v>354</v>
      </c>
      <c r="T4" s="737"/>
    </row>
    <row r="5" spans="3:22" s="107" customFormat="1" ht="23.25" customHeight="1" thickBot="1" x14ac:dyDescent="0.25">
      <c r="C5" s="1068"/>
      <c r="D5" s="1068"/>
      <c r="E5" s="1084"/>
      <c r="F5" s="1085"/>
      <c r="G5" s="1085"/>
      <c r="H5" s="1076"/>
      <c r="I5" s="1082" t="s">
        <v>397</v>
      </c>
      <c r="J5" s="1086" t="s">
        <v>16</v>
      </c>
      <c r="K5" s="1074" t="s">
        <v>355</v>
      </c>
      <c r="L5" s="1049"/>
      <c r="M5" s="110" t="s">
        <v>356</v>
      </c>
      <c r="N5" s="1068" t="s">
        <v>357</v>
      </c>
      <c r="O5" s="1068"/>
      <c r="P5" s="1068"/>
      <c r="Q5" s="1068"/>
      <c r="R5" s="1068"/>
      <c r="S5" s="1068"/>
      <c r="T5" s="737"/>
    </row>
    <row r="6" spans="3:22" s="107" customFormat="1" ht="15.75" customHeight="1" thickBot="1" x14ac:dyDescent="0.25">
      <c r="C6" s="1068"/>
      <c r="D6" s="1068"/>
      <c r="E6" s="1084"/>
      <c r="F6" s="1085"/>
      <c r="G6" s="1085"/>
      <c r="H6" s="1076"/>
      <c r="I6" s="1083"/>
      <c r="J6" s="1087"/>
      <c r="K6" s="1075"/>
      <c r="L6" s="1050"/>
      <c r="M6" s="110" t="s">
        <v>358</v>
      </c>
      <c r="N6" s="102" t="s">
        <v>359</v>
      </c>
      <c r="O6" s="102" t="s">
        <v>19</v>
      </c>
      <c r="P6" s="102" t="s">
        <v>360</v>
      </c>
      <c r="Q6" s="102" t="s">
        <v>361</v>
      </c>
      <c r="R6" s="1068"/>
      <c r="S6" s="1068"/>
      <c r="T6" s="737"/>
    </row>
    <row r="7" spans="3:22" s="107" customFormat="1" ht="31.5" customHeight="1" x14ac:dyDescent="0.2">
      <c r="C7" s="718">
        <v>1</v>
      </c>
      <c r="D7" s="719" t="s">
        <v>674</v>
      </c>
      <c r="E7" s="659"/>
      <c r="F7" s="528">
        <v>1</v>
      </c>
      <c r="G7" s="720" t="s">
        <v>351</v>
      </c>
      <c r="H7" s="721" t="s">
        <v>20</v>
      </c>
      <c r="I7" s="722">
        <v>791</v>
      </c>
      <c r="J7" s="723">
        <f>I7*12</f>
        <v>9492</v>
      </c>
      <c r="K7" s="724">
        <v>0</v>
      </c>
      <c r="L7" s="725">
        <f>+K7+J7</f>
        <v>9492</v>
      </c>
      <c r="M7" s="120">
        <v>0</v>
      </c>
      <c r="N7" s="119"/>
      <c r="O7" s="119">
        <v>0</v>
      </c>
      <c r="P7" s="119"/>
      <c r="Q7" s="119">
        <v>0</v>
      </c>
      <c r="R7" s="119">
        <v>0</v>
      </c>
      <c r="S7" s="119"/>
      <c r="T7" s="737"/>
      <c r="U7" s="106"/>
      <c r="V7" s="121"/>
    </row>
    <row r="8" spans="3:22" s="107" customFormat="1" ht="31.5" customHeight="1" thickBot="1" x14ac:dyDescent="0.25">
      <c r="C8" s="726">
        <v>1</v>
      </c>
      <c r="D8" s="642" t="s">
        <v>726</v>
      </c>
      <c r="E8" s="727"/>
      <c r="F8" s="728">
        <v>1</v>
      </c>
      <c r="G8" s="729" t="s">
        <v>351</v>
      </c>
      <c r="H8" s="730" t="s">
        <v>20</v>
      </c>
      <c r="I8" s="731">
        <v>400</v>
      </c>
      <c r="J8" s="732">
        <f>I8*3</f>
        <v>1200</v>
      </c>
      <c r="K8" s="733">
        <v>0</v>
      </c>
      <c r="L8" s="734">
        <f>+K8+J8</f>
        <v>1200</v>
      </c>
      <c r="M8" s="120">
        <v>0</v>
      </c>
      <c r="N8" s="119"/>
      <c r="O8" s="119">
        <v>0</v>
      </c>
      <c r="P8" s="119"/>
      <c r="Q8" s="119">
        <v>0</v>
      </c>
      <c r="R8" s="119">
        <v>0</v>
      </c>
      <c r="S8" s="119"/>
      <c r="T8" s="737"/>
      <c r="U8" s="106"/>
      <c r="V8" s="121"/>
    </row>
    <row r="9" spans="3:22" s="107" customFormat="1" ht="14.25" customHeight="1" thickBot="1" x14ac:dyDescent="0.25">
      <c r="C9" s="1070" t="s">
        <v>386</v>
      </c>
      <c r="D9" s="1071"/>
      <c r="E9" s="1071"/>
      <c r="F9" s="1071"/>
      <c r="G9" s="1071"/>
      <c r="H9" s="1071"/>
      <c r="I9" s="664">
        <f>I7</f>
        <v>791</v>
      </c>
      <c r="J9" s="906">
        <f>J7</f>
        <v>9492</v>
      </c>
      <c r="K9" s="660">
        <f>K7</f>
        <v>0</v>
      </c>
      <c r="L9" s="664">
        <f>L7</f>
        <v>9492</v>
      </c>
      <c r="M9" s="126" t="e">
        <f>SUM(#REF!)</f>
        <v>#REF!</v>
      </c>
      <c r="N9" s="124" t="e">
        <f>SUM(#REF!)</f>
        <v>#REF!</v>
      </c>
      <c r="O9" s="124" t="e">
        <f>SUM(#REF!)</f>
        <v>#REF!</v>
      </c>
      <c r="P9" s="124" t="e">
        <f>SUM(#REF!)</f>
        <v>#REF!</v>
      </c>
      <c r="Q9" s="124" t="e">
        <f>SUM(#REF!)</f>
        <v>#REF!</v>
      </c>
      <c r="R9" s="124" t="e">
        <f>SUM(#REF!)</f>
        <v>#REF!</v>
      </c>
      <c r="S9" s="124" t="e">
        <f>SUM(#REF!)</f>
        <v>#REF!</v>
      </c>
      <c r="T9" s="737"/>
    </row>
    <row r="10" spans="3:22" s="107" customFormat="1" hidden="1" x14ac:dyDescent="0.2">
      <c r="C10" s="127"/>
      <c r="D10" s="127"/>
      <c r="E10" s="118" t="s">
        <v>364</v>
      </c>
      <c r="F10" s="118"/>
      <c r="G10" s="118" t="s">
        <v>26</v>
      </c>
      <c r="H10" s="657" t="s">
        <v>21</v>
      </c>
      <c r="I10" s="590"/>
      <c r="J10" s="128">
        <f t="shared" ref="J10:J17" si="0">I10*12</f>
        <v>0</v>
      </c>
      <c r="K10" s="661"/>
      <c r="L10" s="665"/>
      <c r="M10" s="122">
        <v>0</v>
      </c>
      <c r="N10" s="123"/>
      <c r="O10" s="123">
        <v>0</v>
      </c>
      <c r="P10" s="123"/>
      <c r="Q10" s="123">
        <f t="shared" ref="Q10:Q17" si="1">SUM(N10:P10)</f>
        <v>0</v>
      </c>
      <c r="R10" s="123">
        <f t="shared" ref="R10:R17" si="2">J10*0.01</f>
        <v>0</v>
      </c>
      <c r="S10" s="123"/>
      <c r="T10" s="737"/>
    </row>
    <row r="11" spans="3:22" s="107" customFormat="1" hidden="1" x14ac:dyDescent="0.2">
      <c r="C11" s="127"/>
      <c r="D11" s="127"/>
      <c r="E11" s="118" t="s">
        <v>365</v>
      </c>
      <c r="F11" s="118"/>
      <c r="G11" s="118" t="s">
        <v>26</v>
      </c>
      <c r="H11" s="657" t="s">
        <v>21</v>
      </c>
      <c r="I11" s="590"/>
      <c r="J11" s="128">
        <f t="shared" si="0"/>
        <v>0</v>
      </c>
      <c r="K11" s="661"/>
      <c r="L11" s="665"/>
      <c r="M11" s="122">
        <v>0</v>
      </c>
      <c r="N11" s="123"/>
      <c r="O11" s="123">
        <v>0</v>
      </c>
      <c r="P11" s="123"/>
      <c r="Q11" s="123">
        <f t="shared" si="1"/>
        <v>0</v>
      </c>
      <c r="R11" s="123">
        <f t="shared" si="2"/>
        <v>0</v>
      </c>
      <c r="S11" s="123"/>
      <c r="T11" s="737"/>
    </row>
    <row r="12" spans="3:22" s="107" customFormat="1" hidden="1" x14ac:dyDescent="0.2">
      <c r="C12" s="127"/>
      <c r="D12" s="127"/>
      <c r="E12" s="118" t="s">
        <v>366</v>
      </c>
      <c r="F12" s="118"/>
      <c r="G12" s="118" t="s">
        <v>26</v>
      </c>
      <c r="H12" s="657" t="s">
        <v>21</v>
      </c>
      <c r="I12" s="590"/>
      <c r="J12" s="128">
        <f t="shared" si="0"/>
        <v>0</v>
      </c>
      <c r="K12" s="661"/>
      <c r="L12" s="665"/>
      <c r="M12" s="122">
        <v>0</v>
      </c>
      <c r="N12" s="123"/>
      <c r="O12" s="123">
        <v>0</v>
      </c>
      <c r="P12" s="123"/>
      <c r="Q12" s="123">
        <f t="shared" si="1"/>
        <v>0</v>
      </c>
      <c r="R12" s="123">
        <f t="shared" si="2"/>
        <v>0</v>
      </c>
      <c r="S12" s="123"/>
      <c r="T12" s="737"/>
    </row>
    <row r="13" spans="3:22" s="107" customFormat="1" hidden="1" x14ac:dyDescent="0.2">
      <c r="C13" s="127"/>
      <c r="D13" s="127"/>
      <c r="E13" s="118" t="s">
        <v>367</v>
      </c>
      <c r="F13" s="118"/>
      <c r="G13" s="118" t="s">
        <v>26</v>
      </c>
      <c r="H13" s="657" t="s">
        <v>21</v>
      </c>
      <c r="I13" s="590"/>
      <c r="J13" s="128">
        <f t="shared" si="0"/>
        <v>0</v>
      </c>
      <c r="K13" s="661"/>
      <c r="L13" s="665"/>
      <c r="M13" s="122">
        <v>0</v>
      </c>
      <c r="N13" s="123"/>
      <c r="O13" s="123">
        <v>0</v>
      </c>
      <c r="P13" s="123"/>
      <c r="Q13" s="123">
        <f t="shared" si="1"/>
        <v>0</v>
      </c>
      <c r="R13" s="123">
        <f t="shared" si="2"/>
        <v>0</v>
      </c>
      <c r="S13" s="123"/>
      <c r="T13" s="737"/>
    </row>
    <row r="14" spans="3:22" s="107" customFormat="1" hidden="1" x14ac:dyDescent="0.2">
      <c r="C14" s="127"/>
      <c r="D14" s="127"/>
      <c r="E14" s="118" t="s">
        <v>368</v>
      </c>
      <c r="F14" s="118"/>
      <c r="G14" s="118" t="s">
        <v>26</v>
      </c>
      <c r="H14" s="657" t="s">
        <v>21</v>
      </c>
      <c r="I14" s="590"/>
      <c r="J14" s="128">
        <f t="shared" si="0"/>
        <v>0</v>
      </c>
      <c r="K14" s="661"/>
      <c r="L14" s="665"/>
      <c r="M14" s="122">
        <v>0</v>
      </c>
      <c r="N14" s="123"/>
      <c r="O14" s="123">
        <v>0</v>
      </c>
      <c r="P14" s="123"/>
      <c r="Q14" s="123">
        <f t="shared" si="1"/>
        <v>0</v>
      </c>
      <c r="R14" s="123">
        <f t="shared" si="2"/>
        <v>0</v>
      </c>
      <c r="S14" s="123"/>
      <c r="T14" s="737"/>
    </row>
    <row r="15" spans="3:22" s="107" customFormat="1" ht="19.5" hidden="1" customHeight="1" x14ac:dyDescent="0.2">
      <c r="C15" s="127"/>
      <c r="D15" s="127"/>
      <c r="E15" s="118" t="s">
        <v>369</v>
      </c>
      <c r="F15" s="118"/>
      <c r="G15" s="118" t="s">
        <v>26</v>
      </c>
      <c r="H15" s="657" t="s">
        <v>21</v>
      </c>
      <c r="I15" s="590"/>
      <c r="J15" s="128">
        <f t="shared" si="0"/>
        <v>0</v>
      </c>
      <c r="K15" s="661"/>
      <c r="L15" s="665"/>
      <c r="M15" s="122">
        <v>0</v>
      </c>
      <c r="N15" s="123"/>
      <c r="O15" s="123">
        <v>0</v>
      </c>
      <c r="P15" s="123"/>
      <c r="Q15" s="123">
        <f t="shared" si="1"/>
        <v>0</v>
      </c>
      <c r="R15" s="123">
        <f t="shared" si="2"/>
        <v>0</v>
      </c>
      <c r="S15" s="123"/>
      <c r="T15" s="737"/>
    </row>
    <row r="16" spans="3:22" s="107" customFormat="1" hidden="1" x14ac:dyDescent="0.2">
      <c r="C16" s="127"/>
      <c r="D16" s="127"/>
      <c r="E16" s="118" t="s">
        <v>371</v>
      </c>
      <c r="F16" s="118"/>
      <c r="G16" s="118" t="s">
        <v>26</v>
      </c>
      <c r="H16" s="657" t="s">
        <v>21</v>
      </c>
      <c r="I16" s="590"/>
      <c r="J16" s="128">
        <f t="shared" si="0"/>
        <v>0</v>
      </c>
      <c r="K16" s="661"/>
      <c r="L16" s="665"/>
      <c r="M16" s="122">
        <v>0</v>
      </c>
      <c r="N16" s="123"/>
      <c r="O16" s="123">
        <v>0</v>
      </c>
      <c r="P16" s="123"/>
      <c r="Q16" s="123">
        <f t="shared" si="1"/>
        <v>0</v>
      </c>
      <c r="R16" s="123">
        <f t="shared" si="2"/>
        <v>0</v>
      </c>
      <c r="S16" s="123"/>
      <c r="T16" s="737"/>
    </row>
    <row r="17" spans="3:20" s="107" customFormat="1" hidden="1" x14ac:dyDescent="0.2">
      <c r="C17" s="127"/>
      <c r="D17" s="127"/>
      <c r="E17" s="118" t="s">
        <v>373</v>
      </c>
      <c r="F17" s="118"/>
      <c r="G17" s="118" t="s">
        <v>26</v>
      </c>
      <c r="H17" s="657" t="s">
        <v>21</v>
      </c>
      <c r="I17" s="590"/>
      <c r="J17" s="128">
        <f t="shared" si="0"/>
        <v>0</v>
      </c>
      <c r="K17" s="661"/>
      <c r="L17" s="665"/>
      <c r="M17" s="122">
        <v>0</v>
      </c>
      <c r="N17" s="123"/>
      <c r="O17" s="123">
        <v>0</v>
      </c>
      <c r="P17" s="123"/>
      <c r="Q17" s="123">
        <f t="shared" si="1"/>
        <v>0</v>
      </c>
      <c r="R17" s="123">
        <f t="shared" si="2"/>
        <v>0</v>
      </c>
      <c r="S17" s="123"/>
      <c r="T17" s="737"/>
    </row>
    <row r="18" spans="3:20" s="107" customFormat="1" hidden="1" x14ac:dyDescent="0.2">
      <c r="C18" s="1072" t="s">
        <v>374</v>
      </c>
      <c r="D18" s="1073"/>
      <c r="E18" s="1073"/>
      <c r="F18" s="1073"/>
      <c r="G18" s="1073"/>
      <c r="H18" s="1073"/>
      <c r="I18" s="591">
        <f t="shared" ref="I18:S18" si="3">SUM(I10:I17)</f>
        <v>0</v>
      </c>
      <c r="J18" s="125">
        <f t="shared" si="3"/>
        <v>0</v>
      </c>
      <c r="K18" s="662">
        <f t="shared" si="3"/>
        <v>0</v>
      </c>
      <c r="L18" s="666">
        <f t="shared" si="3"/>
        <v>0</v>
      </c>
      <c r="M18" s="126">
        <f t="shared" si="3"/>
        <v>0</v>
      </c>
      <c r="N18" s="124">
        <f t="shared" si="3"/>
        <v>0</v>
      </c>
      <c r="O18" s="124">
        <f t="shared" si="3"/>
        <v>0</v>
      </c>
      <c r="P18" s="124">
        <f t="shared" si="3"/>
        <v>0</v>
      </c>
      <c r="Q18" s="124">
        <f t="shared" si="3"/>
        <v>0</v>
      </c>
      <c r="R18" s="124">
        <f t="shared" si="3"/>
        <v>0</v>
      </c>
      <c r="S18" s="124">
        <f t="shared" si="3"/>
        <v>0</v>
      </c>
      <c r="T18" s="737"/>
    </row>
    <row r="19" spans="3:20" s="107" customFormat="1" ht="25.5" hidden="1" x14ac:dyDescent="0.2">
      <c r="C19" s="127"/>
      <c r="D19" s="127"/>
      <c r="E19" s="118" t="s">
        <v>375</v>
      </c>
      <c r="F19" s="118"/>
      <c r="G19" s="118" t="s">
        <v>26</v>
      </c>
      <c r="H19" s="657" t="s">
        <v>24</v>
      </c>
      <c r="I19" s="590"/>
      <c r="J19" s="128">
        <f>I19*12</f>
        <v>0</v>
      </c>
      <c r="K19" s="661"/>
      <c r="L19" s="665"/>
      <c r="M19" s="122">
        <v>0</v>
      </c>
      <c r="N19" s="123"/>
      <c r="O19" s="123">
        <v>0</v>
      </c>
      <c r="P19" s="123"/>
      <c r="Q19" s="123">
        <f>SUM(N19:P19)</f>
        <v>0</v>
      </c>
      <c r="R19" s="123">
        <f>J19*0.01</f>
        <v>0</v>
      </c>
      <c r="S19" s="123"/>
      <c r="T19" s="737"/>
    </row>
    <row r="20" spans="3:20" s="107" customFormat="1" hidden="1" x14ac:dyDescent="0.2">
      <c r="C20" s="1072" t="s">
        <v>376</v>
      </c>
      <c r="D20" s="1073"/>
      <c r="E20" s="1073"/>
      <c r="F20" s="1073"/>
      <c r="G20" s="1073"/>
      <c r="H20" s="1073"/>
      <c r="I20" s="591">
        <f>SUM(I19)</f>
        <v>0</v>
      </c>
      <c r="J20" s="126">
        <f>SUM(J19)</f>
        <v>0</v>
      </c>
      <c r="K20" s="662">
        <f>SUM(K19)</f>
        <v>0</v>
      </c>
      <c r="L20" s="666">
        <f>SUM(L19)</f>
        <v>0</v>
      </c>
      <c r="M20" s="126">
        <f t="shared" ref="M20:S20" si="4">SUM(M19)</f>
        <v>0</v>
      </c>
      <c r="N20" s="124">
        <f t="shared" si="4"/>
        <v>0</v>
      </c>
      <c r="O20" s="124">
        <f t="shared" si="4"/>
        <v>0</v>
      </c>
      <c r="P20" s="124">
        <f t="shared" si="4"/>
        <v>0</v>
      </c>
      <c r="Q20" s="124">
        <f t="shared" si="4"/>
        <v>0</v>
      </c>
      <c r="R20" s="124">
        <f t="shared" si="4"/>
        <v>0</v>
      </c>
      <c r="S20" s="124">
        <f t="shared" si="4"/>
        <v>0</v>
      </c>
      <c r="T20" s="737"/>
    </row>
    <row r="21" spans="3:20" s="107" customFormat="1" ht="25.5" hidden="1" x14ac:dyDescent="0.2">
      <c r="C21" s="127"/>
      <c r="D21" s="127"/>
      <c r="E21" s="118" t="s">
        <v>377</v>
      </c>
      <c r="F21" s="118"/>
      <c r="G21" s="118" t="s">
        <v>26</v>
      </c>
      <c r="H21" s="657" t="s">
        <v>255</v>
      </c>
      <c r="I21" s="590"/>
      <c r="J21" s="128">
        <f>I21*12</f>
        <v>0</v>
      </c>
      <c r="K21" s="661"/>
      <c r="L21" s="665"/>
      <c r="M21" s="122">
        <v>0</v>
      </c>
      <c r="N21" s="123"/>
      <c r="O21" s="123">
        <v>0</v>
      </c>
      <c r="P21" s="123"/>
      <c r="Q21" s="123">
        <f>SUM(N21:P21)</f>
        <v>0</v>
      </c>
      <c r="R21" s="123">
        <f>J21*0.01</f>
        <v>0</v>
      </c>
      <c r="S21" s="123"/>
      <c r="T21" s="737"/>
    </row>
    <row r="22" spans="3:20" s="107" customFormat="1" hidden="1" x14ac:dyDescent="0.2">
      <c r="C22" s="127"/>
      <c r="D22" s="127"/>
      <c r="E22" s="118" t="s">
        <v>23</v>
      </c>
      <c r="F22" s="118"/>
      <c r="G22" s="118" t="s">
        <v>26</v>
      </c>
      <c r="H22" s="657" t="s">
        <v>255</v>
      </c>
      <c r="I22" s="590"/>
      <c r="J22" s="128">
        <f>I22*12</f>
        <v>0</v>
      </c>
      <c r="K22" s="661"/>
      <c r="L22" s="665"/>
      <c r="M22" s="122">
        <v>0</v>
      </c>
      <c r="N22" s="123"/>
      <c r="O22" s="123">
        <v>0</v>
      </c>
      <c r="P22" s="123"/>
      <c r="Q22" s="123">
        <f>SUM(N22:P22)</f>
        <v>0</v>
      </c>
      <c r="R22" s="123">
        <f>J22*0.01</f>
        <v>0</v>
      </c>
      <c r="S22" s="123"/>
      <c r="T22" s="737"/>
    </row>
    <row r="23" spans="3:20" s="107" customFormat="1" hidden="1" x14ac:dyDescent="0.2">
      <c r="C23" s="127"/>
      <c r="D23" s="127"/>
      <c r="E23" s="118" t="s">
        <v>378</v>
      </c>
      <c r="F23" s="118"/>
      <c r="G23" s="118" t="s">
        <v>26</v>
      </c>
      <c r="H23" s="657" t="s">
        <v>255</v>
      </c>
      <c r="I23" s="590"/>
      <c r="J23" s="128">
        <f>I23*12</f>
        <v>0</v>
      </c>
      <c r="K23" s="661"/>
      <c r="L23" s="665"/>
      <c r="M23" s="122">
        <v>0</v>
      </c>
      <c r="N23" s="123"/>
      <c r="O23" s="123">
        <v>0</v>
      </c>
      <c r="P23" s="123"/>
      <c r="Q23" s="123">
        <f>SUM(N23:P23)</f>
        <v>0</v>
      </c>
      <c r="R23" s="123">
        <f>J23*0.01</f>
        <v>0</v>
      </c>
      <c r="S23" s="123"/>
      <c r="T23" s="737"/>
    </row>
    <row r="24" spans="3:20" s="107" customFormat="1" hidden="1" x14ac:dyDescent="0.2">
      <c r="C24" s="127"/>
      <c r="D24" s="127"/>
      <c r="E24" s="118" t="s">
        <v>379</v>
      </c>
      <c r="F24" s="118"/>
      <c r="G24" s="118" t="s">
        <v>26</v>
      </c>
      <c r="H24" s="657" t="s">
        <v>255</v>
      </c>
      <c r="I24" s="590"/>
      <c r="J24" s="128">
        <f>I24*12</f>
        <v>0</v>
      </c>
      <c r="K24" s="661"/>
      <c r="L24" s="665"/>
      <c r="M24" s="122">
        <v>0</v>
      </c>
      <c r="N24" s="123"/>
      <c r="O24" s="123">
        <v>0</v>
      </c>
      <c r="P24" s="123"/>
      <c r="Q24" s="123">
        <f>SUM(N24:P24)</f>
        <v>0</v>
      </c>
      <c r="R24" s="123">
        <f>J24*0.01</f>
        <v>0</v>
      </c>
      <c r="S24" s="123"/>
      <c r="T24" s="737"/>
    </row>
    <row r="25" spans="3:20" s="107" customFormat="1" ht="15" hidden="1" customHeight="1" thickBot="1" x14ac:dyDescent="0.25">
      <c r="C25" s="1077" t="s">
        <v>363</v>
      </c>
      <c r="D25" s="1078"/>
      <c r="E25" s="1078"/>
      <c r="F25" s="1078"/>
      <c r="G25" s="1078"/>
      <c r="H25" s="1078"/>
      <c r="I25" s="592">
        <f>SUM(I24)</f>
        <v>0</v>
      </c>
      <c r="J25" s="593">
        <f>SUM(J24)</f>
        <v>0</v>
      </c>
      <c r="K25" s="663">
        <f>SUM(K24)</f>
        <v>0</v>
      </c>
      <c r="L25" s="667">
        <f>SUM(L24)</f>
        <v>0</v>
      </c>
      <c r="M25" s="130">
        <f t="shared" ref="M25:S25" si="5">SUM(M21:M24)</f>
        <v>0</v>
      </c>
      <c r="N25" s="129">
        <f t="shared" si="5"/>
        <v>0</v>
      </c>
      <c r="O25" s="129">
        <f t="shared" si="5"/>
        <v>0</v>
      </c>
      <c r="P25" s="129">
        <f t="shared" si="5"/>
        <v>0</v>
      </c>
      <c r="Q25" s="129">
        <f t="shared" si="5"/>
        <v>0</v>
      </c>
      <c r="R25" s="129">
        <f t="shared" si="5"/>
        <v>0</v>
      </c>
      <c r="S25" s="129">
        <f t="shared" si="5"/>
        <v>0</v>
      </c>
      <c r="T25" s="737"/>
    </row>
    <row r="26" spans="3:20" s="107" customFormat="1" ht="13.5" thickBot="1" x14ac:dyDescent="0.25">
      <c r="C26" s="1068" t="s">
        <v>380</v>
      </c>
      <c r="D26" s="1068"/>
      <c r="E26" s="1068"/>
      <c r="F26" s="1068"/>
      <c r="G26" s="1068"/>
      <c r="H26" s="1069"/>
      <c r="I26" s="658">
        <f>I9+I18+I20+I25</f>
        <v>791</v>
      </c>
      <c r="J26" s="658">
        <f t="shared" ref="J26:L26" si="6">J9+J18+J20+J25</f>
        <v>9492</v>
      </c>
      <c r="K26" s="658">
        <f t="shared" si="6"/>
        <v>0</v>
      </c>
      <c r="L26" s="131">
        <f t="shared" si="6"/>
        <v>9492</v>
      </c>
      <c r="M26" s="132" t="e">
        <f t="shared" ref="M26:S26" si="7">M25+M20+M18+M9</f>
        <v>#REF!</v>
      </c>
      <c r="N26" s="131" t="e">
        <f t="shared" si="7"/>
        <v>#REF!</v>
      </c>
      <c r="O26" s="131" t="e">
        <f t="shared" si="7"/>
        <v>#REF!</v>
      </c>
      <c r="P26" s="131" t="e">
        <f t="shared" si="7"/>
        <v>#REF!</v>
      </c>
      <c r="Q26" s="131" t="e">
        <f t="shared" si="7"/>
        <v>#REF!</v>
      </c>
      <c r="R26" s="131" t="e">
        <f t="shared" si="7"/>
        <v>#REF!</v>
      </c>
      <c r="S26" s="131" t="e">
        <f t="shared" si="7"/>
        <v>#REF!</v>
      </c>
      <c r="T26" s="737"/>
    </row>
    <row r="28" spans="3:20" ht="15.75" x14ac:dyDescent="0.25">
      <c r="C28" s="303"/>
      <c r="D28" s="303"/>
    </row>
    <row r="30" spans="3:20" x14ac:dyDescent="0.2"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6"/>
      <c r="N30" s="106"/>
      <c r="O30" s="106"/>
      <c r="P30" s="106"/>
      <c r="Q30" s="106"/>
      <c r="R30" s="106"/>
      <c r="S30" s="106"/>
      <c r="T30" s="738"/>
    </row>
  </sheetData>
  <mergeCells count="21">
    <mergeCell ref="I5:I6"/>
    <mergeCell ref="E4:E6"/>
    <mergeCell ref="F4:F6"/>
    <mergeCell ref="G4:G6"/>
    <mergeCell ref="J5:J6"/>
    <mergeCell ref="C2:M3"/>
    <mergeCell ref="C26:H26"/>
    <mergeCell ref="S4:S6"/>
    <mergeCell ref="C9:H9"/>
    <mergeCell ref="C18:H18"/>
    <mergeCell ref="C20:H20"/>
    <mergeCell ref="K5:K6"/>
    <mergeCell ref="H4:H6"/>
    <mergeCell ref="C4:C6"/>
    <mergeCell ref="C25:H25"/>
    <mergeCell ref="R4:R6"/>
    <mergeCell ref="N5:Q5"/>
    <mergeCell ref="M4:Q4"/>
    <mergeCell ref="D4:D6"/>
    <mergeCell ref="L4:L6"/>
    <mergeCell ref="I4:J4"/>
  </mergeCells>
  <phoneticPr fontId="0" type="noConversion"/>
  <printOptions horizontalCentered="1"/>
  <pageMargins left="0.15748031496062992" right="0.19685039370078741" top="1.4960629921259843" bottom="0.98425196850393704" header="1.5748031496062993" footer="0"/>
  <pageSetup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U101"/>
  <sheetViews>
    <sheetView showGridLines="0" topLeftCell="B23" zoomScaleNormal="100" workbookViewId="0">
      <selection activeCell="Y64" sqref="Y64"/>
    </sheetView>
  </sheetViews>
  <sheetFormatPr baseColWidth="10" defaultRowHeight="12.75" x14ac:dyDescent="0.2"/>
  <cols>
    <col min="1" max="1" width="3.28515625" style="1376" hidden="1" customWidth="1"/>
    <col min="2" max="2" width="27.42578125" style="1376" customWidth="1"/>
    <col min="3" max="3" width="15.5703125" style="1376" customWidth="1"/>
    <col min="4" max="4" width="8.28515625" style="1376" customWidth="1"/>
    <col min="5" max="6" width="7.85546875" style="1377" customWidth="1"/>
    <col min="7" max="7" width="12.5703125" style="1377" customWidth="1"/>
    <col min="8" max="8" width="12.5703125" style="1400" bestFit="1" customWidth="1"/>
    <col min="9" max="9" width="13.7109375" style="1376" bestFit="1" customWidth="1"/>
    <col min="10" max="10" width="13.7109375" style="1395" customWidth="1"/>
    <col min="11" max="11" width="12.42578125" style="1376" customWidth="1"/>
    <col min="12" max="12" width="12.5703125" style="1376" bestFit="1" customWidth="1"/>
    <col min="13" max="13" width="11.85546875" style="1376" customWidth="1"/>
    <col min="14" max="14" width="10.140625" style="1376" customWidth="1"/>
    <col min="15" max="15" width="12.5703125" style="1376" bestFit="1" customWidth="1"/>
    <col min="16" max="16" width="10.85546875" style="1381" customWidth="1"/>
    <col min="17" max="17" width="12.5703125" style="1376" bestFit="1" customWidth="1"/>
    <col min="18" max="18" width="14.7109375" style="1376" bestFit="1" customWidth="1"/>
    <col min="19" max="16384" width="11.42578125" style="1376"/>
  </cols>
  <sheetData>
    <row r="1" spans="1:21" s="1251" customFormat="1" x14ac:dyDescent="0.2">
      <c r="A1" s="1250" t="s">
        <v>450</v>
      </c>
      <c r="B1" s="1250"/>
      <c r="C1" s="1250"/>
      <c r="D1" s="1250"/>
      <c r="E1" s="1250"/>
      <c r="F1" s="1250"/>
      <c r="G1" s="1250"/>
      <c r="H1" s="1250"/>
      <c r="I1" s="1250"/>
      <c r="J1" s="1250"/>
      <c r="K1" s="1250"/>
      <c r="L1" s="1250"/>
      <c r="M1" s="1250"/>
      <c r="N1" s="1250"/>
      <c r="O1" s="1250"/>
      <c r="P1" s="1250"/>
      <c r="Q1" s="1250"/>
      <c r="R1" s="1250"/>
    </row>
    <row r="2" spans="1:21" s="1251" customFormat="1" x14ac:dyDescent="0.2">
      <c r="A2" s="1252" t="s">
        <v>669</v>
      </c>
      <c r="B2" s="1252"/>
      <c r="C2" s="1252"/>
      <c r="D2" s="1252"/>
      <c r="E2" s="1252"/>
      <c r="F2" s="1252"/>
      <c r="G2" s="1252"/>
      <c r="H2" s="1252"/>
      <c r="I2" s="1252"/>
      <c r="J2" s="1252"/>
      <c r="K2" s="1252"/>
      <c r="L2" s="1252"/>
      <c r="M2" s="1252"/>
      <c r="N2" s="1252"/>
      <c r="O2" s="1252"/>
      <c r="P2" s="1252"/>
      <c r="Q2" s="1252"/>
      <c r="R2" s="1252"/>
    </row>
    <row r="3" spans="1:21" s="1251" customFormat="1" x14ac:dyDescent="0.2">
      <c r="A3" s="1252" t="s">
        <v>465</v>
      </c>
      <c r="B3" s="1252"/>
      <c r="C3" s="1252"/>
      <c r="D3" s="1252"/>
      <c r="E3" s="1252"/>
      <c r="F3" s="1252"/>
      <c r="G3" s="1252"/>
      <c r="H3" s="1252"/>
      <c r="I3" s="1252"/>
      <c r="J3" s="1252"/>
      <c r="K3" s="1252"/>
      <c r="L3" s="1252"/>
      <c r="M3" s="1252"/>
      <c r="N3" s="1252"/>
      <c r="O3" s="1252"/>
      <c r="P3" s="1252"/>
      <c r="Q3" s="1252"/>
      <c r="R3" s="1252"/>
    </row>
    <row r="4" spans="1:21" s="1251" customFormat="1" ht="6.75" customHeight="1" thickBot="1" x14ac:dyDescent="0.25">
      <c r="A4" s="1253"/>
      <c r="B4" s="1253"/>
      <c r="C4" s="1253"/>
      <c r="D4" s="1253"/>
      <c r="E4" s="1253"/>
      <c r="F4" s="1253"/>
      <c r="G4" s="1253"/>
      <c r="H4" s="1253"/>
      <c r="I4" s="1253"/>
      <c r="J4" s="1253"/>
      <c r="K4" s="1253"/>
      <c r="L4" s="1253"/>
      <c r="M4" s="1253"/>
      <c r="N4" s="1253"/>
      <c r="O4" s="1253"/>
      <c r="P4" s="1254"/>
      <c r="Q4" s="1253"/>
      <c r="R4" s="1253"/>
    </row>
    <row r="5" spans="1:21" s="1251" customFormat="1" ht="13.5" thickBot="1" x14ac:dyDescent="0.25">
      <c r="A5" s="1255" t="s">
        <v>388</v>
      </c>
      <c r="B5" s="1256" t="s">
        <v>15</v>
      </c>
      <c r="C5" s="1257" t="s">
        <v>389</v>
      </c>
      <c r="D5" s="1256" t="s">
        <v>390</v>
      </c>
      <c r="E5" s="1256" t="s">
        <v>391</v>
      </c>
      <c r="F5" s="1256" t="s">
        <v>392</v>
      </c>
      <c r="G5" s="1258" t="s">
        <v>393</v>
      </c>
      <c r="H5" s="1259"/>
      <c r="I5" s="1260"/>
      <c r="J5" s="1258" t="s">
        <v>622</v>
      </c>
      <c r="K5" s="1259"/>
      <c r="L5" s="1260"/>
      <c r="M5" s="1261" t="s">
        <v>394</v>
      </c>
      <c r="N5" s="1261"/>
      <c r="O5" s="1261"/>
      <c r="P5" s="1261"/>
      <c r="Q5" s="1262"/>
      <c r="R5" s="1257" t="s">
        <v>25</v>
      </c>
    </row>
    <row r="6" spans="1:21" s="1251" customFormat="1" ht="13.5" thickBot="1" x14ac:dyDescent="0.25">
      <c r="A6" s="1263"/>
      <c r="B6" s="1264"/>
      <c r="C6" s="1265"/>
      <c r="D6" s="1264"/>
      <c r="E6" s="1264"/>
      <c r="F6" s="1264"/>
      <c r="G6" s="1266"/>
      <c r="H6" s="1267"/>
      <c r="I6" s="1268"/>
      <c r="J6" s="1269"/>
      <c r="K6" s="1270"/>
      <c r="L6" s="1271"/>
      <c r="M6" s="1272" t="s">
        <v>395</v>
      </c>
      <c r="N6" s="1273" t="s">
        <v>396</v>
      </c>
      <c r="O6" s="1274"/>
      <c r="P6" s="1275" t="s">
        <v>698</v>
      </c>
      <c r="Q6" s="1276"/>
      <c r="R6" s="1277"/>
    </row>
    <row r="7" spans="1:21" s="1251" customFormat="1" x14ac:dyDescent="0.2">
      <c r="A7" s="1263"/>
      <c r="B7" s="1264"/>
      <c r="C7" s="1265"/>
      <c r="D7" s="1264"/>
      <c r="E7" s="1264"/>
      <c r="F7" s="1264"/>
      <c r="G7" s="1278" t="s">
        <v>695</v>
      </c>
      <c r="H7" s="1257" t="s">
        <v>397</v>
      </c>
      <c r="I7" s="1257" t="s">
        <v>16</v>
      </c>
      <c r="J7" s="1256" t="s">
        <v>704</v>
      </c>
      <c r="K7" s="1256" t="s">
        <v>703</v>
      </c>
      <c r="L7" s="1257" t="s">
        <v>18</v>
      </c>
      <c r="M7" s="1279" t="s">
        <v>398</v>
      </c>
      <c r="N7" s="1280" t="s">
        <v>360</v>
      </c>
      <c r="O7" s="1280" t="s">
        <v>19</v>
      </c>
      <c r="P7" s="1280" t="s">
        <v>664</v>
      </c>
      <c r="Q7" s="1281" t="s">
        <v>4</v>
      </c>
      <c r="R7" s="1277"/>
    </row>
    <row r="8" spans="1:21" s="1251" customFormat="1" ht="13.5" thickBot="1" x14ac:dyDescent="0.25">
      <c r="A8" s="1282"/>
      <c r="B8" s="1283"/>
      <c r="C8" s="1284"/>
      <c r="D8" s="1283"/>
      <c r="E8" s="1283"/>
      <c r="F8" s="1283"/>
      <c r="G8" s="1285"/>
      <c r="H8" s="1286"/>
      <c r="I8" s="1286"/>
      <c r="J8" s="1287"/>
      <c r="K8" s="1287"/>
      <c r="L8" s="1286"/>
      <c r="M8" s="1288">
        <v>6.7500000000000004E-2</v>
      </c>
      <c r="N8" s="1289">
        <v>0.06</v>
      </c>
      <c r="O8" s="1289">
        <v>7.4999999999999997E-2</v>
      </c>
      <c r="P8" s="1289">
        <v>0.01</v>
      </c>
      <c r="Q8" s="1290"/>
      <c r="R8" s="1286"/>
    </row>
    <row r="9" spans="1:21" s="1251" customFormat="1" x14ac:dyDescent="0.2">
      <c r="A9" s="1291">
        <v>1</v>
      </c>
      <c r="B9" s="1292" t="s">
        <v>399</v>
      </c>
      <c r="C9" s="1293" t="s">
        <v>599</v>
      </c>
      <c r="D9" s="1294">
        <v>1</v>
      </c>
      <c r="E9" s="1295" t="s">
        <v>20</v>
      </c>
      <c r="F9" s="1295" t="s">
        <v>20</v>
      </c>
      <c r="G9" s="1296">
        <v>2700</v>
      </c>
      <c r="H9" s="1297">
        <f>D9*G9</f>
        <v>2700</v>
      </c>
      <c r="I9" s="1298">
        <f>H9*D9*12</f>
        <v>32400</v>
      </c>
      <c r="J9" s="1298">
        <f>100*D9</f>
        <v>100</v>
      </c>
      <c r="K9" s="1298">
        <v>0</v>
      </c>
      <c r="L9" s="1298">
        <f>H9</f>
        <v>2700</v>
      </c>
      <c r="M9" s="1298">
        <f>+I9*$M$8</f>
        <v>2187</v>
      </c>
      <c r="N9" s="1298">
        <v>0</v>
      </c>
      <c r="O9" s="1298">
        <f>IF(H9&gt;1000,1000*$O$8*12,H9*$O$8*12)</f>
        <v>900</v>
      </c>
      <c r="P9" s="1298">
        <f>(1000*12)*P$8</f>
        <v>120</v>
      </c>
      <c r="Q9" s="1298">
        <f>SUM(M9:P9)</f>
        <v>3207</v>
      </c>
      <c r="R9" s="1299">
        <f>I9+J9+K9+L9+Q9</f>
        <v>38407</v>
      </c>
      <c r="S9" s="1300"/>
      <c r="T9" s="1300"/>
      <c r="U9" s="1300"/>
    </row>
    <row r="10" spans="1:21" s="1311" customFormat="1" ht="12.75" customHeight="1" x14ac:dyDescent="0.2">
      <c r="A10" s="1291"/>
      <c r="B10" s="1301" t="s">
        <v>435</v>
      </c>
      <c r="C10" s="1302" t="s">
        <v>599</v>
      </c>
      <c r="D10" s="1303">
        <v>1</v>
      </c>
      <c r="E10" s="1304" t="s">
        <v>20</v>
      </c>
      <c r="F10" s="1304" t="s">
        <v>20</v>
      </c>
      <c r="G10" s="1305">
        <v>450</v>
      </c>
      <c r="H10" s="1306">
        <f t="shared" ref="H10:H22" si="0">D10*G10</f>
        <v>450</v>
      </c>
      <c r="I10" s="1307">
        <f>H10*D10*12</f>
        <v>5400</v>
      </c>
      <c r="J10" s="1307">
        <f t="shared" ref="J10:J15" si="1">100*D10</f>
        <v>100</v>
      </c>
      <c r="K10" s="1307">
        <v>0</v>
      </c>
      <c r="L10" s="1308">
        <f>H10</f>
        <v>450</v>
      </c>
      <c r="M10" s="1308">
        <f>+I10*$M$8</f>
        <v>364.5</v>
      </c>
      <c r="N10" s="1309">
        <v>0</v>
      </c>
      <c r="O10" s="1308">
        <f t="shared" ref="O10:O22" si="2">IF(H10&gt;1000,1000*$O$8*12,H10*$O$8*12)</f>
        <v>405</v>
      </c>
      <c r="P10" s="1308">
        <f>(I10+K10)*P$8</f>
        <v>54</v>
      </c>
      <c r="Q10" s="1308">
        <f>SUM(M10:P10)</f>
        <v>823.5</v>
      </c>
      <c r="R10" s="1299">
        <f t="shared" ref="R10:R15" si="3">I10+J10+K10+L10+Q10</f>
        <v>6773.5</v>
      </c>
      <c r="S10" s="1300"/>
      <c r="T10" s="1310"/>
      <c r="U10" s="1310"/>
    </row>
    <row r="11" spans="1:21" s="1251" customFormat="1" x14ac:dyDescent="0.2">
      <c r="A11" s="1291">
        <v>2</v>
      </c>
      <c r="B11" s="1292" t="s">
        <v>400</v>
      </c>
      <c r="C11" s="1302" t="s">
        <v>600</v>
      </c>
      <c r="D11" s="1303">
        <v>1</v>
      </c>
      <c r="E11" s="1304" t="s">
        <v>20</v>
      </c>
      <c r="F11" s="1304" t="s">
        <v>20</v>
      </c>
      <c r="G11" s="1305">
        <v>950</v>
      </c>
      <c r="H11" s="1306">
        <f t="shared" si="0"/>
        <v>950</v>
      </c>
      <c r="I11" s="1308">
        <f t="shared" ref="I11:I15" si="4">H11*D11*12</f>
        <v>11400</v>
      </c>
      <c r="J11" s="1308">
        <f t="shared" si="1"/>
        <v>100</v>
      </c>
      <c r="K11" s="1308">
        <v>0</v>
      </c>
      <c r="L11" s="1308">
        <f t="shared" ref="L11:L15" si="5">H11</f>
        <v>950</v>
      </c>
      <c r="M11" s="1308">
        <v>0</v>
      </c>
      <c r="N11" s="1308">
        <v>0</v>
      </c>
      <c r="O11" s="1308">
        <f t="shared" si="2"/>
        <v>855</v>
      </c>
      <c r="P11" s="1308">
        <f t="shared" ref="P11:P21" si="6">(I11+K11)*P$8</f>
        <v>114</v>
      </c>
      <c r="Q11" s="1308">
        <f>SUM(M11:P11)</f>
        <v>969</v>
      </c>
      <c r="R11" s="1299">
        <f t="shared" si="3"/>
        <v>13419</v>
      </c>
      <c r="S11" s="1300"/>
      <c r="T11" s="1300"/>
      <c r="U11" s="1300"/>
    </row>
    <row r="12" spans="1:21" s="1311" customFormat="1" x14ac:dyDescent="0.2">
      <c r="A12" s="1291"/>
      <c r="B12" s="1292" t="s">
        <v>362</v>
      </c>
      <c r="C12" s="1302" t="s">
        <v>601</v>
      </c>
      <c r="D12" s="1303">
        <v>1</v>
      </c>
      <c r="E12" s="1304" t="s">
        <v>20</v>
      </c>
      <c r="F12" s="1304" t="s">
        <v>20</v>
      </c>
      <c r="G12" s="1305">
        <v>750</v>
      </c>
      <c r="H12" s="1306">
        <f t="shared" si="0"/>
        <v>750</v>
      </c>
      <c r="I12" s="1308">
        <f t="shared" si="4"/>
        <v>9000</v>
      </c>
      <c r="J12" s="1308">
        <f t="shared" si="1"/>
        <v>100</v>
      </c>
      <c r="K12" s="1308">
        <v>0</v>
      </c>
      <c r="L12" s="1308">
        <f t="shared" si="5"/>
        <v>750</v>
      </c>
      <c r="M12" s="1308">
        <f>+I12*$M$8</f>
        <v>607.5</v>
      </c>
      <c r="N12" s="1308">
        <v>0</v>
      </c>
      <c r="O12" s="1308">
        <f t="shared" si="2"/>
        <v>675</v>
      </c>
      <c r="P12" s="1308">
        <f>(I12+K12)*P$8</f>
        <v>90</v>
      </c>
      <c r="Q12" s="1308">
        <f t="shared" ref="Q12:Q15" si="7">SUM(M12:P12)</f>
        <v>1372.5</v>
      </c>
      <c r="R12" s="1299">
        <f t="shared" si="3"/>
        <v>11222.5</v>
      </c>
      <c r="S12" s="1300"/>
      <c r="T12" s="1310"/>
      <c r="U12" s="1310"/>
    </row>
    <row r="13" spans="1:21" s="1251" customFormat="1" x14ac:dyDescent="0.2">
      <c r="A13" s="1291">
        <v>3</v>
      </c>
      <c r="B13" s="1292" t="s">
        <v>446</v>
      </c>
      <c r="C13" s="1302" t="s">
        <v>602</v>
      </c>
      <c r="D13" s="1303">
        <v>1</v>
      </c>
      <c r="E13" s="1304" t="s">
        <v>20</v>
      </c>
      <c r="F13" s="1304" t="s">
        <v>20</v>
      </c>
      <c r="G13" s="1305">
        <v>750</v>
      </c>
      <c r="H13" s="1306">
        <f t="shared" si="0"/>
        <v>750</v>
      </c>
      <c r="I13" s="1308">
        <f t="shared" si="4"/>
        <v>9000</v>
      </c>
      <c r="J13" s="1308">
        <f t="shared" si="1"/>
        <v>100</v>
      </c>
      <c r="K13" s="1308">
        <v>0</v>
      </c>
      <c r="L13" s="1308">
        <f t="shared" si="5"/>
        <v>750</v>
      </c>
      <c r="M13" s="1308">
        <f>+I13*$M$8</f>
        <v>607.5</v>
      </c>
      <c r="N13" s="1308">
        <v>0</v>
      </c>
      <c r="O13" s="1308">
        <f t="shared" si="2"/>
        <v>675</v>
      </c>
      <c r="P13" s="1308">
        <f t="shared" si="6"/>
        <v>90</v>
      </c>
      <c r="Q13" s="1308">
        <f t="shared" si="7"/>
        <v>1372.5</v>
      </c>
      <c r="R13" s="1299">
        <f t="shared" si="3"/>
        <v>11222.5</v>
      </c>
      <c r="S13" s="1300"/>
      <c r="T13" s="1300"/>
      <c r="U13" s="1300"/>
    </row>
    <row r="14" spans="1:21" s="1311" customFormat="1" ht="12.75" customHeight="1" x14ac:dyDescent="0.2">
      <c r="A14" s="1291"/>
      <c r="B14" s="1301" t="s">
        <v>667</v>
      </c>
      <c r="C14" s="1302" t="s">
        <v>640</v>
      </c>
      <c r="D14" s="1303">
        <v>1</v>
      </c>
      <c r="E14" s="1304" t="s">
        <v>20</v>
      </c>
      <c r="F14" s="1304" t="s">
        <v>20</v>
      </c>
      <c r="G14" s="1305">
        <v>550</v>
      </c>
      <c r="H14" s="1306">
        <f t="shared" si="0"/>
        <v>550</v>
      </c>
      <c r="I14" s="1307">
        <f>H14*D14*12</f>
        <v>6600</v>
      </c>
      <c r="J14" s="1307">
        <f t="shared" si="1"/>
        <v>100</v>
      </c>
      <c r="K14" s="1307">
        <v>0</v>
      </c>
      <c r="L14" s="1308">
        <f t="shared" ref="L14" si="8">H14</f>
        <v>550</v>
      </c>
      <c r="M14" s="1308">
        <f>+I14*$M$8</f>
        <v>445.50000000000006</v>
      </c>
      <c r="N14" s="1309">
        <v>0</v>
      </c>
      <c r="O14" s="1308">
        <f t="shared" si="2"/>
        <v>495</v>
      </c>
      <c r="P14" s="1308">
        <f>(I14+K14)*P$8</f>
        <v>66</v>
      </c>
      <c r="Q14" s="1308">
        <f t="shared" si="7"/>
        <v>1006.5</v>
      </c>
      <c r="R14" s="1299">
        <f t="shared" si="3"/>
        <v>8256.5</v>
      </c>
      <c r="S14" s="1300"/>
      <c r="T14" s="1310"/>
      <c r="U14" s="1310"/>
    </row>
    <row r="15" spans="1:21" s="1311" customFormat="1" ht="12.75" customHeight="1" x14ac:dyDescent="0.2">
      <c r="A15" s="1291"/>
      <c r="B15" s="1301" t="s">
        <v>447</v>
      </c>
      <c r="C15" s="1302" t="s">
        <v>603</v>
      </c>
      <c r="D15" s="1303">
        <v>1</v>
      </c>
      <c r="E15" s="1304" t="s">
        <v>20</v>
      </c>
      <c r="F15" s="1304" t="s">
        <v>20</v>
      </c>
      <c r="G15" s="1305">
        <v>300</v>
      </c>
      <c r="H15" s="1306">
        <f t="shared" si="0"/>
        <v>300</v>
      </c>
      <c r="I15" s="1312">
        <f t="shared" si="4"/>
        <v>3600</v>
      </c>
      <c r="J15" s="1308">
        <f t="shared" si="1"/>
        <v>100</v>
      </c>
      <c r="K15" s="1308">
        <v>0</v>
      </c>
      <c r="L15" s="1308">
        <f t="shared" si="5"/>
        <v>300</v>
      </c>
      <c r="M15" s="1308">
        <f>+I15*$M$8</f>
        <v>243.00000000000003</v>
      </c>
      <c r="N15" s="1309">
        <v>0</v>
      </c>
      <c r="O15" s="1308">
        <f t="shared" si="2"/>
        <v>270</v>
      </c>
      <c r="P15" s="1308">
        <f t="shared" si="6"/>
        <v>36</v>
      </c>
      <c r="Q15" s="1308">
        <f t="shared" si="7"/>
        <v>549</v>
      </c>
      <c r="R15" s="1299">
        <f t="shared" si="3"/>
        <v>4549</v>
      </c>
      <c r="S15" s="1300"/>
      <c r="T15" s="1310"/>
      <c r="U15" s="1310"/>
    </row>
    <row r="16" spans="1:21" s="1251" customFormat="1" ht="13.5" thickBot="1" x14ac:dyDescent="0.25">
      <c r="A16" s="1313"/>
      <c r="B16" s="1314" t="s">
        <v>401</v>
      </c>
      <c r="C16" s="1315"/>
      <c r="D16" s="1316">
        <f>SUM(D9:D15)</f>
        <v>7</v>
      </c>
      <c r="E16" s="1317"/>
      <c r="F16" s="1317"/>
      <c r="G16" s="1317"/>
      <c r="H16" s="1318">
        <f t="shared" ref="H16:M16" si="9">SUM(H9:H15)</f>
        <v>6450</v>
      </c>
      <c r="I16" s="1318">
        <f t="shared" si="9"/>
        <v>77400</v>
      </c>
      <c r="J16" s="1318">
        <f t="shared" si="9"/>
        <v>700</v>
      </c>
      <c r="K16" s="1318">
        <f t="shared" si="9"/>
        <v>0</v>
      </c>
      <c r="L16" s="1318">
        <f t="shared" si="9"/>
        <v>6450</v>
      </c>
      <c r="M16" s="1318">
        <f t="shared" si="9"/>
        <v>4455</v>
      </c>
      <c r="N16" s="1318">
        <f>SUM(N9:N13)</f>
        <v>0</v>
      </c>
      <c r="O16" s="1318">
        <f>SUM(O9:O15)</f>
        <v>4275</v>
      </c>
      <c r="P16" s="1318">
        <f>SUM(P9:P15)</f>
        <v>570</v>
      </c>
      <c r="Q16" s="1318">
        <f>SUM(Q9:Q15)</f>
        <v>9300</v>
      </c>
      <c r="R16" s="1319">
        <f>SUM(R9:R15)</f>
        <v>93850</v>
      </c>
      <c r="S16" s="1300"/>
      <c r="T16" s="1300"/>
      <c r="U16" s="1300"/>
    </row>
    <row r="17" spans="1:21" s="1251" customFormat="1" ht="13.5" thickTop="1" x14ac:dyDescent="0.2">
      <c r="A17" s="1291">
        <v>11</v>
      </c>
      <c r="B17" s="1292" t="s">
        <v>364</v>
      </c>
      <c r="C17" s="1302" t="s">
        <v>604</v>
      </c>
      <c r="D17" s="1303">
        <v>1</v>
      </c>
      <c r="E17" s="1304" t="s">
        <v>21</v>
      </c>
      <c r="F17" s="1304" t="s">
        <v>21</v>
      </c>
      <c r="G17" s="1305">
        <v>750</v>
      </c>
      <c r="H17" s="1306">
        <f>D17*G17</f>
        <v>750</v>
      </c>
      <c r="I17" s="1308">
        <f>H17*12</f>
        <v>9000</v>
      </c>
      <c r="J17" s="1308">
        <f t="shared" ref="J17:J22" si="10">100*D17</f>
        <v>100</v>
      </c>
      <c r="K17" s="1308">
        <v>0</v>
      </c>
      <c r="L17" s="1308">
        <f>H17</f>
        <v>750</v>
      </c>
      <c r="M17" s="1308">
        <f t="shared" ref="M17:M22" si="11">+I17*$M$8</f>
        <v>607.5</v>
      </c>
      <c r="N17" s="1308">
        <v>0</v>
      </c>
      <c r="O17" s="1308">
        <f t="shared" si="2"/>
        <v>675</v>
      </c>
      <c r="P17" s="1308">
        <f t="shared" si="6"/>
        <v>90</v>
      </c>
      <c r="Q17" s="1308">
        <f t="shared" ref="Q17:Q22" si="12">SUM(M17:P17)</f>
        <v>1372.5</v>
      </c>
      <c r="R17" s="1299">
        <f t="shared" ref="R17:R22" si="13">I17+J17+K17+L17+Q17</f>
        <v>11222.5</v>
      </c>
      <c r="S17" s="1300"/>
      <c r="T17" s="1300"/>
      <c r="U17" s="1300"/>
    </row>
    <row r="18" spans="1:21" s="1251" customFormat="1" x14ac:dyDescent="0.2">
      <c r="A18" s="1291">
        <v>12</v>
      </c>
      <c r="B18" s="1292" t="s">
        <v>365</v>
      </c>
      <c r="C18" s="1302" t="s">
        <v>605</v>
      </c>
      <c r="D18" s="1303">
        <v>1</v>
      </c>
      <c r="E18" s="1304" t="s">
        <v>21</v>
      </c>
      <c r="F18" s="1304" t="s">
        <v>21</v>
      </c>
      <c r="G18" s="1305">
        <v>650</v>
      </c>
      <c r="H18" s="1306">
        <f t="shared" si="0"/>
        <v>650</v>
      </c>
      <c r="I18" s="1308">
        <f t="shared" ref="I18:I22" si="14">H18*12</f>
        <v>7800</v>
      </c>
      <c r="J18" s="1308">
        <f t="shared" si="10"/>
        <v>100</v>
      </c>
      <c r="K18" s="1308">
        <v>0</v>
      </c>
      <c r="L18" s="1308">
        <f t="shared" ref="L18:L22" si="15">H18</f>
        <v>650</v>
      </c>
      <c r="M18" s="1308">
        <f t="shared" si="11"/>
        <v>526.5</v>
      </c>
      <c r="N18" s="1308">
        <v>0</v>
      </c>
      <c r="O18" s="1308">
        <f t="shared" si="2"/>
        <v>585</v>
      </c>
      <c r="P18" s="1308">
        <f t="shared" si="6"/>
        <v>78</v>
      </c>
      <c r="Q18" s="1308">
        <f t="shared" si="12"/>
        <v>1189.5</v>
      </c>
      <c r="R18" s="1299">
        <f t="shared" si="13"/>
        <v>9739.5</v>
      </c>
      <c r="S18" s="1300"/>
      <c r="T18" s="1300"/>
      <c r="U18" s="1300"/>
    </row>
    <row r="19" spans="1:21" s="1329" customFormat="1" ht="12" x14ac:dyDescent="0.2">
      <c r="A19" s="1291"/>
      <c r="B19" s="1320" t="s">
        <v>642</v>
      </c>
      <c r="C19" s="1321" t="s">
        <v>372</v>
      </c>
      <c r="D19" s="1322">
        <v>1</v>
      </c>
      <c r="E19" s="1323" t="s">
        <v>21</v>
      </c>
      <c r="F19" s="1323" t="s">
        <v>21</v>
      </c>
      <c r="G19" s="1324">
        <v>450</v>
      </c>
      <c r="H19" s="1325">
        <f t="shared" si="0"/>
        <v>450</v>
      </c>
      <c r="I19" s="1326">
        <f t="shared" si="14"/>
        <v>5400</v>
      </c>
      <c r="J19" s="1326">
        <f t="shared" si="10"/>
        <v>100</v>
      </c>
      <c r="K19" s="1326">
        <v>0</v>
      </c>
      <c r="L19" s="1326">
        <f t="shared" si="15"/>
        <v>450</v>
      </c>
      <c r="M19" s="1326">
        <f t="shared" si="11"/>
        <v>364.5</v>
      </c>
      <c r="N19" s="1326">
        <v>0</v>
      </c>
      <c r="O19" s="1326">
        <f t="shared" si="2"/>
        <v>405</v>
      </c>
      <c r="P19" s="1326">
        <f t="shared" si="6"/>
        <v>54</v>
      </c>
      <c r="Q19" s="1326">
        <f t="shared" si="12"/>
        <v>823.5</v>
      </c>
      <c r="R19" s="1327">
        <f t="shared" si="13"/>
        <v>6773.5</v>
      </c>
      <c r="S19" s="1328"/>
      <c r="T19" s="1328"/>
      <c r="U19" s="1328"/>
    </row>
    <row r="20" spans="1:21" s="1329" customFormat="1" ht="12" x14ac:dyDescent="0.2">
      <c r="A20" s="1291"/>
      <c r="B20" s="1292" t="s">
        <v>442</v>
      </c>
      <c r="C20" s="1302" t="s">
        <v>606</v>
      </c>
      <c r="D20" s="1303">
        <v>1</v>
      </c>
      <c r="E20" s="1304" t="s">
        <v>21</v>
      </c>
      <c r="F20" s="1304" t="s">
        <v>21</v>
      </c>
      <c r="G20" s="1305">
        <v>1850</v>
      </c>
      <c r="H20" s="1306">
        <f t="shared" si="0"/>
        <v>1850</v>
      </c>
      <c r="I20" s="1308">
        <f t="shared" si="14"/>
        <v>22200</v>
      </c>
      <c r="J20" s="1308">
        <f t="shared" si="10"/>
        <v>100</v>
      </c>
      <c r="K20" s="1308">
        <v>0</v>
      </c>
      <c r="L20" s="1308">
        <f t="shared" si="15"/>
        <v>1850</v>
      </c>
      <c r="M20" s="1308">
        <f t="shared" si="11"/>
        <v>1498.5</v>
      </c>
      <c r="N20" s="1308">
        <v>0</v>
      </c>
      <c r="O20" s="1308">
        <f t="shared" si="2"/>
        <v>900</v>
      </c>
      <c r="P20" s="1308">
        <f>(1000*12)*P$8</f>
        <v>120</v>
      </c>
      <c r="Q20" s="1308">
        <f t="shared" si="12"/>
        <v>2518.5</v>
      </c>
      <c r="R20" s="1299">
        <f t="shared" si="13"/>
        <v>26668.5</v>
      </c>
      <c r="S20" s="1328"/>
      <c r="T20" s="1328"/>
      <c r="U20" s="1328"/>
    </row>
    <row r="21" spans="1:21" s="1329" customFormat="1" ht="12.75" customHeight="1" x14ac:dyDescent="0.2">
      <c r="A21" s="1291">
        <v>13</v>
      </c>
      <c r="B21" s="1330" t="s">
        <v>402</v>
      </c>
      <c r="C21" s="1302" t="s">
        <v>370</v>
      </c>
      <c r="D21" s="1303">
        <v>1</v>
      </c>
      <c r="E21" s="1304" t="s">
        <v>21</v>
      </c>
      <c r="F21" s="1304" t="s">
        <v>21</v>
      </c>
      <c r="G21" s="1305">
        <v>600</v>
      </c>
      <c r="H21" s="1306">
        <f t="shared" si="0"/>
        <v>600</v>
      </c>
      <c r="I21" s="1308">
        <f t="shared" si="14"/>
        <v>7200</v>
      </c>
      <c r="J21" s="1308">
        <f t="shared" si="10"/>
        <v>100</v>
      </c>
      <c r="K21" s="1308">
        <v>0</v>
      </c>
      <c r="L21" s="1308">
        <f t="shared" si="15"/>
        <v>600</v>
      </c>
      <c r="M21" s="1308">
        <f t="shared" si="11"/>
        <v>486.00000000000006</v>
      </c>
      <c r="N21" s="1308">
        <v>0</v>
      </c>
      <c r="O21" s="1308">
        <f t="shared" si="2"/>
        <v>540</v>
      </c>
      <c r="P21" s="1308">
        <f t="shared" si="6"/>
        <v>72</v>
      </c>
      <c r="Q21" s="1308">
        <f t="shared" si="12"/>
        <v>1098</v>
      </c>
      <c r="R21" s="1299">
        <f t="shared" si="13"/>
        <v>8998</v>
      </c>
      <c r="S21" s="1328"/>
      <c r="T21" s="1328"/>
      <c r="U21" s="1328"/>
    </row>
    <row r="22" spans="1:21" s="1329" customFormat="1" ht="12" x14ac:dyDescent="0.2">
      <c r="A22" s="1291">
        <v>14</v>
      </c>
      <c r="B22" s="1330" t="s">
        <v>668</v>
      </c>
      <c r="C22" s="1302" t="s">
        <v>22</v>
      </c>
      <c r="D22" s="1303">
        <v>1</v>
      </c>
      <c r="E22" s="1304" t="s">
        <v>21</v>
      </c>
      <c r="F22" s="1304" t="s">
        <v>21</v>
      </c>
      <c r="G22" s="1305">
        <v>600</v>
      </c>
      <c r="H22" s="1306">
        <f t="shared" si="0"/>
        <v>600</v>
      </c>
      <c r="I22" s="1308">
        <f t="shared" si="14"/>
        <v>7200</v>
      </c>
      <c r="J22" s="1308">
        <f t="shared" si="10"/>
        <v>100</v>
      </c>
      <c r="K22" s="1308">
        <v>0</v>
      </c>
      <c r="L22" s="1308">
        <f t="shared" si="15"/>
        <v>600</v>
      </c>
      <c r="M22" s="1308">
        <f t="shared" si="11"/>
        <v>486.00000000000006</v>
      </c>
      <c r="N22" s="1308">
        <v>0</v>
      </c>
      <c r="O22" s="1308">
        <f t="shared" si="2"/>
        <v>540</v>
      </c>
      <c r="P22" s="1308">
        <f>(I22+K22)*P$8</f>
        <v>72</v>
      </c>
      <c r="Q22" s="1308">
        <f t="shared" si="12"/>
        <v>1098</v>
      </c>
      <c r="R22" s="1299">
        <f t="shared" si="13"/>
        <v>8998</v>
      </c>
      <c r="S22" s="1328"/>
      <c r="T22" s="1328"/>
      <c r="U22" s="1328"/>
    </row>
    <row r="23" spans="1:21" s="1251" customFormat="1" ht="13.5" thickBot="1" x14ac:dyDescent="0.25">
      <c r="A23" s="1313"/>
      <c r="B23" s="1314" t="s">
        <v>403</v>
      </c>
      <c r="C23" s="1315"/>
      <c r="D23" s="1316">
        <f>SUM(D17:D22)</f>
        <v>6</v>
      </c>
      <c r="E23" s="1317"/>
      <c r="F23" s="1317"/>
      <c r="G23" s="1317"/>
      <c r="H23" s="1318">
        <f t="shared" ref="H23:Q23" si="16">SUM(H17:H22)</f>
        <v>4900</v>
      </c>
      <c r="I23" s="1331">
        <f t="shared" si="16"/>
        <v>58800</v>
      </c>
      <c r="J23" s="1331">
        <f>SUM(J17:J22)</f>
        <v>600</v>
      </c>
      <c r="K23" s="1331">
        <f t="shared" ref="K23" si="17">SUM(K17:K22)</f>
        <v>0</v>
      </c>
      <c r="L23" s="1331">
        <f t="shared" si="16"/>
        <v>4900</v>
      </c>
      <c r="M23" s="1331">
        <f t="shared" si="16"/>
        <v>3969</v>
      </c>
      <c r="N23" s="1331">
        <f t="shared" si="16"/>
        <v>0</v>
      </c>
      <c r="O23" s="1331">
        <f t="shared" si="16"/>
        <v>3645</v>
      </c>
      <c r="P23" s="1331">
        <f>SUM(P17:P22)</f>
        <v>486</v>
      </c>
      <c r="Q23" s="1331">
        <f t="shared" si="16"/>
        <v>8100</v>
      </c>
      <c r="R23" s="1332">
        <f>SUM(R17:R22)</f>
        <v>72400</v>
      </c>
      <c r="S23" s="1300"/>
      <c r="T23" s="1300"/>
      <c r="U23" s="1300"/>
    </row>
    <row r="24" spans="1:21" s="1251" customFormat="1" ht="13.5" hidden="1" thickTop="1" x14ac:dyDescent="0.2">
      <c r="A24" s="1291"/>
      <c r="B24" s="1292"/>
      <c r="C24" s="1302"/>
      <c r="D24" s="1303"/>
      <c r="E24" s="1304"/>
      <c r="F24" s="1304"/>
      <c r="G24" s="1304"/>
      <c r="H24" s="1306"/>
      <c r="I24" s="1308"/>
      <c r="J24" s="1308"/>
      <c r="K24" s="1308"/>
      <c r="L24" s="1308"/>
      <c r="M24" s="1308"/>
      <c r="N24" s="1308"/>
      <c r="O24" s="1308"/>
      <c r="P24" s="1308"/>
      <c r="Q24" s="1308"/>
      <c r="R24" s="1299"/>
      <c r="S24" s="1300"/>
      <c r="T24" s="1300"/>
      <c r="U24" s="1300"/>
    </row>
    <row r="25" spans="1:21" s="1251" customFormat="1" ht="13.5" hidden="1" thickTop="1" x14ac:dyDescent="0.2">
      <c r="A25" s="1291">
        <v>15</v>
      </c>
      <c r="B25" s="1333"/>
      <c r="C25" s="1302" t="s">
        <v>22</v>
      </c>
      <c r="D25" s="1303"/>
      <c r="E25" s="1304" t="s">
        <v>20</v>
      </c>
      <c r="F25" s="1304" t="s">
        <v>404</v>
      </c>
      <c r="G25" s="1304"/>
      <c r="H25" s="1306"/>
      <c r="I25" s="1308">
        <f t="shared" ref="I25:J30" si="18">+H25*12*D25</f>
        <v>0</v>
      </c>
      <c r="J25" s="1308">
        <f t="shared" si="18"/>
        <v>0</v>
      </c>
      <c r="K25" s="1308">
        <f t="shared" ref="K25:K30" si="19">+I25*12*E25</f>
        <v>0</v>
      </c>
      <c r="L25" s="1308">
        <f t="shared" ref="L25:L30" si="20">+H25*D25</f>
        <v>0</v>
      </c>
      <c r="M25" s="1308">
        <f t="shared" ref="M25:M30" si="21">+I25*$M$8</f>
        <v>0</v>
      </c>
      <c r="N25" s="1308"/>
      <c r="O25" s="1308">
        <f t="shared" ref="O25:O30" si="22">IF(H25&gt;685.71,685.71*$O$8*12,H25*$O$8*12)</f>
        <v>0</v>
      </c>
      <c r="P25" s="1308"/>
      <c r="Q25" s="1308">
        <f t="shared" ref="Q25:Q30" si="23">SUM(N25:P25)</f>
        <v>0</v>
      </c>
      <c r="R25" s="1299">
        <f t="shared" ref="R25:R30" si="24">SUM(I25:P25)</f>
        <v>0</v>
      </c>
      <c r="S25" s="1300"/>
      <c r="T25" s="1300"/>
      <c r="U25" s="1300"/>
    </row>
    <row r="26" spans="1:21" s="1251" customFormat="1" ht="13.5" hidden="1" thickTop="1" x14ac:dyDescent="0.2">
      <c r="A26" s="1291">
        <v>16</v>
      </c>
      <c r="B26" s="1292"/>
      <c r="C26" s="1302"/>
      <c r="D26" s="1303"/>
      <c r="E26" s="1304" t="s">
        <v>20</v>
      </c>
      <c r="F26" s="1304" t="s">
        <v>404</v>
      </c>
      <c r="G26" s="1304"/>
      <c r="H26" s="1306"/>
      <c r="I26" s="1308">
        <f t="shared" si="18"/>
        <v>0</v>
      </c>
      <c r="J26" s="1308">
        <f t="shared" si="18"/>
        <v>0</v>
      </c>
      <c r="K26" s="1308">
        <f t="shared" si="19"/>
        <v>0</v>
      </c>
      <c r="L26" s="1308">
        <f t="shared" si="20"/>
        <v>0</v>
      </c>
      <c r="M26" s="1308">
        <f t="shared" si="21"/>
        <v>0</v>
      </c>
      <c r="N26" s="1308"/>
      <c r="O26" s="1308">
        <f t="shared" si="22"/>
        <v>0</v>
      </c>
      <c r="P26" s="1308"/>
      <c r="Q26" s="1308">
        <f t="shared" si="23"/>
        <v>0</v>
      </c>
      <c r="R26" s="1299">
        <f t="shared" si="24"/>
        <v>0</v>
      </c>
      <c r="S26" s="1300"/>
      <c r="T26" s="1300"/>
      <c r="U26" s="1300"/>
    </row>
    <row r="27" spans="1:21" s="1251" customFormat="1" ht="13.5" hidden="1" thickTop="1" x14ac:dyDescent="0.2">
      <c r="A27" s="1291">
        <v>17</v>
      </c>
      <c r="B27" s="1292"/>
      <c r="C27" s="1302"/>
      <c r="D27" s="1303"/>
      <c r="E27" s="1304" t="s">
        <v>20</v>
      </c>
      <c r="F27" s="1304" t="s">
        <v>404</v>
      </c>
      <c r="G27" s="1304"/>
      <c r="H27" s="1306"/>
      <c r="I27" s="1308">
        <f t="shared" si="18"/>
        <v>0</v>
      </c>
      <c r="J27" s="1308">
        <f t="shared" si="18"/>
        <v>0</v>
      </c>
      <c r="K27" s="1308">
        <f t="shared" si="19"/>
        <v>0</v>
      </c>
      <c r="L27" s="1308">
        <f t="shared" si="20"/>
        <v>0</v>
      </c>
      <c r="M27" s="1308">
        <f t="shared" si="21"/>
        <v>0</v>
      </c>
      <c r="N27" s="1308"/>
      <c r="O27" s="1308">
        <f t="shared" si="22"/>
        <v>0</v>
      </c>
      <c r="P27" s="1308"/>
      <c r="Q27" s="1308">
        <f t="shared" si="23"/>
        <v>0</v>
      </c>
      <c r="R27" s="1299">
        <f t="shared" si="24"/>
        <v>0</v>
      </c>
      <c r="S27" s="1300"/>
      <c r="T27" s="1300"/>
      <c r="U27" s="1300"/>
    </row>
    <row r="28" spans="1:21" s="1251" customFormat="1" ht="13.5" hidden="1" thickTop="1" x14ac:dyDescent="0.2">
      <c r="A28" s="1291">
        <v>18</v>
      </c>
      <c r="B28" s="1292"/>
      <c r="C28" s="1302"/>
      <c r="D28" s="1303"/>
      <c r="E28" s="1304" t="s">
        <v>20</v>
      </c>
      <c r="F28" s="1304" t="s">
        <v>404</v>
      </c>
      <c r="G28" s="1304"/>
      <c r="H28" s="1306"/>
      <c r="I28" s="1308">
        <f t="shared" si="18"/>
        <v>0</v>
      </c>
      <c r="J28" s="1308">
        <f t="shared" si="18"/>
        <v>0</v>
      </c>
      <c r="K28" s="1308">
        <f t="shared" si="19"/>
        <v>0</v>
      </c>
      <c r="L28" s="1308">
        <f t="shared" si="20"/>
        <v>0</v>
      </c>
      <c r="M28" s="1308">
        <f t="shared" si="21"/>
        <v>0</v>
      </c>
      <c r="N28" s="1308"/>
      <c r="O28" s="1308">
        <f t="shared" si="22"/>
        <v>0</v>
      </c>
      <c r="P28" s="1308"/>
      <c r="Q28" s="1308">
        <f t="shared" si="23"/>
        <v>0</v>
      </c>
      <c r="R28" s="1299">
        <f t="shared" si="24"/>
        <v>0</v>
      </c>
      <c r="S28" s="1300"/>
      <c r="T28" s="1300"/>
      <c r="U28" s="1300"/>
    </row>
    <row r="29" spans="1:21" s="1251" customFormat="1" ht="13.5" hidden="1" thickTop="1" x14ac:dyDescent="0.2">
      <c r="A29" s="1291">
        <v>19</v>
      </c>
      <c r="B29" s="1292"/>
      <c r="C29" s="1302"/>
      <c r="D29" s="1303"/>
      <c r="E29" s="1304" t="s">
        <v>20</v>
      </c>
      <c r="F29" s="1304" t="s">
        <v>404</v>
      </c>
      <c r="G29" s="1304"/>
      <c r="H29" s="1306"/>
      <c r="I29" s="1308">
        <f t="shared" si="18"/>
        <v>0</v>
      </c>
      <c r="J29" s="1308">
        <f t="shared" si="18"/>
        <v>0</v>
      </c>
      <c r="K29" s="1308">
        <f t="shared" si="19"/>
        <v>0</v>
      </c>
      <c r="L29" s="1308">
        <f t="shared" si="20"/>
        <v>0</v>
      </c>
      <c r="M29" s="1308">
        <f t="shared" si="21"/>
        <v>0</v>
      </c>
      <c r="N29" s="1308"/>
      <c r="O29" s="1308">
        <f t="shared" si="22"/>
        <v>0</v>
      </c>
      <c r="P29" s="1308"/>
      <c r="Q29" s="1308">
        <f t="shared" si="23"/>
        <v>0</v>
      </c>
      <c r="R29" s="1299">
        <f t="shared" si="24"/>
        <v>0</v>
      </c>
      <c r="S29" s="1300"/>
      <c r="T29" s="1300"/>
      <c r="U29" s="1300"/>
    </row>
    <row r="30" spans="1:21" s="1251" customFormat="1" ht="13.5" hidden="1" thickTop="1" x14ac:dyDescent="0.2">
      <c r="A30" s="1291">
        <v>20</v>
      </c>
      <c r="B30" s="1292"/>
      <c r="C30" s="1302"/>
      <c r="D30" s="1303"/>
      <c r="E30" s="1304" t="s">
        <v>20</v>
      </c>
      <c r="F30" s="1304" t="s">
        <v>404</v>
      </c>
      <c r="G30" s="1304"/>
      <c r="H30" s="1306"/>
      <c r="I30" s="1308">
        <f t="shared" si="18"/>
        <v>0</v>
      </c>
      <c r="J30" s="1308">
        <f t="shared" si="18"/>
        <v>0</v>
      </c>
      <c r="K30" s="1308">
        <f t="shared" si="19"/>
        <v>0</v>
      </c>
      <c r="L30" s="1308">
        <f t="shared" si="20"/>
        <v>0</v>
      </c>
      <c r="M30" s="1308">
        <f t="shared" si="21"/>
        <v>0</v>
      </c>
      <c r="N30" s="1308"/>
      <c r="O30" s="1308">
        <f t="shared" si="22"/>
        <v>0</v>
      </c>
      <c r="P30" s="1308"/>
      <c r="Q30" s="1308">
        <f t="shared" si="23"/>
        <v>0</v>
      </c>
      <c r="R30" s="1299">
        <f t="shared" si="24"/>
        <v>0</v>
      </c>
      <c r="S30" s="1300"/>
      <c r="T30" s="1300"/>
      <c r="U30" s="1300"/>
    </row>
    <row r="31" spans="1:21" s="1251" customFormat="1" ht="14.25" hidden="1" thickTop="1" thickBot="1" x14ac:dyDescent="0.25">
      <c r="A31" s="1313"/>
      <c r="B31" s="1334" t="s">
        <v>405</v>
      </c>
      <c r="C31" s="1315"/>
      <c r="D31" s="1335">
        <f>SUM(D25:D30)</f>
        <v>0</v>
      </c>
      <c r="E31" s="1317"/>
      <c r="F31" s="1317"/>
      <c r="G31" s="1317"/>
      <c r="H31" s="1336">
        <f t="shared" ref="H31:R31" si="25">SUM(H25:H30)</f>
        <v>0</v>
      </c>
      <c r="I31" s="1336">
        <f t="shared" si="25"/>
        <v>0</v>
      </c>
      <c r="J31" s="1336">
        <f t="shared" ref="J31" si="26">SUM(J25:J30)</f>
        <v>0</v>
      </c>
      <c r="K31" s="1336">
        <f t="shared" ref="K31" si="27">SUM(K25:K30)</f>
        <v>0</v>
      </c>
      <c r="L31" s="1336">
        <f t="shared" si="25"/>
        <v>0</v>
      </c>
      <c r="M31" s="1336">
        <f t="shared" si="25"/>
        <v>0</v>
      </c>
      <c r="N31" s="1336">
        <f t="shared" si="25"/>
        <v>0</v>
      </c>
      <c r="O31" s="1336">
        <f t="shared" si="25"/>
        <v>0</v>
      </c>
      <c r="P31" s="1336">
        <f t="shared" si="25"/>
        <v>0</v>
      </c>
      <c r="Q31" s="1336">
        <f t="shared" si="25"/>
        <v>0</v>
      </c>
      <c r="R31" s="1337">
        <f t="shared" si="25"/>
        <v>0</v>
      </c>
      <c r="S31" s="1300"/>
      <c r="T31" s="1300"/>
      <c r="U31" s="1300"/>
    </row>
    <row r="32" spans="1:21" s="1251" customFormat="1" ht="6.75" hidden="1" customHeight="1" thickTop="1" x14ac:dyDescent="0.2">
      <c r="A32" s="1338"/>
      <c r="B32" s="1339"/>
      <c r="C32" s="1340"/>
      <c r="D32" s="1341"/>
      <c r="E32" s="1342"/>
      <c r="F32" s="1342"/>
      <c r="G32" s="1342"/>
      <c r="H32" s="1343"/>
      <c r="I32" s="1312"/>
      <c r="J32" s="1312"/>
      <c r="K32" s="1312"/>
      <c r="L32" s="1312"/>
      <c r="M32" s="1312"/>
      <c r="N32" s="1312"/>
      <c r="O32" s="1312"/>
      <c r="P32" s="1312"/>
      <c r="Q32" s="1312"/>
      <c r="R32" s="1344"/>
      <c r="S32" s="1300"/>
      <c r="T32" s="1300"/>
      <c r="U32" s="1300"/>
    </row>
    <row r="33" spans="1:21" s="1311" customFormat="1" ht="14.25" thickTop="1" thickBot="1" x14ac:dyDescent="0.25">
      <c r="A33" s="1345"/>
      <c r="B33" s="1346" t="s">
        <v>696</v>
      </c>
      <c r="C33" s="1347"/>
      <c r="D33" s="1348">
        <f>+D16+D23</f>
        <v>13</v>
      </c>
      <c r="E33" s="1349"/>
      <c r="F33" s="1349"/>
      <c r="G33" s="1349"/>
      <c r="H33" s="1350">
        <f>+H31+H23+H16</f>
        <v>11350</v>
      </c>
      <c r="I33" s="1350">
        <f t="shared" ref="I33:R33" si="28">+I31+I23+I16</f>
        <v>136200</v>
      </c>
      <c r="J33" s="1350">
        <f>+J31+J23+J16</f>
        <v>1300</v>
      </c>
      <c r="K33" s="1350">
        <f t="shared" ref="K33" si="29">+K31+K23+K16</f>
        <v>0</v>
      </c>
      <c r="L33" s="1350">
        <f>L23+L16</f>
        <v>11350</v>
      </c>
      <c r="M33" s="1350">
        <f t="shared" si="28"/>
        <v>8424</v>
      </c>
      <c r="N33" s="1350">
        <f t="shared" si="28"/>
        <v>0</v>
      </c>
      <c r="O33" s="1350">
        <f t="shared" si="28"/>
        <v>7920</v>
      </c>
      <c r="P33" s="1350">
        <f>P23+P16</f>
        <v>1056</v>
      </c>
      <c r="Q33" s="1350">
        <f t="shared" si="28"/>
        <v>17400</v>
      </c>
      <c r="R33" s="1351">
        <f t="shared" si="28"/>
        <v>166250</v>
      </c>
      <c r="S33" s="1300"/>
      <c r="T33" s="1310"/>
      <c r="U33" s="1310"/>
    </row>
    <row r="34" spans="1:21" s="1311" customFormat="1" hidden="1" x14ac:dyDescent="0.2">
      <c r="A34" s="1291"/>
      <c r="B34" s="1292"/>
      <c r="C34" s="1302"/>
      <c r="D34" s="1303"/>
      <c r="E34" s="1304"/>
      <c r="F34" s="1304"/>
      <c r="G34" s="1304"/>
      <c r="H34" s="1306"/>
      <c r="I34" s="1308"/>
      <c r="J34" s="1308"/>
      <c r="K34" s="1308"/>
      <c r="L34" s="1308"/>
      <c r="M34" s="1309"/>
      <c r="N34" s="1308"/>
      <c r="O34" s="1308"/>
      <c r="P34" s="1308"/>
      <c r="Q34" s="1308"/>
      <c r="R34" s="1299"/>
      <c r="S34" s="1300"/>
      <c r="T34" s="1310"/>
      <c r="U34" s="1310"/>
    </row>
    <row r="35" spans="1:21" s="1311" customFormat="1" hidden="1" x14ac:dyDescent="0.2">
      <c r="A35" s="1291">
        <v>30</v>
      </c>
      <c r="B35" s="1292" t="s">
        <v>406</v>
      </c>
      <c r="C35" s="1302" t="s">
        <v>407</v>
      </c>
      <c r="D35" s="1303">
        <v>1</v>
      </c>
      <c r="E35" s="1304" t="s">
        <v>21</v>
      </c>
      <c r="F35" s="1304" t="s">
        <v>408</v>
      </c>
      <c r="G35" s="1304"/>
      <c r="H35" s="1306">
        <v>0</v>
      </c>
      <c r="I35" s="1308">
        <f>+H35*12*D35</f>
        <v>0</v>
      </c>
      <c r="J35" s="1308"/>
      <c r="K35" s="1308"/>
      <c r="L35" s="1308">
        <f>+H35*D35</f>
        <v>0</v>
      </c>
      <c r="M35" s="1308">
        <f>+I35*$M$8</f>
        <v>0</v>
      </c>
      <c r="N35" s="1308"/>
      <c r="O35" s="1308">
        <f>IF(H35&gt;685.71,685.71*$O$8*12,H35*$O$8*12)</f>
        <v>0</v>
      </c>
      <c r="P35" s="1308"/>
      <c r="Q35" s="1308">
        <f>SUM(N35:P35)</f>
        <v>0</v>
      </c>
      <c r="R35" s="1299">
        <f>SUM(I35:P35)</f>
        <v>0</v>
      </c>
      <c r="S35" s="1300"/>
      <c r="T35" s="1310"/>
      <c r="U35" s="1310"/>
    </row>
    <row r="36" spans="1:21" s="1311" customFormat="1" hidden="1" x14ac:dyDescent="0.2">
      <c r="A36" s="1291">
        <v>31</v>
      </c>
      <c r="B36" s="1292" t="s">
        <v>409</v>
      </c>
      <c r="C36" s="1302" t="s">
        <v>407</v>
      </c>
      <c r="D36" s="1303"/>
      <c r="E36" s="1304" t="s">
        <v>21</v>
      </c>
      <c r="F36" s="1304" t="s">
        <v>408</v>
      </c>
      <c r="G36" s="1304"/>
      <c r="H36" s="1306">
        <v>0</v>
      </c>
      <c r="I36" s="1308">
        <f>+H36*12*D36</f>
        <v>0</v>
      </c>
      <c r="J36" s="1308"/>
      <c r="K36" s="1308"/>
      <c r="L36" s="1308">
        <f>+H36*D36</f>
        <v>0</v>
      </c>
      <c r="M36" s="1308">
        <f>+I36*$M$8</f>
        <v>0</v>
      </c>
      <c r="N36" s="1309"/>
      <c r="O36" s="1308">
        <f>IF(H36&gt;685.71,685.71*$O$8*12,H36*$O$8*12)</f>
        <v>0</v>
      </c>
      <c r="P36" s="1308"/>
      <c r="Q36" s="1308">
        <f>SUM(N36:P36)</f>
        <v>0</v>
      </c>
      <c r="R36" s="1299">
        <f>SUM(I36:P36)</f>
        <v>0</v>
      </c>
      <c r="S36" s="1300"/>
      <c r="T36" s="1310"/>
      <c r="U36" s="1310"/>
    </row>
    <row r="37" spans="1:21" s="1311" customFormat="1" hidden="1" x14ac:dyDescent="0.2">
      <c r="A37" s="1291">
        <v>32</v>
      </c>
      <c r="B37" s="1292" t="s">
        <v>410</v>
      </c>
      <c r="C37" s="1302" t="s">
        <v>407</v>
      </c>
      <c r="D37" s="1303"/>
      <c r="E37" s="1304" t="s">
        <v>21</v>
      </c>
      <c r="F37" s="1304" t="s">
        <v>408</v>
      </c>
      <c r="G37" s="1304"/>
      <c r="H37" s="1306">
        <v>0</v>
      </c>
      <c r="I37" s="1308">
        <f>+H37*12*D37</f>
        <v>0</v>
      </c>
      <c r="J37" s="1308"/>
      <c r="K37" s="1308"/>
      <c r="L37" s="1308">
        <f>+H37*D37</f>
        <v>0</v>
      </c>
      <c r="M37" s="1308">
        <f>+I37*$M$8</f>
        <v>0</v>
      </c>
      <c r="N37" s="1309"/>
      <c r="O37" s="1308">
        <f>IF(H37&gt;685.71,685.71*$O$8*12,H37*$O$8*12)</f>
        <v>0</v>
      </c>
      <c r="P37" s="1308"/>
      <c r="Q37" s="1308">
        <f>SUM(N37:P37)</f>
        <v>0</v>
      </c>
      <c r="R37" s="1299">
        <f>SUM(I37:P37)</f>
        <v>0</v>
      </c>
      <c r="S37" s="1300"/>
      <c r="T37" s="1310"/>
      <c r="U37" s="1310"/>
    </row>
    <row r="38" spans="1:21" s="1311" customFormat="1" hidden="1" x14ac:dyDescent="0.2">
      <c r="A38" s="1291">
        <v>33</v>
      </c>
      <c r="B38" s="1292" t="s">
        <v>411</v>
      </c>
      <c r="C38" s="1302" t="s">
        <v>407</v>
      </c>
      <c r="D38" s="1303"/>
      <c r="E38" s="1304" t="s">
        <v>21</v>
      </c>
      <c r="F38" s="1304" t="s">
        <v>408</v>
      </c>
      <c r="G38" s="1304"/>
      <c r="H38" s="1306">
        <v>0</v>
      </c>
      <c r="I38" s="1308">
        <f>+H38*12*D38</f>
        <v>0</v>
      </c>
      <c r="J38" s="1308"/>
      <c r="K38" s="1308"/>
      <c r="L38" s="1308">
        <f>+H38*D38</f>
        <v>0</v>
      </c>
      <c r="M38" s="1308">
        <f>+I38*$M$8</f>
        <v>0</v>
      </c>
      <c r="N38" s="1309"/>
      <c r="O38" s="1308">
        <f>IF(H38&gt;685.71,685.71*$O$8*12,H38*$O$8*12)</f>
        <v>0</v>
      </c>
      <c r="P38" s="1308"/>
      <c r="Q38" s="1308">
        <f>SUM(N38:P38)</f>
        <v>0</v>
      </c>
      <c r="R38" s="1299">
        <f>SUM(I38:P38)</f>
        <v>0</v>
      </c>
      <c r="S38" s="1300"/>
      <c r="T38" s="1310"/>
      <c r="U38" s="1310"/>
    </row>
    <row r="39" spans="1:21" s="1311" customFormat="1" ht="13.5" hidden="1" thickBot="1" x14ac:dyDescent="0.25">
      <c r="A39" s="1313"/>
      <c r="B39" s="1334" t="s">
        <v>412</v>
      </c>
      <c r="C39" s="1315"/>
      <c r="D39" s="1335">
        <f>SUM(D35:D38)</f>
        <v>1</v>
      </c>
      <c r="E39" s="1317"/>
      <c r="F39" s="1317"/>
      <c r="G39" s="1317"/>
      <c r="H39" s="1336">
        <f t="shared" ref="H39:R39" si="30">SUM(H35:H38)</f>
        <v>0</v>
      </c>
      <c r="I39" s="1336">
        <f t="shared" si="30"/>
        <v>0</v>
      </c>
      <c r="J39" s="1336"/>
      <c r="K39" s="1336"/>
      <c r="L39" s="1336">
        <f t="shared" si="30"/>
        <v>0</v>
      </c>
      <c r="M39" s="1336">
        <f t="shared" si="30"/>
        <v>0</v>
      </c>
      <c r="N39" s="1336">
        <f t="shared" si="30"/>
        <v>0</v>
      </c>
      <c r="O39" s="1336">
        <f t="shared" si="30"/>
        <v>0</v>
      </c>
      <c r="P39" s="1336">
        <f t="shared" si="30"/>
        <v>0</v>
      </c>
      <c r="Q39" s="1336">
        <f t="shared" si="30"/>
        <v>0</v>
      </c>
      <c r="R39" s="1352">
        <f t="shared" si="30"/>
        <v>0</v>
      </c>
      <c r="S39" s="1300"/>
      <c r="T39" s="1310"/>
      <c r="U39" s="1310"/>
    </row>
    <row r="40" spans="1:21" s="1311" customFormat="1" hidden="1" x14ac:dyDescent="0.2">
      <c r="A40" s="1291"/>
      <c r="B40" s="1292"/>
      <c r="C40" s="1302"/>
      <c r="D40" s="1303"/>
      <c r="E40" s="1304"/>
      <c r="F40" s="1304"/>
      <c r="G40" s="1304"/>
      <c r="H40" s="1306"/>
      <c r="I40" s="1308"/>
      <c r="J40" s="1308"/>
      <c r="K40" s="1308"/>
      <c r="L40" s="1308"/>
      <c r="M40" s="1308"/>
      <c r="N40" s="1309"/>
      <c r="O40" s="1308"/>
      <c r="P40" s="1308"/>
      <c r="Q40" s="1308"/>
      <c r="R40" s="1299"/>
      <c r="S40" s="1300"/>
      <c r="T40" s="1310"/>
      <c r="U40" s="1310"/>
    </row>
    <row r="41" spans="1:21" s="1311" customFormat="1" hidden="1" x14ac:dyDescent="0.2">
      <c r="A41" s="1291">
        <v>34</v>
      </c>
      <c r="B41" s="1292" t="s">
        <v>413</v>
      </c>
      <c r="C41" s="1302" t="s">
        <v>414</v>
      </c>
      <c r="D41" s="1303">
        <v>1</v>
      </c>
      <c r="E41" s="1304" t="s">
        <v>21</v>
      </c>
      <c r="F41" s="1304" t="s">
        <v>415</v>
      </c>
      <c r="G41" s="1304"/>
      <c r="H41" s="1306">
        <v>0</v>
      </c>
      <c r="I41" s="1308">
        <f>+H41*12*D41</f>
        <v>0</v>
      </c>
      <c r="J41" s="1308"/>
      <c r="K41" s="1308"/>
      <c r="L41" s="1308">
        <f>+H41*D41</f>
        <v>0</v>
      </c>
      <c r="M41" s="1308">
        <f>+I41*$M$8</f>
        <v>0</v>
      </c>
      <c r="N41" s="1309"/>
      <c r="O41" s="1308">
        <f>IF(H41&gt;685.71,685.71*$O$8*12,H41*$O$8*12)</f>
        <v>0</v>
      </c>
      <c r="P41" s="1308"/>
      <c r="Q41" s="1308">
        <f>SUM(N41:P41)</f>
        <v>0</v>
      </c>
      <c r="R41" s="1299">
        <f>SUM(I41:P41)</f>
        <v>0</v>
      </c>
      <c r="S41" s="1300"/>
      <c r="T41" s="1310"/>
      <c r="U41" s="1310"/>
    </row>
    <row r="42" spans="1:21" s="1311" customFormat="1" hidden="1" x14ac:dyDescent="0.2">
      <c r="A42" s="1291">
        <v>35</v>
      </c>
      <c r="B42" s="1292" t="s">
        <v>416</v>
      </c>
      <c r="C42" s="1302" t="s">
        <v>414</v>
      </c>
      <c r="D42" s="1303"/>
      <c r="E42" s="1304" t="s">
        <v>21</v>
      </c>
      <c r="F42" s="1304" t="s">
        <v>415</v>
      </c>
      <c r="G42" s="1304"/>
      <c r="H42" s="1306">
        <v>0</v>
      </c>
      <c r="I42" s="1308">
        <f>+H42*12*D42</f>
        <v>0</v>
      </c>
      <c r="J42" s="1308"/>
      <c r="K42" s="1308"/>
      <c r="L42" s="1308">
        <f>+H42*D42</f>
        <v>0</v>
      </c>
      <c r="M42" s="1308">
        <f>+I42*$M$8</f>
        <v>0</v>
      </c>
      <c r="N42" s="1309"/>
      <c r="O42" s="1308">
        <f>IF(H42&gt;685.71,685.71*$O$8*12,H42*$O$8*12)</f>
        <v>0</v>
      </c>
      <c r="P42" s="1308"/>
      <c r="Q42" s="1308">
        <f>SUM(N42:P42)</f>
        <v>0</v>
      </c>
      <c r="R42" s="1299">
        <f>SUM(I42:P42)</f>
        <v>0</v>
      </c>
      <c r="S42" s="1300"/>
      <c r="T42" s="1310"/>
      <c r="U42" s="1310"/>
    </row>
    <row r="43" spans="1:21" s="1311" customFormat="1" ht="13.5" hidden="1" thickBot="1" x14ac:dyDescent="0.25">
      <c r="A43" s="1313"/>
      <c r="B43" s="1334" t="s">
        <v>417</v>
      </c>
      <c r="C43" s="1315"/>
      <c r="D43" s="1335">
        <f>SUM(D41:D42)</f>
        <v>1</v>
      </c>
      <c r="E43" s="1317"/>
      <c r="F43" s="1317"/>
      <c r="G43" s="1317"/>
      <c r="H43" s="1336">
        <f t="shared" ref="H43:R43" si="31">SUM(H41:H42)</f>
        <v>0</v>
      </c>
      <c r="I43" s="1336">
        <f t="shared" si="31"/>
        <v>0</v>
      </c>
      <c r="J43" s="1336"/>
      <c r="K43" s="1336"/>
      <c r="L43" s="1336">
        <f t="shared" si="31"/>
        <v>0</v>
      </c>
      <c r="M43" s="1336">
        <f t="shared" si="31"/>
        <v>0</v>
      </c>
      <c r="N43" s="1336">
        <f t="shared" si="31"/>
        <v>0</v>
      </c>
      <c r="O43" s="1336">
        <f t="shared" si="31"/>
        <v>0</v>
      </c>
      <c r="P43" s="1336">
        <f t="shared" si="31"/>
        <v>0</v>
      </c>
      <c r="Q43" s="1336">
        <f t="shared" si="31"/>
        <v>0</v>
      </c>
      <c r="R43" s="1352">
        <f t="shared" si="31"/>
        <v>0</v>
      </c>
      <c r="S43" s="1300"/>
      <c r="T43" s="1310"/>
      <c r="U43" s="1310"/>
    </row>
    <row r="44" spans="1:21" s="1311" customFormat="1" hidden="1" x14ac:dyDescent="0.2">
      <c r="A44" s="1291"/>
      <c r="B44" s="1292"/>
      <c r="C44" s="1302"/>
      <c r="D44" s="1303"/>
      <c r="E44" s="1304"/>
      <c r="F44" s="1304"/>
      <c r="G44" s="1304"/>
      <c r="H44" s="1306"/>
      <c r="I44" s="1308"/>
      <c r="J44" s="1308"/>
      <c r="K44" s="1308"/>
      <c r="L44" s="1308"/>
      <c r="M44" s="1308"/>
      <c r="N44" s="1309"/>
      <c r="O44" s="1308"/>
      <c r="P44" s="1308"/>
      <c r="Q44" s="1308"/>
      <c r="R44" s="1299"/>
      <c r="S44" s="1300"/>
      <c r="T44" s="1310"/>
      <c r="U44" s="1310"/>
    </row>
    <row r="45" spans="1:21" s="1311" customFormat="1" hidden="1" x14ac:dyDescent="0.2">
      <c r="A45" s="1291">
        <v>36</v>
      </c>
      <c r="B45" s="1292" t="s">
        <v>418</v>
      </c>
      <c r="C45" s="1302" t="s">
        <v>419</v>
      </c>
      <c r="D45" s="1303">
        <v>1</v>
      </c>
      <c r="E45" s="1304" t="s">
        <v>21</v>
      </c>
      <c r="F45" s="1304" t="s">
        <v>420</v>
      </c>
      <c r="G45" s="1304"/>
      <c r="H45" s="1306">
        <v>0</v>
      </c>
      <c r="I45" s="1308">
        <f>+H45*12*D45</f>
        <v>0</v>
      </c>
      <c r="J45" s="1308"/>
      <c r="K45" s="1308"/>
      <c r="L45" s="1308">
        <f>+H45*D45</f>
        <v>0</v>
      </c>
      <c r="M45" s="1308">
        <f>+I45*$M$8</f>
        <v>0</v>
      </c>
      <c r="N45" s="1309"/>
      <c r="O45" s="1308">
        <f>IF(H45&gt;685.71,685.71*$O$8*12,H45*$O$8*12)</f>
        <v>0</v>
      </c>
      <c r="P45" s="1308"/>
      <c r="Q45" s="1308">
        <f>SUM(N45:P45)</f>
        <v>0</v>
      </c>
      <c r="R45" s="1299">
        <f>SUM(I45:P45)</f>
        <v>0</v>
      </c>
      <c r="S45" s="1300"/>
      <c r="T45" s="1310"/>
      <c r="U45" s="1310"/>
    </row>
    <row r="46" spans="1:21" s="1311" customFormat="1" hidden="1" x14ac:dyDescent="0.2">
      <c r="A46" s="1291">
        <v>37</v>
      </c>
      <c r="B46" s="1292" t="s">
        <v>416</v>
      </c>
      <c r="C46" s="1302" t="s">
        <v>419</v>
      </c>
      <c r="D46" s="1303"/>
      <c r="E46" s="1304" t="s">
        <v>21</v>
      </c>
      <c r="F46" s="1304" t="s">
        <v>420</v>
      </c>
      <c r="G46" s="1304"/>
      <c r="H46" s="1306">
        <v>0</v>
      </c>
      <c r="I46" s="1308">
        <f>+H46*12*D46</f>
        <v>0</v>
      </c>
      <c r="J46" s="1308"/>
      <c r="K46" s="1308"/>
      <c r="L46" s="1308">
        <f>+H46*D46</f>
        <v>0</v>
      </c>
      <c r="M46" s="1308">
        <f>+I46*$M$8</f>
        <v>0</v>
      </c>
      <c r="N46" s="1309"/>
      <c r="O46" s="1308">
        <f>IF(H46&gt;685.71,685.71*$O$8*12,H46*$O$8*12)</f>
        <v>0</v>
      </c>
      <c r="P46" s="1308"/>
      <c r="Q46" s="1308">
        <f>SUM(N46:P46)</f>
        <v>0</v>
      </c>
      <c r="R46" s="1299">
        <f>SUM(I46:P46)</f>
        <v>0</v>
      </c>
      <c r="S46" s="1300"/>
      <c r="T46" s="1310"/>
      <c r="U46" s="1310"/>
    </row>
    <row r="47" spans="1:21" s="1311" customFormat="1" ht="13.5" hidden="1" thickBot="1" x14ac:dyDescent="0.25">
      <c r="A47" s="1313"/>
      <c r="B47" s="1334" t="s">
        <v>421</v>
      </c>
      <c r="C47" s="1315"/>
      <c r="D47" s="1335">
        <f>SUM(D45:D46)</f>
        <v>1</v>
      </c>
      <c r="E47" s="1317"/>
      <c r="F47" s="1317"/>
      <c r="G47" s="1317"/>
      <c r="H47" s="1336">
        <f t="shared" ref="H47:R47" si="32">SUM(H45:H46)</f>
        <v>0</v>
      </c>
      <c r="I47" s="1336">
        <f t="shared" si="32"/>
        <v>0</v>
      </c>
      <c r="J47" s="1336"/>
      <c r="K47" s="1336"/>
      <c r="L47" s="1336">
        <f t="shared" si="32"/>
        <v>0</v>
      </c>
      <c r="M47" s="1336">
        <f t="shared" si="32"/>
        <v>0</v>
      </c>
      <c r="N47" s="1336">
        <f t="shared" si="32"/>
        <v>0</v>
      </c>
      <c r="O47" s="1336">
        <f t="shared" si="32"/>
        <v>0</v>
      </c>
      <c r="P47" s="1336">
        <f t="shared" si="32"/>
        <v>0</v>
      </c>
      <c r="Q47" s="1336">
        <f t="shared" si="32"/>
        <v>0</v>
      </c>
      <c r="R47" s="1352">
        <f t="shared" si="32"/>
        <v>0</v>
      </c>
      <c r="S47" s="1300"/>
      <c r="T47" s="1310"/>
      <c r="U47" s="1310"/>
    </row>
    <row r="48" spans="1:21" s="1311" customFormat="1" x14ac:dyDescent="0.2">
      <c r="A48" s="1291">
        <v>38</v>
      </c>
      <c r="B48" s="1292" t="s">
        <v>422</v>
      </c>
      <c r="C48" s="1302" t="s">
        <v>423</v>
      </c>
      <c r="D48" s="1303">
        <v>1</v>
      </c>
      <c r="E48" s="1304" t="s">
        <v>24</v>
      </c>
      <c r="F48" s="1304" t="s">
        <v>24</v>
      </c>
      <c r="G48" s="1305">
        <v>450</v>
      </c>
      <c r="H48" s="1306">
        <f t="shared" ref="H48:H52" si="33">D48*G48</f>
        <v>450</v>
      </c>
      <c r="I48" s="1308">
        <f>H48*12</f>
        <v>5400</v>
      </c>
      <c r="J48" s="1308">
        <f t="shared" ref="J48:J52" si="34">100*D48</f>
        <v>100</v>
      </c>
      <c r="K48" s="1308">
        <v>0</v>
      </c>
      <c r="L48" s="1308">
        <f>H48</f>
        <v>450</v>
      </c>
      <c r="M48" s="1308">
        <f>+I48*$M$8</f>
        <v>364.5</v>
      </c>
      <c r="N48" s="1308">
        <v>0</v>
      </c>
      <c r="O48" s="1308">
        <f>IF(H48&gt;1000,1000*$O$8*12,H48*$O$8*12)</f>
        <v>405</v>
      </c>
      <c r="P48" s="1308">
        <f t="shared" ref="P48:P52" si="35">(I48+K48)*P$8</f>
        <v>54</v>
      </c>
      <c r="Q48" s="1308">
        <f>SUM(M48:P48)</f>
        <v>823.5</v>
      </c>
      <c r="R48" s="1299">
        <f t="shared" ref="R48:R52" si="36">I48+J48+K48+L48+Q48</f>
        <v>6773.5</v>
      </c>
      <c r="S48" s="1300"/>
      <c r="T48" s="1310"/>
      <c r="U48" s="1310"/>
    </row>
    <row r="49" spans="1:21" s="1311" customFormat="1" x14ac:dyDescent="0.2">
      <c r="A49" s="1291"/>
      <c r="B49" s="1292" t="s">
        <v>665</v>
      </c>
      <c r="C49" s="1302" t="s">
        <v>443</v>
      </c>
      <c r="D49" s="1303">
        <v>1</v>
      </c>
      <c r="E49" s="1304" t="s">
        <v>24</v>
      </c>
      <c r="F49" s="1304" t="s">
        <v>24</v>
      </c>
      <c r="G49" s="1305">
        <v>500</v>
      </c>
      <c r="H49" s="1306">
        <f t="shared" si="33"/>
        <v>500</v>
      </c>
      <c r="I49" s="1308">
        <f>H49*12</f>
        <v>6000</v>
      </c>
      <c r="J49" s="1308">
        <f t="shared" si="34"/>
        <v>100</v>
      </c>
      <c r="K49" s="1308">
        <v>0</v>
      </c>
      <c r="L49" s="1308">
        <f t="shared" ref="L49:L52" si="37">H49</f>
        <v>500</v>
      </c>
      <c r="M49" s="1308">
        <f>+I49*$M$8</f>
        <v>405</v>
      </c>
      <c r="N49" s="1308">
        <v>0</v>
      </c>
      <c r="O49" s="1308">
        <f>IF(H49&gt;1000,1000*$O$8*12,H49*$O$8*12)</f>
        <v>450</v>
      </c>
      <c r="P49" s="1308">
        <f t="shared" si="35"/>
        <v>60</v>
      </c>
      <c r="Q49" s="1308">
        <f>SUM(M49:P49)</f>
        <v>915</v>
      </c>
      <c r="R49" s="1299">
        <f t="shared" si="36"/>
        <v>7515</v>
      </c>
      <c r="S49" s="1300"/>
      <c r="T49" s="1310"/>
      <c r="U49" s="1310"/>
    </row>
    <row r="50" spans="1:21" s="1311" customFormat="1" x14ac:dyDescent="0.2">
      <c r="A50" s="1291"/>
      <c r="B50" s="1292" t="s">
        <v>666</v>
      </c>
      <c r="C50" s="1302" t="s">
        <v>624</v>
      </c>
      <c r="D50" s="1303">
        <v>1</v>
      </c>
      <c r="E50" s="1304" t="s">
        <v>24</v>
      </c>
      <c r="F50" s="1304" t="s">
        <v>24</v>
      </c>
      <c r="G50" s="1305">
        <v>328.57</v>
      </c>
      <c r="H50" s="1306">
        <f t="shared" si="33"/>
        <v>328.57</v>
      </c>
      <c r="I50" s="1308">
        <f t="shared" ref="I50:I52" si="38">H50*12</f>
        <v>3942.84</v>
      </c>
      <c r="J50" s="1308">
        <f t="shared" si="34"/>
        <v>100</v>
      </c>
      <c r="K50" s="1308">
        <v>0</v>
      </c>
      <c r="L50" s="1308">
        <f t="shared" si="37"/>
        <v>328.57</v>
      </c>
      <c r="M50" s="1308">
        <f>+I50*$M$8</f>
        <v>266.14170000000001</v>
      </c>
      <c r="N50" s="1308">
        <v>0</v>
      </c>
      <c r="O50" s="1308">
        <f>IF(H50&gt;1000,1000*$O$8*12,H50*$O$8*12)</f>
        <v>295.71299999999997</v>
      </c>
      <c r="P50" s="1308">
        <f t="shared" si="35"/>
        <v>39.428400000000003</v>
      </c>
      <c r="Q50" s="1308">
        <f>SUM(M50:P50)</f>
        <v>601.28309999999999</v>
      </c>
      <c r="R50" s="1299">
        <f t="shared" si="36"/>
        <v>4972.6930999999995</v>
      </c>
      <c r="S50" s="1300"/>
      <c r="T50" s="1310"/>
      <c r="U50" s="1310"/>
    </row>
    <row r="51" spans="1:21" s="1311" customFormat="1" ht="36" customHeight="1" x14ac:dyDescent="0.2">
      <c r="A51" s="1291"/>
      <c r="B51" s="1301" t="s">
        <v>625</v>
      </c>
      <c r="C51" s="1301" t="s">
        <v>626</v>
      </c>
      <c r="D51" s="1322">
        <v>1</v>
      </c>
      <c r="E51" s="1323" t="s">
        <v>24</v>
      </c>
      <c r="F51" s="1323" t="s">
        <v>24</v>
      </c>
      <c r="G51" s="1324">
        <v>328.57</v>
      </c>
      <c r="H51" s="1325">
        <f t="shared" si="33"/>
        <v>328.57</v>
      </c>
      <c r="I51" s="1326">
        <f t="shared" si="38"/>
        <v>3942.84</v>
      </c>
      <c r="J51" s="1326">
        <f t="shared" si="34"/>
        <v>100</v>
      </c>
      <c r="K51" s="1326">
        <v>0</v>
      </c>
      <c r="L51" s="1326">
        <f t="shared" si="37"/>
        <v>328.57</v>
      </c>
      <c r="M51" s="1326">
        <f>+I51*$M$8</f>
        <v>266.14170000000001</v>
      </c>
      <c r="N51" s="1326">
        <v>0</v>
      </c>
      <c r="O51" s="1326">
        <f>IF(H51&gt;1000,1000*$O$8*12,H51*$O$8*12)</f>
        <v>295.71299999999997</v>
      </c>
      <c r="P51" s="1326">
        <f>(I51+K51)*P$8</f>
        <v>39.428400000000003</v>
      </c>
      <c r="Q51" s="1326">
        <f>SUM(M51:P51)</f>
        <v>601.28309999999999</v>
      </c>
      <c r="R51" s="1327">
        <f t="shared" si="36"/>
        <v>4972.6930999999995</v>
      </c>
      <c r="S51" s="1300"/>
      <c r="T51" s="1310"/>
      <c r="U51" s="1310"/>
    </row>
    <row r="52" spans="1:21" s="1311" customFormat="1" x14ac:dyDescent="0.2">
      <c r="A52" s="1291">
        <v>39</v>
      </c>
      <c r="B52" s="1292" t="s">
        <v>23</v>
      </c>
      <c r="C52" s="1302"/>
      <c r="D52" s="1303">
        <v>3</v>
      </c>
      <c r="E52" s="1304" t="s">
        <v>24</v>
      </c>
      <c r="F52" s="1304" t="s">
        <v>24</v>
      </c>
      <c r="G52" s="1305">
        <v>300</v>
      </c>
      <c r="H52" s="1306">
        <f t="shared" si="33"/>
        <v>900</v>
      </c>
      <c r="I52" s="1308">
        <f t="shared" si="38"/>
        <v>10800</v>
      </c>
      <c r="J52" s="1308">
        <f t="shared" si="34"/>
        <v>300</v>
      </c>
      <c r="K52" s="1308">
        <v>0</v>
      </c>
      <c r="L52" s="1308">
        <f t="shared" si="37"/>
        <v>900</v>
      </c>
      <c r="M52" s="1308">
        <f>+I52*$M$8</f>
        <v>729</v>
      </c>
      <c r="N52" s="1308">
        <v>0</v>
      </c>
      <c r="O52" s="1308">
        <f>IF(H52&gt;1000,1000*$O$8*12,H52*$O$8*12)</f>
        <v>810</v>
      </c>
      <c r="P52" s="1308">
        <f t="shared" si="35"/>
        <v>108</v>
      </c>
      <c r="Q52" s="1308">
        <f>SUM(M52:P52)</f>
        <v>1647</v>
      </c>
      <c r="R52" s="1299">
        <f t="shared" si="36"/>
        <v>13647</v>
      </c>
      <c r="S52" s="1300"/>
      <c r="T52" s="1310"/>
      <c r="U52" s="1310"/>
    </row>
    <row r="53" spans="1:21" s="1311" customFormat="1" ht="13.5" thickBot="1" x14ac:dyDescent="0.25">
      <c r="A53" s="1313"/>
      <c r="B53" s="1314" t="s">
        <v>424</v>
      </c>
      <c r="C53" s="1315"/>
      <c r="D53" s="1316">
        <f>SUM(D48:D52)</f>
        <v>7</v>
      </c>
      <c r="E53" s="1317"/>
      <c r="F53" s="1317"/>
      <c r="G53" s="1317"/>
      <c r="H53" s="1318">
        <f t="shared" ref="H53:R53" si="39">SUM(H48:H52)</f>
        <v>2507.14</v>
      </c>
      <c r="I53" s="1318">
        <f t="shared" si="39"/>
        <v>30085.68</v>
      </c>
      <c r="J53" s="1318">
        <f>SUM(J48:J52)</f>
        <v>700</v>
      </c>
      <c r="K53" s="1318">
        <f t="shared" si="39"/>
        <v>0</v>
      </c>
      <c r="L53" s="1318">
        <f t="shared" si="39"/>
        <v>2507.14</v>
      </c>
      <c r="M53" s="1318">
        <f t="shared" si="39"/>
        <v>2030.7834000000003</v>
      </c>
      <c r="N53" s="1318">
        <f t="shared" si="39"/>
        <v>0</v>
      </c>
      <c r="O53" s="1318">
        <f t="shared" si="39"/>
        <v>2256.4259999999999</v>
      </c>
      <c r="P53" s="1318">
        <f>SUM(P48:P52)</f>
        <v>300.85680000000002</v>
      </c>
      <c r="Q53" s="1318">
        <f t="shared" si="39"/>
        <v>4588.0662000000002</v>
      </c>
      <c r="R53" s="1319">
        <f t="shared" si="39"/>
        <v>37880.886200000001</v>
      </c>
      <c r="S53" s="1300"/>
      <c r="T53" s="1310"/>
      <c r="U53" s="1310"/>
    </row>
    <row r="54" spans="1:21" s="1311" customFormat="1" ht="13.5" hidden="1" thickTop="1" x14ac:dyDescent="0.2">
      <c r="A54" s="1291"/>
      <c r="B54" s="1292"/>
      <c r="C54" s="1302"/>
      <c r="D54" s="1303"/>
      <c r="E54" s="1304"/>
      <c r="F54" s="1304"/>
      <c r="G54" s="1304"/>
      <c r="H54" s="1306"/>
      <c r="I54" s="1308"/>
      <c r="J54" s="1308"/>
      <c r="K54" s="1308"/>
      <c r="L54" s="1308"/>
      <c r="M54" s="1308"/>
      <c r="N54" s="1309"/>
      <c r="O54" s="1308"/>
      <c r="P54" s="1308"/>
      <c r="Q54" s="1308"/>
      <c r="R54" s="1299"/>
      <c r="S54" s="1300"/>
      <c r="T54" s="1310"/>
      <c r="U54" s="1310"/>
    </row>
    <row r="55" spans="1:21" s="1311" customFormat="1" ht="13.5" hidden="1" thickTop="1" x14ac:dyDescent="0.2">
      <c r="A55" s="1291">
        <v>40</v>
      </c>
      <c r="B55" s="1292" t="s">
        <v>425</v>
      </c>
      <c r="C55" s="1302" t="s">
        <v>426</v>
      </c>
      <c r="D55" s="1303">
        <v>1</v>
      </c>
      <c r="E55" s="1304" t="s">
        <v>21</v>
      </c>
      <c r="F55" s="1304" t="s">
        <v>427</v>
      </c>
      <c r="G55" s="1304"/>
      <c r="H55" s="1306">
        <v>0</v>
      </c>
      <c r="I55" s="1308">
        <f>+H55*12*D55</f>
        <v>0</v>
      </c>
      <c r="J55" s="1308"/>
      <c r="K55" s="1308"/>
      <c r="L55" s="1308">
        <f>+H55*D55</f>
        <v>0</v>
      </c>
      <c r="M55" s="1308">
        <f>+I55*$M$8</f>
        <v>0</v>
      </c>
      <c r="N55" s="1309"/>
      <c r="O55" s="1308">
        <f>IF(H55&gt;685.71,685.71*$O$8*12,H55*$O$8*12)</f>
        <v>0</v>
      </c>
      <c r="P55" s="1308"/>
      <c r="Q55" s="1308">
        <f>SUM(N55:P55)</f>
        <v>0</v>
      </c>
      <c r="R55" s="1299">
        <f>SUM(I55:P55)</f>
        <v>0</v>
      </c>
      <c r="S55" s="1300"/>
      <c r="T55" s="1310"/>
      <c r="U55" s="1310"/>
    </row>
    <row r="56" spans="1:21" s="1311" customFormat="1" ht="13.5" hidden="1" thickTop="1" x14ac:dyDescent="0.2">
      <c r="A56" s="1291">
        <v>41</v>
      </c>
      <c r="B56" s="1292" t="s">
        <v>428</v>
      </c>
      <c r="C56" s="1302" t="s">
        <v>429</v>
      </c>
      <c r="D56" s="1303"/>
      <c r="E56" s="1304" t="s">
        <v>21</v>
      </c>
      <c r="F56" s="1304" t="s">
        <v>427</v>
      </c>
      <c r="G56" s="1304"/>
      <c r="H56" s="1306">
        <v>0</v>
      </c>
      <c r="I56" s="1308">
        <f>+H56*12*D56</f>
        <v>0</v>
      </c>
      <c r="J56" s="1308"/>
      <c r="K56" s="1308"/>
      <c r="L56" s="1308">
        <f>+H56*D56</f>
        <v>0</v>
      </c>
      <c r="M56" s="1308">
        <f>+I56*$M$8</f>
        <v>0</v>
      </c>
      <c r="N56" s="1309"/>
      <c r="O56" s="1308">
        <f>IF(H56&gt;685.71,685.71*$O$8*12,H56*$O$8*12)</f>
        <v>0</v>
      </c>
      <c r="P56" s="1308"/>
      <c r="Q56" s="1308">
        <f>SUM(N56:P56)</f>
        <v>0</v>
      </c>
      <c r="R56" s="1299">
        <f>SUM(I56:P56)</f>
        <v>0</v>
      </c>
      <c r="S56" s="1300"/>
      <c r="T56" s="1310"/>
      <c r="U56" s="1310"/>
    </row>
    <row r="57" spans="1:21" s="1311" customFormat="1" ht="13.5" hidden="1" thickTop="1" x14ac:dyDescent="0.2">
      <c r="A57" s="1291">
        <v>42</v>
      </c>
      <c r="B57" s="1292" t="s">
        <v>416</v>
      </c>
      <c r="C57" s="1302" t="s">
        <v>429</v>
      </c>
      <c r="D57" s="1303"/>
      <c r="E57" s="1304" t="s">
        <v>21</v>
      </c>
      <c r="F57" s="1304" t="s">
        <v>427</v>
      </c>
      <c r="G57" s="1304"/>
      <c r="H57" s="1306">
        <v>0</v>
      </c>
      <c r="I57" s="1308">
        <f>+H57*12*D57</f>
        <v>0</v>
      </c>
      <c r="J57" s="1308"/>
      <c r="K57" s="1308"/>
      <c r="L57" s="1308">
        <f>+H57*D57</f>
        <v>0</v>
      </c>
      <c r="M57" s="1308">
        <f>+I57*$M$8</f>
        <v>0</v>
      </c>
      <c r="N57" s="1309"/>
      <c r="O57" s="1308">
        <f>IF(H57&gt;685.71,685.71*$O$8*12,H57*$O$8*12)</f>
        <v>0</v>
      </c>
      <c r="P57" s="1308"/>
      <c r="Q57" s="1308">
        <f>SUM(N57:P57)</f>
        <v>0</v>
      </c>
      <c r="R57" s="1344">
        <f>SUM(I57:P57)</f>
        <v>0</v>
      </c>
      <c r="S57" s="1300"/>
      <c r="T57" s="1310"/>
      <c r="U57" s="1310"/>
    </row>
    <row r="58" spans="1:21" s="1311" customFormat="1" ht="14.25" hidden="1" thickTop="1" thickBot="1" x14ac:dyDescent="0.25">
      <c r="A58" s="1313"/>
      <c r="B58" s="1334" t="s">
        <v>430</v>
      </c>
      <c r="C58" s="1315"/>
      <c r="D58" s="1335">
        <f>SUM(D55:D57)</f>
        <v>1</v>
      </c>
      <c r="E58" s="1317"/>
      <c r="F58" s="1317"/>
      <c r="G58" s="1317"/>
      <c r="H58" s="1336">
        <f t="shared" ref="H58:R58" si="40">SUM(H55:H57)</f>
        <v>0</v>
      </c>
      <c r="I58" s="1336">
        <f t="shared" si="40"/>
        <v>0</v>
      </c>
      <c r="J58" s="1336"/>
      <c r="K58" s="1336"/>
      <c r="L58" s="1336">
        <f t="shared" si="40"/>
        <v>0</v>
      </c>
      <c r="M58" s="1336">
        <f t="shared" si="40"/>
        <v>0</v>
      </c>
      <c r="N58" s="1336">
        <f t="shared" si="40"/>
        <v>0</v>
      </c>
      <c r="O58" s="1336">
        <f t="shared" si="40"/>
        <v>0</v>
      </c>
      <c r="P58" s="1336">
        <f t="shared" si="40"/>
        <v>0</v>
      </c>
      <c r="Q58" s="1336">
        <f t="shared" si="40"/>
        <v>0</v>
      </c>
      <c r="R58" s="1352">
        <f t="shared" si="40"/>
        <v>0</v>
      </c>
      <c r="S58" s="1300"/>
      <c r="T58" s="1310"/>
      <c r="U58" s="1310"/>
    </row>
    <row r="59" spans="1:21" s="1311" customFormat="1" ht="13.5" thickTop="1" x14ac:dyDescent="0.2">
      <c r="A59" s="1291"/>
      <c r="B59" s="1292" t="s">
        <v>431</v>
      </c>
      <c r="C59" s="1302" t="s">
        <v>432</v>
      </c>
      <c r="D59" s="1303">
        <v>1</v>
      </c>
      <c r="E59" s="1304" t="s">
        <v>255</v>
      </c>
      <c r="F59" s="1304" t="s">
        <v>255</v>
      </c>
      <c r="G59" s="1305">
        <v>700</v>
      </c>
      <c r="H59" s="1306">
        <f t="shared" ref="H59:H69" si="41">D59*G59</f>
        <v>700</v>
      </c>
      <c r="I59" s="1308">
        <f>H59*12</f>
        <v>8400</v>
      </c>
      <c r="J59" s="1308">
        <f t="shared" ref="J59:J69" si="42">100*D59</f>
        <v>100</v>
      </c>
      <c r="K59" s="1308">
        <v>0</v>
      </c>
      <c r="L59" s="1308">
        <f>H59</f>
        <v>700</v>
      </c>
      <c r="M59" s="1308">
        <f>+I59*$M$8</f>
        <v>567</v>
      </c>
      <c r="N59" s="1308">
        <v>0</v>
      </c>
      <c r="O59" s="1308">
        <f>(H59*O$8)*12+(K59*O$8)</f>
        <v>630</v>
      </c>
      <c r="P59" s="1308">
        <f>(I59+K59)*P$8</f>
        <v>84</v>
      </c>
      <c r="Q59" s="1308">
        <f>SUM(M59:P59)</f>
        <v>1281</v>
      </c>
      <c r="R59" s="1299">
        <f t="shared" ref="R59:R69" si="43">I59+J59+K59+L59+Q59</f>
        <v>10481</v>
      </c>
      <c r="S59" s="1300"/>
      <c r="T59" s="1310"/>
      <c r="U59" s="1310"/>
    </row>
    <row r="60" spans="1:21" s="1311" customFormat="1" x14ac:dyDescent="0.2">
      <c r="A60" s="1291"/>
      <c r="B60" s="1292" t="s">
        <v>433</v>
      </c>
      <c r="C60" s="1302" t="s">
        <v>432</v>
      </c>
      <c r="D60" s="1303">
        <v>2</v>
      </c>
      <c r="E60" s="1304" t="s">
        <v>255</v>
      </c>
      <c r="F60" s="1304" t="s">
        <v>255</v>
      </c>
      <c r="G60" s="1305">
        <v>328.57</v>
      </c>
      <c r="H60" s="1306">
        <f t="shared" si="41"/>
        <v>657.14</v>
      </c>
      <c r="I60" s="1308">
        <f t="shared" ref="I60:I72" si="44">H60*12</f>
        <v>7885.68</v>
      </c>
      <c r="J60" s="1308">
        <f t="shared" si="42"/>
        <v>200</v>
      </c>
      <c r="K60" s="1308">
        <f>G60*D60</f>
        <v>657.14</v>
      </c>
      <c r="L60" s="1308">
        <f t="shared" ref="L60:L72" si="45">H60</f>
        <v>657.14</v>
      </c>
      <c r="M60" s="1308">
        <f>(328.57*M8)*13</f>
        <v>288.32017500000001</v>
      </c>
      <c r="N60" s="1308">
        <f>(328.57*N8)*13</f>
        <v>256.28459999999995</v>
      </c>
      <c r="O60" s="1308">
        <f>(H60*O$8)*12+(K60*O$8)</f>
        <v>640.71149999999989</v>
      </c>
      <c r="P60" s="1308">
        <f>(I60+K60)*P$8</f>
        <v>85.428200000000004</v>
      </c>
      <c r="Q60" s="1308">
        <f t="shared" ref="Q60:Q69" si="46">SUM(M60:P60)</f>
        <v>1270.744475</v>
      </c>
      <c r="R60" s="1299">
        <f t="shared" si="43"/>
        <v>10670.704474999999</v>
      </c>
      <c r="S60" s="1300"/>
      <c r="T60" s="1310"/>
      <c r="U60" s="1310"/>
    </row>
    <row r="61" spans="1:21" s="1311" customFormat="1" x14ac:dyDescent="0.2">
      <c r="A61" s="1291"/>
      <c r="B61" s="1292" t="s">
        <v>433</v>
      </c>
      <c r="C61" s="1302" t="s">
        <v>432</v>
      </c>
      <c r="D61" s="1303">
        <v>7</v>
      </c>
      <c r="E61" s="1304" t="s">
        <v>255</v>
      </c>
      <c r="F61" s="1304" t="s">
        <v>255</v>
      </c>
      <c r="G61" s="1305">
        <v>300</v>
      </c>
      <c r="H61" s="1306">
        <f t="shared" si="41"/>
        <v>2100</v>
      </c>
      <c r="I61" s="1308">
        <f t="shared" si="44"/>
        <v>25200</v>
      </c>
      <c r="J61" s="1308">
        <f t="shared" si="42"/>
        <v>700</v>
      </c>
      <c r="K61" s="1308">
        <f t="shared" ref="K61:K62" si="47">G61*D61</f>
        <v>2100</v>
      </c>
      <c r="L61" s="1308">
        <f t="shared" si="45"/>
        <v>2100</v>
      </c>
      <c r="M61" s="1308">
        <f>((300*6)*12)*M8+300*M8</f>
        <v>1478.25</v>
      </c>
      <c r="N61" s="1308">
        <f>(300*N8)*13</f>
        <v>234</v>
      </c>
      <c r="O61" s="1308">
        <f t="shared" ref="O61:O69" si="48">(H61*O$8)*12+(K61*O$8)</f>
        <v>2047.5</v>
      </c>
      <c r="P61" s="1308">
        <f>(I61+K61)*P$8</f>
        <v>273</v>
      </c>
      <c r="Q61" s="1308">
        <f t="shared" si="46"/>
        <v>4032.75</v>
      </c>
      <c r="R61" s="1299">
        <f t="shared" si="43"/>
        <v>34132.75</v>
      </c>
      <c r="S61" s="1300"/>
      <c r="T61" s="1310"/>
      <c r="U61" s="1310"/>
    </row>
    <row r="62" spans="1:21" s="1311" customFormat="1" x14ac:dyDescent="0.2">
      <c r="A62" s="1291">
        <v>23</v>
      </c>
      <c r="B62" s="1292" t="s">
        <v>434</v>
      </c>
      <c r="C62" s="1302" t="s">
        <v>7</v>
      </c>
      <c r="D62" s="1303">
        <v>1</v>
      </c>
      <c r="E62" s="1304" t="s">
        <v>255</v>
      </c>
      <c r="F62" s="1304" t="s">
        <v>255</v>
      </c>
      <c r="G62" s="1305">
        <v>300</v>
      </c>
      <c r="H62" s="1306">
        <f t="shared" si="41"/>
        <v>300</v>
      </c>
      <c r="I62" s="1308">
        <f t="shared" si="44"/>
        <v>3600</v>
      </c>
      <c r="J62" s="1308">
        <f t="shared" si="42"/>
        <v>100</v>
      </c>
      <c r="K62" s="1308">
        <f t="shared" si="47"/>
        <v>300</v>
      </c>
      <c r="L62" s="1308">
        <f t="shared" si="45"/>
        <v>300</v>
      </c>
      <c r="M62" s="1308">
        <f>(I62+K62)*M$8</f>
        <v>263.25</v>
      </c>
      <c r="N62" s="1308">
        <v>0</v>
      </c>
      <c r="O62" s="1308">
        <f t="shared" si="48"/>
        <v>292.5</v>
      </c>
      <c r="P62" s="1308">
        <f t="shared" ref="P62:P68" si="49">(I62+K62)*P$8</f>
        <v>39</v>
      </c>
      <c r="Q62" s="1308">
        <f t="shared" si="46"/>
        <v>594.75</v>
      </c>
      <c r="R62" s="1299">
        <f t="shared" si="43"/>
        <v>4894.75</v>
      </c>
      <c r="S62" s="1300"/>
      <c r="T62" s="1310"/>
      <c r="U62" s="1310"/>
    </row>
    <row r="63" spans="1:21" s="1311" customFormat="1" x14ac:dyDescent="0.2">
      <c r="A63" s="1291">
        <v>22</v>
      </c>
      <c r="B63" s="1292" t="s">
        <v>435</v>
      </c>
      <c r="C63" s="1302" t="s">
        <v>7</v>
      </c>
      <c r="D63" s="1303">
        <v>1</v>
      </c>
      <c r="E63" s="1304" t="s">
        <v>255</v>
      </c>
      <c r="F63" s="1304" t="s">
        <v>255</v>
      </c>
      <c r="G63" s="1305">
        <v>400</v>
      </c>
      <c r="H63" s="1306">
        <f t="shared" si="41"/>
        <v>400</v>
      </c>
      <c r="I63" s="1308">
        <f t="shared" si="44"/>
        <v>4800</v>
      </c>
      <c r="J63" s="1308">
        <f t="shared" si="42"/>
        <v>100</v>
      </c>
      <c r="K63" s="1308">
        <v>0</v>
      </c>
      <c r="L63" s="1308">
        <f t="shared" si="45"/>
        <v>400</v>
      </c>
      <c r="M63" s="1308">
        <f>(I63+K63)*M$8</f>
        <v>324</v>
      </c>
      <c r="N63" s="1308">
        <v>0</v>
      </c>
      <c r="O63" s="1308">
        <f t="shared" si="48"/>
        <v>360</v>
      </c>
      <c r="P63" s="1308">
        <f t="shared" si="49"/>
        <v>48</v>
      </c>
      <c r="Q63" s="1308">
        <f t="shared" si="46"/>
        <v>732</v>
      </c>
      <c r="R63" s="1299">
        <f t="shared" si="43"/>
        <v>6032</v>
      </c>
      <c r="S63" s="1300"/>
      <c r="T63" s="1310"/>
      <c r="U63" s="1310"/>
    </row>
    <row r="64" spans="1:21" s="1311" customFormat="1" ht="24" x14ac:dyDescent="0.2">
      <c r="A64" s="1291"/>
      <c r="B64" s="1330" t="s">
        <v>693</v>
      </c>
      <c r="C64" s="1302" t="s">
        <v>641</v>
      </c>
      <c r="D64" s="1303">
        <v>1</v>
      </c>
      <c r="E64" s="1304" t="s">
        <v>255</v>
      </c>
      <c r="F64" s="1304" t="s">
        <v>255</v>
      </c>
      <c r="G64" s="1305">
        <v>450</v>
      </c>
      <c r="H64" s="1306">
        <f t="shared" si="41"/>
        <v>450</v>
      </c>
      <c r="I64" s="1308">
        <f>H64*12</f>
        <v>5400</v>
      </c>
      <c r="J64" s="1308">
        <f t="shared" si="42"/>
        <v>100</v>
      </c>
      <c r="K64" s="1308">
        <v>0</v>
      </c>
      <c r="L64" s="1308">
        <f t="shared" ref="L64" si="50">H64</f>
        <v>450</v>
      </c>
      <c r="M64" s="1308">
        <f>+I64*$M$8</f>
        <v>364.5</v>
      </c>
      <c r="N64" s="1308">
        <v>0</v>
      </c>
      <c r="O64" s="1308">
        <f t="shared" si="48"/>
        <v>405</v>
      </c>
      <c r="P64" s="1308">
        <f t="shared" si="49"/>
        <v>54</v>
      </c>
      <c r="Q64" s="1308">
        <f>SUM(M64:P64)</f>
        <v>823.5</v>
      </c>
      <c r="R64" s="1299">
        <f t="shared" si="43"/>
        <v>6773.5</v>
      </c>
      <c r="S64" s="1300"/>
      <c r="T64" s="1310"/>
      <c r="U64" s="1310"/>
    </row>
    <row r="65" spans="1:21" s="1311" customFormat="1" x14ac:dyDescent="0.2">
      <c r="A65" s="1291"/>
      <c r="B65" s="1292" t="s">
        <v>537</v>
      </c>
      <c r="C65" s="1302" t="s">
        <v>607</v>
      </c>
      <c r="D65" s="1303">
        <v>1</v>
      </c>
      <c r="E65" s="1304" t="s">
        <v>255</v>
      </c>
      <c r="F65" s="1304" t="s">
        <v>255</v>
      </c>
      <c r="G65" s="1305">
        <v>450</v>
      </c>
      <c r="H65" s="1306">
        <f t="shared" si="41"/>
        <v>450</v>
      </c>
      <c r="I65" s="1308">
        <f t="shared" si="44"/>
        <v>5400</v>
      </c>
      <c r="J65" s="1308">
        <f t="shared" si="42"/>
        <v>100</v>
      </c>
      <c r="K65" s="1308">
        <f t="shared" ref="K65:K69" si="51">G65*D65</f>
        <v>450</v>
      </c>
      <c r="L65" s="1308">
        <f t="shared" si="45"/>
        <v>450</v>
      </c>
      <c r="M65" s="1308">
        <f>(I65+K65)*$M$8</f>
        <v>394.875</v>
      </c>
      <c r="N65" s="1308">
        <v>0</v>
      </c>
      <c r="O65" s="1308">
        <f t="shared" si="48"/>
        <v>438.75</v>
      </c>
      <c r="P65" s="1308">
        <f t="shared" si="49"/>
        <v>58.5</v>
      </c>
      <c r="Q65" s="1308">
        <f>SUM(M65:P65)</f>
        <v>892.125</v>
      </c>
      <c r="R65" s="1299">
        <f t="shared" si="43"/>
        <v>7292.125</v>
      </c>
      <c r="S65" s="1300"/>
      <c r="T65" s="1310"/>
      <c r="U65" s="1310"/>
    </row>
    <row r="66" spans="1:21" s="1311" customFormat="1" x14ac:dyDescent="0.2">
      <c r="A66" s="1291">
        <v>29</v>
      </c>
      <c r="B66" s="1292" t="s">
        <v>506</v>
      </c>
      <c r="C66" s="1302" t="s">
        <v>607</v>
      </c>
      <c r="D66" s="1303">
        <v>1</v>
      </c>
      <c r="E66" s="1304" t="s">
        <v>255</v>
      </c>
      <c r="F66" s="1304" t="s">
        <v>255</v>
      </c>
      <c r="G66" s="1305">
        <v>334.29</v>
      </c>
      <c r="H66" s="1306">
        <f t="shared" si="41"/>
        <v>334.29</v>
      </c>
      <c r="I66" s="1308">
        <f>H66*12</f>
        <v>4011.4800000000005</v>
      </c>
      <c r="J66" s="1308">
        <f t="shared" si="42"/>
        <v>100</v>
      </c>
      <c r="K66" s="1308">
        <f t="shared" si="51"/>
        <v>334.29</v>
      </c>
      <c r="L66" s="1308">
        <f>H66</f>
        <v>334.29</v>
      </c>
      <c r="M66" s="1308">
        <f>(I66+K66)*$M$8</f>
        <v>293.33947500000005</v>
      </c>
      <c r="N66" s="1308">
        <v>0</v>
      </c>
      <c r="O66" s="1308">
        <f t="shared" si="48"/>
        <v>325.93275</v>
      </c>
      <c r="P66" s="1308">
        <f t="shared" si="49"/>
        <v>43.457700000000003</v>
      </c>
      <c r="Q66" s="1308">
        <f>SUM(M66:P66)</f>
        <v>662.72992500000009</v>
      </c>
      <c r="R66" s="1299">
        <f t="shared" si="43"/>
        <v>5442.7899250000009</v>
      </c>
      <c r="S66" s="1300"/>
      <c r="T66" s="1310"/>
      <c r="U66" s="1310"/>
    </row>
    <row r="67" spans="1:21" s="1311" customFormat="1" x14ac:dyDescent="0.2">
      <c r="A67" s="1291"/>
      <c r="B67" s="1292" t="s">
        <v>436</v>
      </c>
      <c r="C67" s="1302" t="s">
        <v>607</v>
      </c>
      <c r="D67" s="1303">
        <v>2</v>
      </c>
      <c r="E67" s="1304" t="s">
        <v>255</v>
      </c>
      <c r="F67" s="1304" t="s">
        <v>255</v>
      </c>
      <c r="G67" s="1305">
        <v>300</v>
      </c>
      <c r="H67" s="1306">
        <f t="shared" si="41"/>
        <v>600</v>
      </c>
      <c r="I67" s="1308">
        <f>H67*12</f>
        <v>7200</v>
      </c>
      <c r="J67" s="1308">
        <f t="shared" si="42"/>
        <v>200</v>
      </c>
      <c r="K67" s="1308">
        <f t="shared" si="51"/>
        <v>600</v>
      </c>
      <c r="L67" s="1308">
        <f t="shared" si="45"/>
        <v>600</v>
      </c>
      <c r="M67" s="1308">
        <f>(I67+K67)*$M$8</f>
        <v>526.5</v>
      </c>
      <c r="N67" s="1308">
        <v>0</v>
      </c>
      <c r="O67" s="1308">
        <f t="shared" si="48"/>
        <v>585</v>
      </c>
      <c r="P67" s="1308">
        <f t="shared" si="49"/>
        <v>78</v>
      </c>
      <c r="Q67" s="1308">
        <f>SUM(M67:P67)</f>
        <v>1189.5</v>
      </c>
      <c r="R67" s="1299">
        <f t="shared" si="43"/>
        <v>9789.5</v>
      </c>
      <c r="S67" s="1300"/>
      <c r="T67" s="1310"/>
      <c r="U67" s="1310"/>
    </row>
    <row r="68" spans="1:21" s="1311" customFormat="1" x14ac:dyDescent="0.2">
      <c r="A68" s="1291"/>
      <c r="B68" s="1292" t="s">
        <v>436</v>
      </c>
      <c r="C68" s="1302" t="s">
        <v>607</v>
      </c>
      <c r="D68" s="1303">
        <v>2</v>
      </c>
      <c r="E68" s="1304" t="s">
        <v>255</v>
      </c>
      <c r="F68" s="1304" t="s">
        <v>255</v>
      </c>
      <c r="G68" s="1305">
        <v>251.7</v>
      </c>
      <c r="H68" s="1306">
        <f t="shared" si="41"/>
        <v>503.4</v>
      </c>
      <c r="I68" s="1308">
        <f>H68*12</f>
        <v>6040.7999999999993</v>
      </c>
      <c r="J68" s="1308">
        <f t="shared" si="42"/>
        <v>200</v>
      </c>
      <c r="K68" s="1308">
        <f t="shared" si="51"/>
        <v>503.4</v>
      </c>
      <c r="L68" s="1308">
        <f t="shared" ref="L68" si="52">H68</f>
        <v>503.4</v>
      </c>
      <c r="M68" s="1308">
        <f>(I68+K68)*$M$8</f>
        <v>441.73349999999994</v>
      </c>
      <c r="N68" s="1308">
        <v>0</v>
      </c>
      <c r="O68" s="1308">
        <f t="shared" si="48"/>
        <v>490.81499999999994</v>
      </c>
      <c r="P68" s="1308">
        <f t="shared" si="49"/>
        <v>65.441999999999993</v>
      </c>
      <c r="Q68" s="1308">
        <f t="shared" ref="Q68" si="53">SUM(M68:P68)</f>
        <v>997.99049999999988</v>
      </c>
      <c r="R68" s="1299">
        <f t="shared" si="43"/>
        <v>8245.5904999999984</v>
      </c>
      <c r="S68" s="1300"/>
      <c r="T68" s="1310"/>
      <c r="U68" s="1310"/>
    </row>
    <row r="69" spans="1:21" s="1311" customFormat="1" x14ac:dyDescent="0.2">
      <c r="A69" s="1291"/>
      <c r="B69" s="1292" t="s">
        <v>437</v>
      </c>
      <c r="C69" s="1302" t="s">
        <v>607</v>
      </c>
      <c r="D69" s="1303">
        <v>3</v>
      </c>
      <c r="E69" s="1304" t="s">
        <v>255</v>
      </c>
      <c r="F69" s="1304" t="s">
        <v>255</v>
      </c>
      <c r="G69" s="1305">
        <v>300</v>
      </c>
      <c r="H69" s="1306">
        <f t="shared" si="41"/>
        <v>900</v>
      </c>
      <c r="I69" s="1308">
        <f t="shared" si="44"/>
        <v>10800</v>
      </c>
      <c r="J69" s="1308">
        <f t="shared" si="42"/>
        <v>300</v>
      </c>
      <c r="K69" s="1308">
        <f t="shared" si="51"/>
        <v>900</v>
      </c>
      <c r="L69" s="1308">
        <f t="shared" si="45"/>
        <v>900</v>
      </c>
      <c r="M69" s="1308">
        <f>(I69+K69)*$M$8</f>
        <v>789.75</v>
      </c>
      <c r="N69" s="1308">
        <v>0</v>
      </c>
      <c r="O69" s="1308">
        <f t="shared" si="48"/>
        <v>877.5</v>
      </c>
      <c r="P69" s="1308">
        <f>(I69+K69)*P$8</f>
        <v>117</v>
      </c>
      <c r="Q69" s="1308">
        <f t="shared" si="46"/>
        <v>1784.25</v>
      </c>
      <c r="R69" s="1299">
        <f t="shared" si="43"/>
        <v>14684.25</v>
      </c>
      <c r="S69" s="1300"/>
      <c r="T69" s="1310"/>
      <c r="U69" s="1310"/>
    </row>
    <row r="70" spans="1:21" s="1311" customFormat="1" hidden="1" x14ac:dyDescent="0.2">
      <c r="A70" s="1291"/>
      <c r="B70" s="1292" t="s">
        <v>538</v>
      </c>
      <c r="C70" s="1302" t="s">
        <v>541</v>
      </c>
      <c r="D70" s="1303">
        <v>1</v>
      </c>
      <c r="E70" s="1304" t="s">
        <v>255</v>
      </c>
      <c r="F70" s="1304" t="s">
        <v>255</v>
      </c>
      <c r="G70" s="1304"/>
      <c r="H70" s="1306"/>
      <c r="I70" s="1308">
        <f t="shared" si="44"/>
        <v>0</v>
      </c>
      <c r="J70" s="1308"/>
      <c r="K70" s="1308"/>
      <c r="L70" s="1308">
        <f t="shared" si="45"/>
        <v>0</v>
      </c>
      <c r="M70" s="1308">
        <f t="shared" ref="M70:M72" si="54">+I70*$M$8</f>
        <v>0</v>
      </c>
      <c r="N70" s="1308">
        <v>0</v>
      </c>
      <c r="O70" s="1308">
        <f t="shared" ref="O70:O72" si="55">IF(H70&gt;685.71,685.71*$O$8*12,H70*$O$8*12)*D70</f>
        <v>0</v>
      </c>
      <c r="P70" s="1308"/>
      <c r="Q70" s="1308">
        <f t="shared" ref="Q70:Q72" si="56">SUM(M70:P70)</f>
        <v>0</v>
      </c>
      <c r="R70" s="1299">
        <f t="shared" ref="R70:R72" si="57">SUM(I70:P70)</f>
        <v>0</v>
      </c>
      <c r="S70" s="1300"/>
      <c r="T70" s="1310"/>
      <c r="U70" s="1310"/>
    </row>
    <row r="71" spans="1:21" s="1311" customFormat="1" hidden="1" x14ac:dyDescent="0.2">
      <c r="A71" s="1291"/>
      <c r="B71" s="1292" t="s">
        <v>539</v>
      </c>
      <c r="C71" s="1302" t="s">
        <v>541</v>
      </c>
      <c r="D71" s="1303">
        <v>2</v>
      </c>
      <c r="E71" s="1304" t="s">
        <v>255</v>
      </c>
      <c r="F71" s="1304" t="s">
        <v>255</v>
      </c>
      <c r="G71" s="1304"/>
      <c r="H71" s="1306"/>
      <c r="I71" s="1308">
        <f t="shared" si="44"/>
        <v>0</v>
      </c>
      <c r="J71" s="1308"/>
      <c r="K71" s="1308"/>
      <c r="L71" s="1308">
        <f t="shared" si="45"/>
        <v>0</v>
      </c>
      <c r="M71" s="1308">
        <f>+I71*$M$8</f>
        <v>0</v>
      </c>
      <c r="N71" s="1308">
        <v>0</v>
      </c>
      <c r="O71" s="1308">
        <f t="shared" si="55"/>
        <v>0</v>
      </c>
      <c r="P71" s="1308"/>
      <c r="Q71" s="1308">
        <f t="shared" si="56"/>
        <v>0</v>
      </c>
      <c r="R71" s="1299">
        <f t="shared" si="57"/>
        <v>0</v>
      </c>
      <c r="S71" s="1300"/>
      <c r="T71" s="1310"/>
      <c r="U71" s="1310"/>
    </row>
    <row r="72" spans="1:21" s="1311" customFormat="1" hidden="1" x14ac:dyDescent="0.2">
      <c r="A72" s="1291"/>
      <c r="B72" s="1292" t="s">
        <v>540</v>
      </c>
      <c r="C72" s="1302" t="s">
        <v>542</v>
      </c>
      <c r="D72" s="1303">
        <v>1</v>
      </c>
      <c r="E72" s="1304" t="s">
        <v>255</v>
      </c>
      <c r="F72" s="1304" t="s">
        <v>255</v>
      </c>
      <c r="G72" s="1304"/>
      <c r="H72" s="1306"/>
      <c r="I72" s="1308">
        <f t="shared" si="44"/>
        <v>0</v>
      </c>
      <c r="J72" s="1308"/>
      <c r="K72" s="1308"/>
      <c r="L72" s="1308">
        <f t="shared" si="45"/>
        <v>0</v>
      </c>
      <c r="M72" s="1308">
        <f t="shared" si="54"/>
        <v>0</v>
      </c>
      <c r="N72" s="1308">
        <v>0</v>
      </c>
      <c r="O72" s="1308">
        <f t="shared" si="55"/>
        <v>0</v>
      </c>
      <c r="P72" s="1308"/>
      <c r="Q72" s="1308">
        <f t="shared" si="56"/>
        <v>0</v>
      </c>
      <c r="R72" s="1299">
        <f t="shared" si="57"/>
        <v>0</v>
      </c>
      <c r="S72" s="1300"/>
      <c r="T72" s="1310"/>
      <c r="U72" s="1310"/>
    </row>
    <row r="73" spans="1:21" s="1311" customFormat="1" ht="13.5" thickBot="1" x14ac:dyDescent="0.25">
      <c r="A73" s="1291"/>
      <c r="B73" s="1314" t="s">
        <v>457</v>
      </c>
      <c r="C73" s="1315"/>
      <c r="D73" s="1316">
        <f>SUM(D59:D72)</f>
        <v>26</v>
      </c>
      <c r="E73" s="1317"/>
      <c r="F73" s="1317"/>
      <c r="G73" s="1317"/>
      <c r="H73" s="1318">
        <f>SUM(H59:H72)</f>
        <v>7394.829999999999</v>
      </c>
      <c r="I73" s="1318">
        <f>SUM(I59:I72)</f>
        <v>88737.96</v>
      </c>
      <c r="J73" s="1318">
        <f>SUM(J59:J72)</f>
        <v>2200</v>
      </c>
      <c r="K73" s="1318">
        <f t="shared" ref="K73:R73" si="58">SUM(K59:K72)</f>
        <v>5844.83</v>
      </c>
      <c r="L73" s="1318">
        <f t="shared" si="58"/>
        <v>7394.829999999999</v>
      </c>
      <c r="M73" s="1318">
        <f t="shared" si="58"/>
        <v>5731.5181499999999</v>
      </c>
      <c r="N73" s="1318">
        <f t="shared" si="58"/>
        <v>490.28459999999995</v>
      </c>
      <c r="O73" s="1318">
        <f t="shared" si="58"/>
        <v>7093.709249999999</v>
      </c>
      <c r="P73" s="1318">
        <f>SUM(P59:P72)</f>
        <v>945.82790000000011</v>
      </c>
      <c r="Q73" s="1318">
        <f t="shared" si="58"/>
        <v>14261.339899999999</v>
      </c>
      <c r="R73" s="1319">
        <f t="shared" si="58"/>
        <v>118438.95990000002</v>
      </c>
      <c r="S73" s="1353"/>
      <c r="T73" s="1310"/>
      <c r="U73" s="1310"/>
    </row>
    <row r="74" spans="1:21" s="1251" customFormat="1" ht="14.25" thickTop="1" thickBot="1" x14ac:dyDescent="0.25">
      <c r="A74" s="1345"/>
      <c r="B74" s="1346" t="s">
        <v>697</v>
      </c>
      <c r="C74" s="1354"/>
      <c r="D74" s="1348">
        <f>+D53+D73</f>
        <v>33</v>
      </c>
      <c r="E74" s="1355"/>
      <c r="F74" s="1355"/>
      <c r="G74" s="1355"/>
      <c r="H74" s="1350">
        <f t="shared" ref="H74:M74" si="59">H53+H73</f>
        <v>9901.9699999999993</v>
      </c>
      <c r="I74" s="1350">
        <f t="shared" si="59"/>
        <v>118823.64000000001</v>
      </c>
      <c r="J74" s="1350">
        <f t="shared" si="59"/>
        <v>2900</v>
      </c>
      <c r="K74" s="1350">
        <f t="shared" si="59"/>
        <v>5844.83</v>
      </c>
      <c r="L74" s="1350">
        <f t="shared" si="59"/>
        <v>9901.9699999999993</v>
      </c>
      <c r="M74" s="1350">
        <f t="shared" si="59"/>
        <v>7762.3015500000001</v>
      </c>
      <c r="N74" s="1350">
        <f>+N58+N53+N47+N43+N39+N73</f>
        <v>490.28459999999995</v>
      </c>
      <c r="O74" s="1350">
        <f>O73+O53</f>
        <v>9350.1352499999994</v>
      </c>
      <c r="P74" s="1350">
        <f>+P73+P53</f>
        <v>1246.6847000000002</v>
      </c>
      <c r="Q74" s="1350">
        <f>Q73+Q53</f>
        <v>18849.4061</v>
      </c>
      <c r="R74" s="1351">
        <f>R73+R53</f>
        <v>156319.84610000002</v>
      </c>
      <c r="S74" s="1300"/>
      <c r="T74" s="1300"/>
      <c r="U74" s="1300"/>
    </row>
    <row r="75" spans="1:21" s="1251" customFormat="1" ht="6.75" customHeight="1" thickBot="1" x14ac:dyDescent="0.25">
      <c r="A75" s="1356"/>
      <c r="B75" s="1292"/>
      <c r="C75" s="1357"/>
      <c r="D75" s="1357"/>
      <c r="E75" s="1304"/>
      <c r="F75" s="1304"/>
      <c r="G75" s="1304"/>
      <c r="H75" s="1358"/>
      <c r="I75" s="1358"/>
      <c r="J75" s="1358"/>
      <c r="K75" s="1358"/>
      <c r="L75" s="1358"/>
      <c r="M75" s="1358"/>
      <c r="N75" s="1358"/>
      <c r="O75" s="1358"/>
      <c r="P75" s="1358"/>
      <c r="Q75" s="1359"/>
      <c r="R75" s="1360"/>
      <c r="S75" s="1300"/>
      <c r="T75" s="1300"/>
      <c r="U75" s="1300"/>
    </row>
    <row r="76" spans="1:21" s="1311" customFormat="1" ht="13.5" thickBot="1" x14ac:dyDescent="0.25">
      <c r="A76" s="1361"/>
      <c r="B76" s="1362" t="s">
        <v>438</v>
      </c>
      <c r="C76" s="1363"/>
      <c r="D76" s="1363"/>
      <c r="E76" s="1364"/>
      <c r="F76" s="1364"/>
      <c r="G76" s="1364"/>
      <c r="H76" s="1365">
        <f t="shared" ref="H76:M76" si="60">+H74+H33</f>
        <v>21251.97</v>
      </c>
      <c r="I76" s="1365">
        <f>+I74+I33</f>
        <v>255023.64</v>
      </c>
      <c r="J76" s="1365">
        <f>+J74+J33</f>
        <v>4200</v>
      </c>
      <c r="K76" s="1365">
        <f t="shared" si="60"/>
        <v>5844.83</v>
      </c>
      <c r="L76" s="1365">
        <f>+L74+L33</f>
        <v>21251.97</v>
      </c>
      <c r="M76" s="1365">
        <f t="shared" si="60"/>
        <v>16186.30155</v>
      </c>
      <c r="N76" s="1365">
        <f>+N74+N33</f>
        <v>490.28459999999995</v>
      </c>
      <c r="O76" s="1365">
        <f>+O74+O33</f>
        <v>17270.135249999999</v>
      </c>
      <c r="P76" s="1365">
        <f>+P74+P33</f>
        <v>2302.6847000000002</v>
      </c>
      <c r="Q76" s="1365">
        <f>+Q74+Q33</f>
        <v>36249.4061</v>
      </c>
      <c r="R76" s="1366">
        <f>R33+R74</f>
        <v>322569.84610000002</v>
      </c>
      <c r="S76" s="1367"/>
      <c r="T76" s="1310"/>
      <c r="U76" s="1310"/>
    </row>
    <row r="77" spans="1:21" s="1251" customFormat="1" ht="13.5" thickBot="1" x14ac:dyDescent="0.25">
      <c r="A77" s="1368"/>
      <c r="B77" s="1362" t="s">
        <v>439</v>
      </c>
      <c r="C77" s="1369"/>
      <c r="D77" s="1369"/>
      <c r="E77" s="1370"/>
      <c r="F77" s="1370"/>
      <c r="G77" s="1370"/>
      <c r="H77" s="1371"/>
      <c r="I77" s="1372"/>
      <c r="J77" s="1372"/>
      <c r="K77" s="1372"/>
      <c r="L77" s="1372"/>
      <c r="M77" s="1372"/>
      <c r="N77" s="1372"/>
      <c r="O77" s="1372"/>
      <c r="P77" s="1373"/>
      <c r="Q77" s="1372"/>
      <c r="R77" s="1374">
        <f>SUM(R76:R76)</f>
        <v>322569.84610000002</v>
      </c>
      <c r="S77" s="1300"/>
      <c r="T77" s="1300"/>
      <c r="U77" s="1300"/>
    </row>
    <row r="78" spans="1:21" x14ac:dyDescent="0.2">
      <c r="A78" s="1375"/>
      <c r="H78" s="1378"/>
      <c r="I78" s="1379"/>
      <c r="J78" s="1380"/>
      <c r="K78" s="1379"/>
      <c r="L78" s="1381"/>
      <c r="M78" s="1381"/>
      <c r="N78" s="1381"/>
      <c r="O78" s="1381"/>
      <c r="P78" s="1379"/>
      <c r="Q78" s="1381"/>
      <c r="R78" s="1382"/>
      <c r="S78" s="1383"/>
      <c r="T78" s="1383"/>
      <c r="U78" s="1383"/>
    </row>
    <row r="79" spans="1:21" x14ac:dyDescent="0.2">
      <c r="A79" s="1375"/>
      <c r="H79" s="1384"/>
      <c r="I79" s="1385"/>
      <c r="J79" s="1386"/>
      <c r="K79" s="1385"/>
      <c r="L79" s="1381"/>
      <c r="M79" s="1381"/>
      <c r="N79" s="1381"/>
      <c r="O79" s="1385"/>
      <c r="Q79" s="1387"/>
      <c r="R79" s="1388"/>
    </row>
    <row r="80" spans="1:21" hidden="1" x14ac:dyDescent="0.2">
      <c r="B80" s="1389"/>
      <c r="H80" s="1390"/>
      <c r="I80" s="1391"/>
      <c r="J80" s="1392"/>
      <c r="K80" s="1391"/>
      <c r="L80" s="1391"/>
      <c r="M80" s="1391"/>
      <c r="N80" s="1391"/>
      <c r="O80" s="1391"/>
      <c r="P80" s="1391"/>
      <c r="Q80" s="1391"/>
      <c r="R80" s="1391"/>
    </row>
    <row r="81" spans="2:18" hidden="1" x14ac:dyDescent="0.2">
      <c r="B81" s="1389"/>
      <c r="H81" s="1384"/>
      <c r="I81" s="1379"/>
      <c r="J81" s="1380"/>
      <c r="K81" s="1379"/>
      <c r="L81" s="1381"/>
      <c r="M81" s="1391"/>
      <c r="N81" s="1393"/>
      <c r="O81" s="1382"/>
      <c r="P81" s="1381" t="s">
        <v>675</v>
      </c>
      <c r="Q81" s="1387"/>
      <c r="R81" s="1387">
        <f>'PLLA MUNICIPAL HONORARIOS'!L26+'PLLA MUNICIPAL LEY SAL'!R77+'PLLA DIETAS'!K20</f>
        <v>414345.84610000002</v>
      </c>
    </row>
    <row r="82" spans="2:18" hidden="1" x14ac:dyDescent="0.2">
      <c r="B82" s="1389"/>
      <c r="H82" s="1384"/>
      <c r="I82" s="1379"/>
      <c r="J82" s="1380"/>
      <c r="K82" s="1379"/>
      <c r="L82" s="1381"/>
      <c r="M82" s="1391"/>
      <c r="N82" s="1393"/>
      <c r="O82" s="1382"/>
      <c r="Q82" s="1387"/>
      <c r="R82" s="1387"/>
    </row>
    <row r="83" spans="2:18" hidden="1" x14ac:dyDescent="0.2">
      <c r="B83" s="1394"/>
      <c r="H83" s="1378"/>
      <c r="I83" s="1381"/>
      <c r="K83" s="1381"/>
      <c r="L83" s="1381"/>
      <c r="M83" s="1391"/>
      <c r="N83" s="1381"/>
      <c r="O83" s="1381"/>
      <c r="P83" s="1381" t="s">
        <v>676</v>
      </c>
      <c r="Q83" s="1387"/>
      <c r="R83" s="1387">
        <f>'ING. REALES'!F53/2</f>
        <v>165663.12</v>
      </c>
    </row>
    <row r="84" spans="2:18" hidden="1" x14ac:dyDescent="0.2">
      <c r="B84" s="1394"/>
      <c r="H84" s="1384"/>
      <c r="I84" s="1381"/>
      <c r="K84" s="1381"/>
      <c r="L84" s="1381"/>
      <c r="M84" s="1391"/>
      <c r="N84" s="1381"/>
      <c r="O84" s="1381"/>
      <c r="P84" s="1381" t="s">
        <v>1</v>
      </c>
      <c r="Q84" s="1381"/>
      <c r="R84" s="1396">
        <f>R81-R83</f>
        <v>248682.72610000003</v>
      </c>
    </row>
    <row r="85" spans="2:18" hidden="1" x14ac:dyDescent="0.2">
      <c r="B85" s="1394"/>
      <c r="H85" s="1384"/>
      <c r="I85" s="1381"/>
      <c r="K85" s="1381"/>
      <c r="L85" s="1381"/>
      <c r="M85" s="1391"/>
      <c r="N85" s="1381"/>
      <c r="O85" s="1381"/>
      <c r="Q85" s="1381"/>
      <c r="R85" s="1393">
        <f>SUM(R83:R84)</f>
        <v>414345.84610000002</v>
      </c>
    </row>
    <row r="86" spans="2:18" hidden="1" x14ac:dyDescent="0.2">
      <c r="B86" s="1394"/>
      <c r="H86" s="1378"/>
      <c r="I86" s="1381"/>
      <c r="K86" s="1381"/>
      <c r="L86" s="1381"/>
      <c r="M86" s="1391"/>
      <c r="N86" s="1381"/>
      <c r="O86" s="1381"/>
      <c r="Q86" s="1381"/>
      <c r="R86" s="1381"/>
    </row>
    <row r="87" spans="2:18" hidden="1" x14ac:dyDescent="0.2">
      <c r="B87" s="1394"/>
      <c r="H87" s="1384"/>
      <c r="I87" s="1381"/>
      <c r="K87" s="1381"/>
      <c r="L87" s="1381"/>
      <c r="M87" s="1391"/>
      <c r="N87" s="1381"/>
      <c r="O87" s="1381"/>
      <c r="P87" s="1381" t="s">
        <v>677</v>
      </c>
      <c r="Q87" s="1381"/>
      <c r="R87" s="1381"/>
    </row>
    <row r="88" spans="2:18" hidden="1" x14ac:dyDescent="0.2">
      <c r="B88" s="1394"/>
      <c r="H88" s="1397"/>
      <c r="I88" s="1381"/>
      <c r="K88" s="1381"/>
      <c r="L88" s="1381"/>
      <c r="M88" s="1391"/>
      <c r="N88" s="1381"/>
      <c r="O88" s="1381"/>
      <c r="P88" s="1381" t="s">
        <v>1</v>
      </c>
      <c r="Q88" s="1381"/>
      <c r="R88" s="1387">
        <f>'ING. REALES'!G71</f>
        <v>304849.60399999993</v>
      </c>
    </row>
    <row r="89" spans="2:18" hidden="1" x14ac:dyDescent="0.2">
      <c r="B89" s="1394"/>
      <c r="H89" s="1378"/>
      <c r="I89" s="1381"/>
      <c r="K89" s="1381"/>
      <c r="L89" s="1381"/>
      <c r="M89" s="1391"/>
      <c r="N89" s="1381"/>
      <c r="O89" s="1381"/>
      <c r="Q89" s="1381"/>
      <c r="R89" s="1381"/>
    </row>
    <row r="90" spans="2:18" hidden="1" x14ac:dyDescent="0.2">
      <c r="B90" s="1394"/>
      <c r="H90" s="1384"/>
      <c r="I90" s="1381"/>
      <c r="K90" s="1381"/>
      <c r="L90" s="1381"/>
      <c r="M90" s="1391"/>
      <c r="N90" s="1381"/>
      <c r="O90" s="1381"/>
      <c r="P90" s="1381" t="s">
        <v>678</v>
      </c>
      <c r="Q90" s="1381"/>
      <c r="R90" s="1393">
        <f>R88-R84</f>
        <v>56166.877899999905</v>
      </c>
    </row>
    <row r="91" spans="2:18" hidden="1" x14ac:dyDescent="0.2">
      <c r="H91" s="1398"/>
      <c r="M91" s="1399"/>
    </row>
    <row r="92" spans="2:18" hidden="1" x14ac:dyDescent="0.2">
      <c r="M92" s="1399"/>
    </row>
    <row r="93" spans="2:18" x14ac:dyDescent="0.2">
      <c r="M93" s="1399"/>
      <c r="N93" s="1401"/>
      <c r="O93" s="1401"/>
    </row>
    <row r="94" spans="2:18" x14ac:dyDescent="0.2">
      <c r="M94" s="1399"/>
    </row>
    <row r="95" spans="2:18" x14ac:dyDescent="0.2">
      <c r="M95" s="1399"/>
    </row>
    <row r="96" spans="2:18" x14ac:dyDescent="0.2">
      <c r="M96" s="1399"/>
    </row>
    <row r="97" spans="13:15" x14ac:dyDescent="0.2">
      <c r="M97" s="1399"/>
    </row>
    <row r="98" spans="13:15" x14ac:dyDescent="0.2">
      <c r="M98" s="1399"/>
    </row>
    <row r="99" spans="13:15" x14ac:dyDescent="0.2">
      <c r="M99" s="1399"/>
    </row>
    <row r="100" spans="13:15" x14ac:dyDescent="0.2">
      <c r="M100" s="1399"/>
      <c r="O100" s="1383"/>
    </row>
    <row r="101" spans="13:15" x14ac:dyDescent="0.2">
      <c r="M101" s="1399"/>
    </row>
  </sheetData>
  <mergeCells count="21">
    <mergeCell ref="R5:R8"/>
    <mergeCell ref="H7:H8"/>
    <mergeCell ref="I7:I8"/>
    <mergeCell ref="L7:L8"/>
    <mergeCell ref="A1:R1"/>
    <mergeCell ref="A2:R2"/>
    <mergeCell ref="A3:R3"/>
    <mergeCell ref="A5:A8"/>
    <mergeCell ref="B5:B8"/>
    <mergeCell ref="C5:C8"/>
    <mergeCell ref="D5:D8"/>
    <mergeCell ref="M5:Q5"/>
    <mergeCell ref="G5:I6"/>
    <mergeCell ref="J5:L6"/>
    <mergeCell ref="J7:J8"/>
    <mergeCell ref="N93:O93"/>
    <mergeCell ref="E5:E8"/>
    <mergeCell ref="F5:F8"/>
    <mergeCell ref="K7:K8"/>
    <mergeCell ref="G7:G8"/>
    <mergeCell ref="N6:O6"/>
  </mergeCells>
  <phoneticPr fontId="0" type="noConversion"/>
  <pageMargins left="0.55118110236220474" right="0.11811023622047245" top="0.39370078740157483" bottom="0.23622047244094491" header="0.47244094488188981" footer="0"/>
  <pageSetup paperSize="5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M28"/>
  <sheetViews>
    <sheetView showGridLines="0" topLeftCell="A7" zoomScaleNormal="100" workbookViewId="0">
      <selection activeCell="B9" sqref="B9:B18"/>
    </sheetView>
  </sheetViews>
  <sheetFormatPr baseColWidth="10" defaultColWidth="9.140625" defaultRowHeight="12.75" x14ac:dyDescent="0.2"/>
  <cols>
    <col min="1" max="1" width="5.140625" style="170" customWidth="1"/>
    <col min="2" max="2" width="28.5703125" style="170" customWidth="1"/>
    <col min="3" max="3" width="20.140625" style="31" customWidth="1"/>
    <col min="4" max="4" width="13.140625" style="31" customWidth="1"/>
    <col min="5" max="5" width="14.28515625" style="31" customWidth="1"/>
    <col min="6" max="10" width="12.5703125" style="31" customWidth="1"/>
    <col min="11" max="11" width="14.5703125" style="31" customWidth="1"/>
    <col min="12" max="16384" width="9.140625" style="31"/>
  </cols>
  <sheetData>
    <row r="1" spans="1:13" ht="12.75" customHeight="1" x14ac:dyDescent="0.2">
      <c r="A1" s="1054" t="s">
        <v>451</v>
      </c>
      <c r="B1" s="1054"/>
      <c r="C1" s="1054"/>
      <c r="D1" s="1054"/>
      <c r="E1" s="1054"/>
      <c r="F1" s="1054"/>
      <c r="G1" s="1054"/>
      <c r="H1" s="1054"/>
      <c r="I1" s="1054"/>
      <c r="J1" s="1054"/>
      <c r="K1" s="1054"/>
    </row>
    <row r="2" spans="1:13" ht="12.75" customHeight="1" x14ac:dyDescent="0.2">
      <c r="A2" s="1054" t="s">
        <v>452</v>
      </c>
      <c r="B2" s="1054"/>
      <c r="C2" s="1054"/>
      <c r="D2" s="1054"/>
      <c r="E2" s="1054"/>
      <c r="F2" s="1054"/>
      <c r="G2" s="1054"/>
      <c r="H2" s="1054"/>
      <c r="I2" s="1054"/>
      <c r="J2" s="1054"/>
      <c r="K2" s="1054"/>
    </row>
    <row r="3" spans="1:13" ht="12.75" customHeight="1" x14ac:dyDescent="0.2">
      <c r="A3" s="1054" t="s">
        <v>658</v>
      </c>
      <c r="B3" s="1054"/>
      <c r="C3" s="1054"/>
      <c r="D3" s="1054"/>
      <c r="E3" s="1054"/>
      <c r="F3" s="1054"/>
      <c r="G3" s="1054"/>
      <c r="H3" s="1054"/>
      <c r="I3" s="1054"/>
      <c r="J3" s="1054"/>
      <c r="K3" s="1054"/>
    </row>
    <row r="4" spans="1:13" ht="13.5" thickBot="1" x14ac:dyDescent="0.25">
      <c r="C4" s="240"/>
      <c r="D4" s="240"/>
      <c r="E4" s="240"/>
      <c r="F4" s="240"/>
      <c r="G4" s="240"/>
      <c r="H4" s="240"/>
      <c r="I4" s="240"/>
      <c r="J4" s="240"/>
    </row>
    <row r="5" spans="1:13" s="170" customFormat="1" ht="18.75" customHeight="1" thickBot="1" x14ac:dyDescent="0.25">
      <c r="A5" s="1068" t="s">
        <v>388</v>
      </c>
      <c r="B5" s="1068" t="s">
        <v>381</v>
      </c>
      <c r="C5" s="1069" t="s">
        <v>382</v>
      </c>
      <c r="D5" s="1068" t="s">
        <v>130</v>
      </c>
      <c r="E5" s="1068"/>
      <c r="F5" s="1048" t="s">
        <v>686</v>
      </c>
      <c r="G5" s="1090" t="s">
        <v>609</v>
      </c>
      <c r="H5" s="1090"/>
      <c r="I5" s="1090"/>
      <c r="J5" s="1090"/>
      <c r="K5" s="1068" t="s">
        <v>25</v>
      </c>
    </row>
    <row r="6" spans="1:13" s="170" customFormat="1" ht="18.75" customHeight="1" thickBot="1" x14ac:dyDescent="0.25">
      <c r="A6" s="1068"/>
      <c r="B6" s="1068"/>
      <c r="C6" s="1069"/>
      <c r="D6" s="1068"/>
      <c r="E6" s="1068"/>
      <c r="F6" s="1049"/>
      <c r="G6" s="644" t="s">
        <v>610</v>
      </c>
      <c r="H6" s="645" t="s">
        <v>611</v>
      </c>
      <c r="I6" s="1095" t="s">
        <v>664</v>
      </c>
      <c r="J6" s="1092" t="s">
        <v>612</v>
      </c>
      <c r="K6" s="1068"/>
    </row>
    <row r="7" spans="1:13" s="170" customFormat="1" ht="18.75" customHeight="1" thickBot="1" x14ac:dyDescent="0.25">
      <c r="A7" s="1068"/>
      <c r="B7" s="1068"/>
      <c r="C7" s="1069"/>
      <c r="D7" s="1069" t="s">
        <v>507</v>
      </c>
      <c r="E7" s="1091" t="s">
        <v>508</v>
      </c>
      <c r="F7" s="1049"/>
      <c r="G7" s="646" t="s">
        <v>398</v>
      </c>
      <c r="H7" s="647" t="s">
        <v>19</v>
      </c>
      <c r="I7" s="1096"/>
      <c r="J7" s="1093"/>
      <c r="K7" s="1068"/>
    </row>
    <row r="8" spans="1:13" s="170" customFormat="1" ht="18.75" customHeight="1" thickBot="1" x14ac:dyDescent="0.25">
      <c r="A8" s="1068"/>
      <c r="B8" s="1068"/>
      <c r="C8" s="1069"/>
      <c r="D8" s="1069"/>
      <c r="E8" s="1091"/>
      <c r="F8" s="1050"/>
      <c r="G8" s="648">
        <v>6.7500000000000004E-2</v>
      </c>
      <c r="H8" s="649">
        <v>7.4999999999999997E-2</v>
      </c>
      <c r="I8" s="649">
        <v>0.01</v>
      </c>
      <c r="J8" s="1094"/>
      <c r="K8" s="1068"/>
    </row>
    <row r="9" spans="1:13" s="170" customFormat="1" ht="26.25" customHeight="1" x14ac:dyDescent="0.2">
      <c r="A9" s="650">
        <v>1</v>
      </c>
      <c r="B9" s="639"/>
      <c r="C9" s="637" t="s">
        <v>383</v>
      </c>
      <c r="D9" s="631">
        <v>600</v>
      </c>
      <c r="E9" s="532">
        <f>+D9*12</f>
        <v>7200</v>
      </c>
      <c r="F9" s="536">
        <f t="shared" ref="F9:F18" si="0">D9</f>
        <v>600</v>
      </c>
      <c r="G9" s="533">
        <v>0</v>
      </c>
      <c r="H9" s="534">
        <f>+E9*H$8</f>
        <v>540</v>
      </c>
      <c r="I9" s="654">
        <f>E9*I$8</f>
        <v>72</v>
      </c>
      <c r="J9" s="535">
        <f>SUM(G9:I9)</f>
        <v>612</v>
      </c>
      <c r="K9" s="536">
        <f t="shared" ref="K9:K18" si="1">+E9+F9+J9</f>
        <v>8412</v>
      </c>
    </row>
    <row r="10" spans="1:13" s="170" customFormat="1" ht="26.25" customHeight="1" x14ac:dyDescent="0.2">
      <c r="A10" s="651">
        <f>A9+1</f>
        <v>2</v>
      </c>
      <c r="B10" s="640"/>
      <c r="C10" s="638" t="s">
        <v>679</v>
      </c>
      <c r="D10" s="632">
        <v>600</v>
      </c>
      <c r="E10" s="539">
        <f>+D10*12</f>
        <v>7200</v>
      </c>
      <c r="F10" s="634">
        <f t="shared" si="0"/>
        <v>600</v>
      </c>
      <c r="G10" s="540">
        <v>0</v>
      </c>
      <c r="H10" s="540">
        <f>+E10*H$8</f>
        <v>540</v>
      </c>
      <c r="I10" s="655">
        <f>E10*I$8</f>
        <v>72</v>
      </c>
      <c r="J10" s="539">
        <f>SUM(G10:I10)</f>
        <v>612</v>
      </c>
      <c r="K10" s="536">
        <f t="shared" si="1"/>
        <v>8412</v>
      </c>
      <c r="M10" s="653"/>
    </row>
    <row r="11" spans="1:13" s="170" customFormat="1" ht="26.25" customHeight="1" x14ac:dyDescent="0.2">
      <c r="A11" s="651">
        <f t="shared" ref="A11:A17" si="2">A10+1</f>
        <v>3</v>
      </c>
      <c r="B11" s="640"/>
      <c r="C11" s="638" t="s">
        <v>608</v>
      </c>
      <c r="D11" s="632">
        <v>600</v>
      </c>
      <c r="E11" s="539">
        <f t="shared" ref="E11:E18" si="3">+D11*12</f>
        <v>7200</v>
      </c>
      <c r="F11" s="634">
        <f t="shared" si="0"/>
        <v>600</v>
      </c>
      <c r="G11" s="540">
        <v>0</v>
      </c>
      <c r="H11" s="540">
        <f>+E11*H$8</f>
        <v>540</v>
      </c>
      <c r="I11" s="655">
        <f>E11*I$8</f>
        <v>72</v>
      </c>
      <c r="J11" s="539">
        <f t="shared" ref="J11:J18" si="4">SUM(G11:I11)</f>
        <v>612</v>
      </c>
      <c r="K11" s="536">
        <f t="shared" si="1"/>
        <v>8412</v>
      </c>
    </row>
    <row r="12" spans="1:13" s="170" customFormat="1" ht="26.25" customHeight="1" x14ac:dyDescent="0.2">
      <c r="A12" s="651">
        <f t="shared" si="2"/>
        <v>4</v>
      </c>
      <c r="B12" s="641"/>
      <c r="C12" s="638" t="s">
        <v>659</v>
      </c>
      <c r="D12" s="632">
        <v>600</v>
      </c>
      <c r="E12" s="539">
        <f t="shared" si="3"/>
        <v>7200</v>
      </c>
      <c r="F12" s="634">
        <f t="shared" si="0"/>
        <v>600</v>
      </c>
      <c r="G12" s="540">
        <v>0</v>
      </c>
      <c r="H12" s="540">
        <v>0</v>
      </c>
      <c r="I12" s="655">
        <v>0</v>
      </c>
      <c r="J12" s="539">
        <f t="shared" si="4"/>
        <v>0</v>
      </c>
      <c r="K12" s="536">
        <f t="shared" si="1"/>
        <v>7800</v>
      </c>
      <c r="M12" s="653"/>
    </row>
    <row r="13" spans="1:13" s="170" customFormat="1" ht="26.25" customHeight="1" x14ac:dyDescent="0.2">
      <c r="A13" s="651">
        <f t="shared" si="2"/>
        <v>5</v>
      </c>
      <c r="B13" s="641"/>
      <c r="C13" s="638" t="s">
        <v>660</v>
      </c>
      <c r="D13" s="632">
        <v>600</v>
      </c>
      <c r="E13" s="539">
        <f t="shared" si="3"/>
        <v>7200</v>
      </c>
      <c r="F13" s="634">
        <f t="shared" si="0"/>
        <v>600</v>
      </c>
      <c r="G13" s="540">
        <v>0</v>
      </c>
      <c r="H13" s="540">
        <f>+E13*H$8</f>
        <v>540</v>
      </c>
      <c r="I13" s="655">
        <f>E13*I$8</f>
        <v>72</v>
      </c>
      <c r="J13" s="539">
        <f t="shared" si="4"/>
        <v>612</v>
      </c>
      <c r="K13" s="536">
        <f t="shared" si="1"/>
        <v>8412</v>
      </c>
    </row>
    <row r="14" spans="1:13" s="170" customFormat="1" ht="26.25" customHeight="1" x14ac:dyDescent="0.2">
      <c r="A14" s="651">
        <f t="shared" si="2"/>
        <v>6</v>
      </c>
      <c r="B14" s="641"/>
      <c r="C14" s="638" t="s">
        <v>661</v>
      </c>
      <c r="D14" s="632">
        <v>600</v>
      </c>
      <c r="E14" s="539">
        <f t="shared" si="3"/>
        <v>7200</v>
      </c>
      <c r="F14" s="634">
        <f t="shared" si="0"/>
        <v>600</v>
      </c>
      <c r="G14" s="540">
        <v>0</v>
      </c>
      <c r="H14" s="540">
        <v>0</v>
      </c>
      <c r="I14" s="655">
        <v>0</v>
      </c>
      <c r="J14" s="539">
        <f t="shared" si="4"/>
        <v>0</v>
      </c>
      <c r="K14" s="536">
        <f t="shared" si="1"/>
        <v>7800</v>
      </c>
    </row>
    <row r="15" spans="1:13" s="170" customFormat="1" ht="26.25" customHeight="1" x14ac:dyDescent="0.2">
      <c r="A15" s="651">
        <f t="shared" si="2"/>
        <v>7</v>
      </c>
      <c r="B15" s="640"/>
      <c r="C15" s="638" t="s">
        <v>662</v>
      </c>
      <c r="D15" s="632">
        <v>600</v>
      </c>
      <c r="E15" s="539">
        <f t="shared" si="3"/>
        <v>7200</v>
      </c>
      <c r="F15" s="634">
        <f t="shared" si="0"/>
        <v>600</v>
      </c>
      <c r="G15" s="537">
        <v>0</v>
      </c>
      <c r="H15" s="538">
        <f>+E15*H$8</f>
        <v>540</v>
      </c>
      <c r="I15" s="655">
        <f>E15*I$8</f>
        <v>72</v>
      </c>
      <c r="J15" s="539">
        <f t="shared" si="4"/>
        <v>612</v>
      </c>
      <c r="K15" s="536">
        <f t="shared" si="1"/>
        <v>8412</v>
      </c>
    </row>
    <row r="16" spans="1:13" s="170" customFormat="1" ht="26.25" customHeight="1" x14ac:dyDescent="0.2">
      <c r="A16" s="651">
        <f t="shared" si="2"/>
        <v>8</v>
      </c>
      <c r="B16" s="640"/>
      <c r="C16" s="629" t="s">
        <v>384</v>
      </c>
      <c r="D16" s="632">
        <v>600</v>
      </c>
      <c r="E16" s="539">
        <f t="shared" si="3"/>
        <v>7200</v>
      </c>
      <c r="F16" s="634">
        <f t="shared" si="0"/>
        <v>600</v>
      </c>
      <c r="G16" s="540">
        <v>0</v>
      </c>
      <c r="H16" s="540">
        <f>+E16*H$8</f>
        <v>540</v>
      </c>
      <c r="I16" s="655">
        <f>E16*I$8</f>
        <v>72</v>
      </c>
      <c r="J16" s="539">
        <f t="shared" si="4"/>
        <v>612</v>
      </c>
      <c r="K16" s="536">
        <f t="shared" si="1"/>
        <v>8412</v>
      </c>
      <c r="L16" s="669"/>
    </row>
    <row r="17" spans="1:11" s="170" customFormat="1" ht="26.25" customHeight="1" x14ac:dyDescent="0.2">
      <c r="A17" s="651">
        <f t="shared" si="2"/>
        <v>9</v>
      </c>
      <c r="B17" s="641"/>
      <c r="C17" s="638" t="s">
        <v>663</v>
      </c>
      <c r="D17" s="632">
        <v>600</v>
      </c>
      <c r="E17" s="539">
        <f t="shared" si="3"/>
        <v>7200</v>
      </c>
      <c r="F17" s="634">
        <f t="shared" si="0"/>
        <v>600</v>
      </c>
      <c r="G17" s="540">
        <v>0</v>
      </c>
      <c r="H17" s="540">
        <v>0</v>
      </c>
      <c r="I17" s="655">
        <v>0</v>
      </c>
      <c r="J17" s="539">
        <f t="shared" si="4"/>
        <v>0</v>
      </c>
      <c r="K17" s="536">
        <f t="shared" si="1"/>
        <v>7800</v>
      </c>
    </row>
    <row r="18" spans="1:11" s="170" customFormat="1" ht="26.25" customHeight="1" thickBot="1" x14ac:dyDescent="0.25">
      <c r="A18" s="652">
        <f>A17+1</f>
        <v>10</v>
      </c>
      <c r="B18" s="642"/>
      <c r="C18" s="630" t="s">
        <v>385</v>
      </c>
      <c r="D18" s="633">
        <v>600</v>
      </c>
      <c r="E18" s="636">
        <f t="shared" si="3"/>
        <v>7200</v>
      </c>
      <c r="F18" s="635">
        <f t="shared" si="0"/>
        <v>600</v>
      </c>
      <c r="G18" s="540">
        <v>0</v>
      </c>
      <c r="H18" s="540">
        <f>+E18*H$8</f>
        <v>540</v>
      </c>
      <c r="I18" s="656">
        <f>E18*I$8</f>
        <v>72</v>
      </c>
      <c r="J18" s="541">
        <f t="shared" si="4"/>
        <v>612</v>
      </c>
      <c r="K18" s="536">
        <f t="shared" si="1"/>
        <v>8412</v>
      </c>
    </row>
    <row r="19" spans="1:11" s="170" customFormat="1" ht="26.25" customHeight="1" thickBot="1" x14ac:dyDescent="0.25">
      <c r="A19" s="1089" t="s">
        <v>386</v>
      </c>
      <c r="B19" s="1075"/>
      <c r="C19" s="1076"/>
      <c r="D19" s="542">
        <f t="shared" ref="D19:J19" si="5">SUM(D9:D18)</f>
        <v>6000</v>
      </c>
      <c r="E19" s="544">
        <f t="shared" si="5"/>
        <v>72000</v>
      </c>
      <c r="F19" s="545">
        <f t="shared" si="5"/>
        <v>6000</v>
      </c>
      <c r="G19" s="542">
        <f>SUM(G9:G18)</f>
        <v>0</v>
      </c>
      <c r="H19" s="543">
        <f>SUM(H9:H18)</f>
        <v>3780</v>
      </c>
      <c r="I19" s="643">
        <f>SUM(I9:I18)</f>
        <v>504</v>
      </c>
      <c r="J19" s="544">
        <f t="shared" si="5"/>
        <v>4284</v>
      </c>
      <c r="K19" s="545">
        <f>SUM(K9:K18)</f>
        <v>82284</v>
      </c>
    </row>
    <row r="20" spans="1:11" s="170" customFormat="1" ht="26.25" customHeight="1" thickBot="1" x14ac:dyDescent="0.25">
      <c r="A20" s="1089" t="s">
        <v>387</v>
      </c>
      <c r="B20" s="1075"/>
      <c r="C20" s="1076"/>
      <c r="D20" s="542">
        <f t="shared" ref="D20:K20" si="6">SUM(D19:D19)</f>
        <v>6000</v>
      </c>
      <c r="E20" s="544">
        <f t="shared" si="6"/>
        <v>72000</v>
      </c>
      <c r="F20" s="545">
        <f t="shared" si="6"/>
        <v>6000</v>
      </c>
      <c r="G20" s="542">
        <f t="shared" si="6"/>
        <v>0</v>
      </c>
      <c r="H20" s="543">
        <f t="shared" si="6"/>
        <v>3780</v>
      </c>
      <c r="I20" s="643">
        <f t="shared" ref="I20" si="7">SUM(I19:I19)</f>
        <v>504</v>
      </c>
      <c r="J20" s="544">
        <f t="shared" si="6"/>
        <v>4284</v>
      </c>
      <c r="K20" s="545">
        <f t="shared" si="6"/>
        <v>82284</v>
      </c>
    </row>
    <row r="22" spans="1:11" x14ac:dyDescent="0.2">
      <c r="G22" s="239"/>
      <c r="H22" s="239"/>
      <c r="I22" s="239"/>
      <c r="K22" s="203">
        <f>'PLLA MUNICIPAL HONORARIOS'!L26+'PLLA MUNICIPAL LEY SAL'!R77+'PLLA DIETAS'!K20</f>
        <v>414345.84610000002</v>
      </c>
    </row>
    <row r="24" spans="1:11" x14ac:dyDescent="0.2">
      <c r="G24" s="242"/>
    </row>
    <row r="26" spans="1:11" x14ac:dyDescent="0.2">
      <c r="F26" s="239"/>
      <c r="G26" s="239"/>
      <c r="H26" s="239"/>
      <c r="I26" s="239"/>
      <c r="J26" s="239"/>
    </row>
    <row r="28" spans="1:11" x14ac:dyDescent="0.2">
      <c r="F28" s="239"/>
      <c r="G28" s="239"/>
      <c r="H28" s="239"/>
      <c r="I28" s="239"/>
      <c r="J28" s="239"/>
    </row>
  </sheetData>
  <mergeCells count="16">
    <mergeCell ref="A20:C20"/>
    <mergeCell ref="G5:J5"/>
    <mergeCell ref="D5:E6"/>
    <mergeCell ref="A1:K1"/>
    <mergeCell ref="A2:K2"/>
    <mergeCell ref="K5:K8"/>
    <mergeCell ref="A5:A8"/>
    <mergeCell ref="C5:C8"/>
    <mergeCell ref="F5:F8"/>
    <mergeCell ref="D7:D8"/>
    <mergeCell ref="E7:E8"/>
    <mergeCell ref="J6:J8"/>
    <mergeCell ref="A19:C19"/>
    <mergeCell ref="A3:K3"/>
    <mergeCell ref="B5:B8"/>
    <mergeCell ref="I6:I7"/>
  </mergeCells>
  <phoneticPr fontId="0" type="noConversion"/>
  <printOptions horizontalCentered="1"/>
  <pageMargins left="0.23622047244094491" right="0.15748031496062992" top="1.0629921259842521" bottom="0.98425196850393704" header="1.6929133858267718" footer="0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K223"/>
  <sheetViews>
    <sheetView showGridLines="0" zoomScale="130" zoomScaleNormal="130" workbookViewId="0">
      <selection activeCell="B104" sqref="B104"/>
    </sheetView>
  </sheetViews>
  <sheetFormatPr baseColWidth="10" defaultRowHeight="12.75" x14ac:dyDescent="0.2"/>
  <cols>
    <col min="1" max="1" width="6.140625" customWidth="1"/>
    <col min="2" max="2" width="47.140625" customWidth="1"/>
    <col min="3" max="3" width="15.5703125" style="278" customWidth="1"/>
    <col min="4" max="4" width="15.42578125" style="278" customWidth="1"/>
    <col min="5" max="5" width="13.7109375" style="278" customWidth="1"/>
    <col min="6" max="6" width="14.42578125" style="278" customWidth="1"/>
    <col min="7" max="7" width="14" style="274" bestFit="1" customWidth="1"/>
    <col min="8" max="8" width="15.140625" style="174" customWidth="1"/>
    <col min="9" max="9" width="12.28515625" style="263" bestFit="1" customWidth="1"/>
    <col min="10" max="10" width="12.28515625" bestFit="1" customWidth="1"/>
  </cols>
  <sheetData>
    <row r="2" spans="1:11" x14ac:dyDescent="0.2">
      <c r="A2" s="1088" t="s">
        <v>613</v>
      </c>
      <c r="B2" s="1088"/>
      <c r="C2" s="1088"/>
      <c r="D2" s="1088"/>
      <c r="E2" s="1088"/>
      <c r="F2" s="1088"/>
      <c r="G2" s="1088"/>
    </row>
    <row r="3" spans="1:11" x14ac:dyDescent="0.2">
      <c r="A3" s="1097" t="s">
        <v>101</v>
      </c>
      <c r="B3" s="1097"/>
      <c r="C3" s="1097"/>
      <c r="D3" s="1097"/>
      <c r="E3" s="1097"/>
      <c r="F3" s="1097"/>
      <c r="G3" s="1097"/>
    </row>
    <row r="4" spans="1:11" x14ac:dyDescent="0.2">
      <c r="A4" s="1097" t="s">
        <v>102</v>
      </c>
      <c r="B4" s="1097"/>
      <c r="C4" s="1097"/>
      <c r="D4" s="1097"/>
      <c r="E4" s="1097"/>
      <c r="F4" s="1097"/>
      <c r="G4" s="1097"/>
    </row>
    <row r="5" spans="1:11" x14ac:dyDescent="0.2">
      <c r="A5" s="1097" t="s">
        <v>465</v>
      </c>
      <c r="B5" s="1097"/>
      <c r="C5" s="1097"/>
      <c r="D5" s="1097"/>
      <c r="E5" s="1097"/>
      <c r="F5" s="1097"/>
      <c r="G5" s="1097"/>
    </row>
    <row r="6" spans="1:11" x14ac:dyDescent="0.2">
      <c r="A6" s="1097" t="s">
        <v>680</v>
      </c>
      <c r="B6" s="1097"/>
      <c r="C6" s="1097"/>
      <c r="D6" s="1097"/>
      <c r="E6" s="1097"/>
      <c r="F6" s="1097"/>
      <c r="G6" s="1097"/>
    </row>
    <row r="7" spans="1:11" ht="13.5" thickBot="1" x14ac:dyDescent="0.25">
      <c r="B7" s="5"/>
      <c r="H7" s="171"/>
    </row>
    <row r="8" spans="1:11" s="2" customFormat="1" ht="13.5" thickBot="1" x14ac:dyDescent="0.25">
      <c r="A8" s="1100" t="s">
        <v>614</v>
      </c>
      <c r="B8" s="1100" t="s">
        <v>14</v>
      </c>
      <c r="C8" s="1103" t="s">
        <v>104</v>
      </c>
      <c r="D8" s="1104"/>
      <c r="E8" s="1104"/>
      <c r="F8" s="1104"/>
      <c r="G8" s="1105"/>
      <c r="H8" s="174"/>
      <c r="I8" s="264"/>
    </row>
    <row r="9" spans="1:11" s="2" customFormat="1" ht="12.75" customHeight="1" x14ac:dyDescent="0.2">
      <c r="A9" s="1101"/>
      <c r="B9" s="1101"/>
      <c r="C9" s="1098" t="s">
        <v>546</v>
      </c>
      <c r="D9" s="1098" t="s">
        <v>547</v>
      </c>
      <c r="E9" s="1098" t="s">
        <v>107</v>
      </c>
      <c r="F9" s="1098" t="s">
        <v>186</v>
      </c>
      <c r="G9" s="1098" t="s">
        <v>4</v>
      </c>
      <c r="H9" s="174"/>
      <c r="I9" s="264"/>
    </row>
    <row r="10" spans="1:11" s="2" customFormat="1" ht="39.75" customHeight="1" thickBot="1" x14ac:dyDescent="0.25">
      <c r="A10" s="1102"/>
      <c r="B10" s="1102"/>
      <c r="C10" s="1099"/>
      <c r="D10" s="1099"/>
      <c r="E10" s="1099"/>
      <c r="F10" s="1099"/>
      <c r="G10" s="1099"/>
      <c r="H10" s="174"/>
      <c r="I10" s="264"/>
    </row>
    <row r="11" spans="1:11" x14ac:dyDescent="0.2">
      <c r="A11" s="394">
        <v>54</v>
      </c>
      <c r="B11" s="386" t="s">
        <v>27</v>
      </c>
      <c r="C11" s="363">
        <f>C12+C32+C38+C54+C59</f>
        <v>35400</v>
      </c>
      <c r="D11" s="305">
        <f>D12+D32+D38+D54</f>
        <v>6170</v>
      </c>
      <c r="E11" s="305">
        <f>E12+E32+E38+E54</f>
        <v>900</v>
      </c>
      <c r="F11" s="370">
        <f>F12+F32+F38+F54</f>
        <v>127022.59999999999</v>
      </c>
      <c r="G11" s="377">
        <f>G12+G32+G38+G54+G59</f>
        <v>169492.59999999998</v>
      </c>
      <c r="H11" s="171"/>
    </row>
    <row r="12" spans="1:11" x14ac:dyDescent="0.2">
      <c r="A12" s="395">
        <v>541</v>
      </c>
      <c r="B12" s="387" t="s">
        <v>28</v>
      </c>
      <c r="C12" s="364">
        <f>SUM(C13:C31)</f>
        <v>12100</v>
      </c>
      <c r="D12" s="306">
        <f>SUM(D13:D31)</f>
        <v>5800</v>
      </c>
      <c r="E12" s="306">
        <f>SUM(E13:E31)</f>
        <v>650</v>
      </c>
      <c r="F12" s="371">
        <f>SUM(F13:F31)</f>
        <v>9600</v>
      </c>
      <c r="G12" s="378">
        <f>SUM(C12:F12)</f>
        <v>28150</v>
      </c>
      <c r="H12" s="171"/>
      <c r="I12" s="265"/>
    </row>
    <row r="13" spans="1:11" x14ac:dyDescent="0.2">
      <c r="A13" s="396">
        <v>54101</v>
      </c>
      <c r="B13" s="388" t="s">
        <v>29</v>
      </c>
      <c r="C13" s="365">
        <v>1500</v>
      </c>
      <c r="D13" s="307">
        <v>0</v>
      </c>
      <c r="E13" s="307">
        <v>0</v>
      </c>
      <c r="F13" s="372">
        <v>0</v>
      </c>
      <c r="G13" s="379">
        <f>SUM(C13:F13)</f>
        <v>1500</v>
      </c>
      <c r="H13" s="171"/>
      <c r="J13" s="4"/>
      <c r="K13" s="4"/>
    </row>
    <row r="14" spans="1:11" hidden="1" x14ac:dyDescent="0.2">
      <c r="A14" s="396">
        <v>54103</v>
      </c>
      <c r="B14" s="388" t="s">
        <v>30</v>
      </c>
      <c r="C14" s="365"/>
      <c r="D14" s="307">
        <v>0</v>
      </c>
      <c r="E14" s="307">
        <v>0</v>
      </c>
      <c r="F14" s="372">
        <v>0</v>
      </c>
      <c r="G14" s="380">
        <f>+C14+F14</f>
        <v>0</v>
      </c>
      <c r="H14" s="171"/>
    </row>
    <row r="15" spans="1:11" x14ac:dyDescent="0.2">
      <c r="A15" s="396">
        <v>54104</v>
      </c>
      <c r="B15" s="388" t="s">
        <v>31</v>
      </c>
      <c r="C15" s="365">
        <v>0</v>
      </c>
      <c r="D15" s="307">
        <v>0</v>
      </c>
      <c r="E15" s="307">
        <v>0</v>
      </c>
      <c r="F15" s="372">
        <v>0</v>
      </c>
      <c r="G15" s="379">
        <f t="shared" ref="G15:G31" si="0">SUM(C15:F15)</f>
        <v>0</v>
      </c>
      <c r="H15" s="171"/>
    </row>
    <row r="16" spans="1:11" s="1" customFormat="1" x14ac:dyDescent="0.2">
      <c r="A16" s="396">
        <v>54105</v>
      </c>
      <c r="B16" s="388" t="s">
        <v>32</v>
      </c>
      <c r="C16" s="365">
        <v>1000</v>
      </c>
      <c r="D16" s="307">
        <v>500</v>
      </c>
      <c r="E16" s="307">
        <v>200</v>
      </c>
      <c r="F16" s="372">
        <v>100</v>
      </c>
      <c r="G16" s="379">
        <f t="shared" si="0"/>
        <v>1800</v>
      </c>
      <c r="H16" s="171"/>
      <c r="I16" s="263"/>
    </row>
    <row r="17" spans="1:9" s="1" customFormat="1" hidden="1" x14ac:dyDescent="0.2">
      <c r="A17" s="396">
        <v>54106</v>
      </c>
      <c r="B17" s="388" t="s">
        <v>33</v>
      </c>
      <c r="C17" s="365"/>
      <c r="D17" s="307"/>
      <c r="E17" s="307"/>
      <c r="F17" s="372"/>
      <c r="G17" s="379">
        <f t="shared" si="0"/>
        <v>0</v>
      </c>
      <c r="H17" s="171"/>
      <c r="I17" s="266"/>
    </row>
    <row r="18" spans="1:9" x14ac:dyDescent="0.2">
      <c r="A18" s="396">
        <v>54107</v>
      </c>
      <c r="B18" s="388" t="s">
        <v>34</v>
      </c>
      <c r="C18" s="365">
        <v>0</v>
      </c>
      <c r="D18" s="307">
        <v>0</v>
      </c>
      <c r="E18" s="307">
        <v>0</v>
      </c>
      <c r="F18" s="372">
        <v>1500</v>
      </c>
      <c r="G18" s="379">
        <f t="shared" si="0"/>
        <v>1500</v>
      </c>
      <c r="H18" s="171"/>
      <c r="I18" s="266"/>
    </row>
    <row r="19" spans="1:9" x14ac:dyDescent="0.2">
      <c r="A19" s="396">
        <v>54108</v>
      </c>
      <c r="B19" s="388" t="s">
        <v>35</v>
      </c>
      <c r="C19" s="365">
        <v>0</v>
      </c>
      <c r="D19" s="307">
        <v>0</v>
      </c>
      <c r="E19" s="307">
        <v>0</v>
      </c>
      <c r="F19" s="372">
        <v>0</v>
      </c>
      <c r="G19" s="379">
        <f t="shared" si="0"/>
        <v>0</v>
      </c>
      <c r="H19" s="171"/>
    </row>
    <row r="20" spans="1:9" x14ac:dyDescent="0.2">
      <c r="A20" s="396">
        <v>54109</v>
      </c>
      <c r="B20" s="388" t="s">
        <v>36</v>
      </c>
      <c r="C20" s="365">
        <v>1000</v>
      </c>
      <c r="D20" s="307">
        <v>0</v>
      </c>
      <c r="E20" s="307">
        <v>0</v>
      </c>
      <c r="F20" s="372">
        <v>500</v>
      </c>
      <c r="G20" s="379">
        <f t="shared" si="0"/>
        <v>1500</v>
      </c>
      <c r="H20" s="171"/>
    </row>
    <row r="21" spans="1:9" x14ac:dyDescent="0.2">
      <c r="A21" s="396">
        <v>54110</v>
      </c>
      <c r="B21" s="388" t="s">
        <v>37</v>
      </c>
      <c r="C21" s="365">
        <v>2500</v>
      </c>
      <c r="D21" s="307">
        <v>0</v>
      </c>
      <c r="E21" s="307">
        <v>0</v>
      </c>
      <c r="F21" s="372">
        <v>4000</v>
      </c>
      <c r="G21" s="379">
        <f t="shared" si="0"/>
        <v>6500</v>
      </c>
      <c r="H21" s="171"/>
    </row>
    <row r="22" spans="1:9" x14ac:dyDescent="0.2">
      <c r="A22" s="396">
        <v>54111</v>
      </c>
      <c r="B22" s="388" t="s">
        <v>38</v>
      </c>
      <c r="C22" s="365">
        <v>0</v>
      </c>
      <c r="D22" s="307">
        <v>0</v>
      </c>
      <c r="E22" s="307">
        <v>0</v>
      </c>
      <c r="F22" s="372">
        <v>100</v>
      </c>
      <c r="G22" s="379">
        <f t="shared" si="0"/>
        <v>100</v>
      </c>
      <c r="H22" s="171"/>
    </row>
    <row r="23" spans="1:9" s="1" customFormat="1" x14ac:dyDescent="0.2">
      <c r="A23" s="396">
        <v>54112</v>
      </c>
      <c r="B23" s="388" t="s">
        <v>39</v>
      </c>
      <c r="C23" s="365">
        <v>0</v>
      </c>
      <c r="D23" s="307">
        <v>0</v>
      </c>
      <c r="E23" s="307">
        <v>0</v>
      </c>
      <c r="F23" s="372">
        <v>100</v>
      </c>
      <c r="G23" s="379">
        <f t="shared" si="0"/>
        <v>100</v>
      </c>
      <c r="H23" s="171"/>
      <c r="I23" s="263"/>
    </row>
    <row r="24" spans="1:9" x14ac:dyDescent="0.2">
      <c r="A24" s="396">
        <v>54114</v>
      </c>
      <c r="B24" s="388" t="s">
        <v>40</v>
      </c>
      <c r="C24" s="365">
        <v>400</v>
      </c>
      <c r="D24" s="307">
        <v>600</v>
      </c>
      <c r="E24" s="307">
        <v>100</v>
      </c>
      <c r="F24" s="372">
        <v>100</v>
      </c>
      <c r="G24" s="379">
        <f t="shared" si="0"/>
        <v>1200</v>
      </c>
      <c r="H24" s="171"/>
      <c r="I24" s="266"/>
    </row>
    <row r="25" spans="1:9" x14ac:dyDescent="0.2">
      <c r="A25" s="396">
        <v>54115</v>
      </c>
      <c r="B25" s="388" t="s">
        <v>41</v>
      </c>
      <c r="C25" s="365">
        <v>600</v>
      </c>
      <c r="D25" s="307">
        <v>600</v>
      </c>
      <c r="E25" s="307">
        <v>250</v>
      </c>
      <c r="F25" s="372">
        <v>100</v>
      </c>
      <c r="G25" s="379">
        <f t="shared" si="0"/>
        <v>1550</v>
      </c>
      <c r="H25" s="171"/>
    </row>
    <row r="26" spans="1:9" hidden="1" x14ac:dyDescent="0.2">
      <c r="A26" s="396">
        <v>54116</v>
      </c>
      <c r="B26" s="388" t="s">
        <v>42</v>
      </c>
      <c r="C26" s="365"/>
      <c r="D26" s="307"/>
      <c r="E26" s="307"/>
      <c r="F26" s="372"/>
      <c r="G26" s="379">
        <f t="shared" si="0"/>
        <v>0</v>
      </c>
      <c r="H26" s="171"/>
    </row>
    <row r="27" spans="1:9" hidden="1" x14ac:dyDescent="0.2">
      <c r="A27" s="396">
        <v>54117</v>
      </c>
      <c r="B27" s="388" t="s">
        <v>43</v>
      </c>
      <c r="C27" s="365"/>
      <c r="D27" s="307"/>
      <c r="E27" s="307"/>
      <c r="F27" s="372"/>
      <c r="G27" s="379">
        <f t="shared" si="0"/>
        <v>0</v>
      </c>
      <c r="H27" s="171"/>
    </row>
    <row r="28" spans="1:9" x14ac:dyDescent="0.2">
      <c r="A28" s="396">
        <v>54118</v>
      </c>
      <c r="B28" s="388" t="s">
        <v>44</v>
      </c>
      <c r="C28" s="365">
        <v>50</v>
      </c>
      <c r="D28" s="307">
        <v>0</v>
      </c>
      <c r="E28" s="307">
        <v>0</v>
      </c>
      <c r="F28" s="372">
        <v>2500</v>
      </c>
      <c r="G28" s="379">
        <f t="shared" si="0"/>
        <v>2550</v>
      </c>
      <c r="H28" s="171"/>
    </row>
    <row r="29" spans="1:9" x14ac:dyDescent="0.2">
      <c r="A29" s="396">
        <v>54119</v>
      </c>
      <c r="B29" s="388" t="s">
        <v>45</v>
      </c>
      <c r="C29" s="365">
        <v>50</v>
      </c>
      <c r="D29" s="307">
        <v>0</v>
      </c>
      <c r="E29" s="307">
        <v>0</v>
      </c>
      <c r="F29" s="372">
        <v>100</v>
      </c>
      <c r="G29" s="379">
        <f t="shared" si="0"/>
        <v>150</v>
      </c>
      <c r="H29" s="171"/>
    </row>
    <row r="30" spans="1:9" x14ac:dyDescent="0.2">
      <c r="A30" s="396">
        <v>54121</v>
      </c>
      <c r="B30" s="388" t="s">
        <v>46</v>
      </c>
      <c r="C30" s="365">
        <v>0</v>
      </c>
      <c r="D30" s="307">
        <v>4000</v>
      </c>
      <c r="E30" s="307">
        <v>0</v>
      </c>
      <c r="F30" s="372">
        <v>0</v>
      </c>
      <c r="G30" s="379">
        <f t="shared" si="0"/>
        <v>4000</v>
      </c>
      <c r="H30" s="171"/>
    </row>
    <row r="31" spans="1:9" x14ac:dyDescent="0.2">
      <c r="A31" s="396">
        <v>54199</v>
      </c>
      <c r="B31" s="388" t="s">
        <v>47</v>
      </c>
      <c r="C31" s="365">
        <v>5000</v>
      </c>
      <c r="D31" s="307">
        <v>100</v>
      </c>
      <c r="E31" s="307">
        <v>100</v>
      </c>
      <c r="F31" s="372">
        <v>500</v>
      </c>
      <c r="G31" s="379">
        <f t="shared" si="0"/>
        <v>5700</v>
      </c>
      <c r="H31" s="171"/>
    </row>
    <row r="32" spans="1:9" x14ac:dyDescent="0.2">
      <c r="A32" s="395">
        <v>542</v>
      </c>
      <c r="B32" s="387" t="s">
        <v>48</v>
      </c>
      <c r="C32" s="364">
        <f>SUM(C33:C37)</f>
        <v>7000</v>
      </c>
      <c r="D32" s="306">
        <f>SUM(D33:D37)</f>
        <v>0</v>
      </c>
      <c r="E32" s="306">
        <f>SUM(E33:E37)</f>
        <v>0</v>
      </c>
      <c r="F32" s="371">
        <f>SUM(F33:F37)</f>
        <v>111897.59999999999</v>
      </c>
      <c r="G32" s="378">
        <f t="shared" ref="G32:G37" si="1">SUM(C32:F32)</f>
        <v>118897.59999999999</v>
      </c>
      <c r="H32" s="171"/>
    </row>
    <row r="33" spans="1:10" x14ac:dyDescent="0.2">
      <c r="A33" s="396">
        <v>54201</v>
      </c>
      <c r="B33" s="388" t="s">
        <v>49</v>
      </c>
      <c r="C33" s="365">
        <v>2500</v>
      </c>
      <c r="D33" s="307">
        <v>0</v>
      </c>
      <c r="E33" s="307">
        <v>0</v>
      </c>
      <c r="F33" s="372">
        <f>73902.09+1506.56+27520.61-2946.08-3320.98-900-1160.82+791-800-359.78-7225+14450-7225</f>
        <v>94232.599999999991</v>
      </c>
      <c r="G33" s="380">
        <f t="shared" si="1"/>
        <v>96732.599999999991</v>
      </c>
      <c r="H33" s="171"/>
    </row>
    <row r="34" spans="1:10" x14ac:dyDescent="0.2">
      <c r="A34" s="396">
        <v>54202</v>
      </c>
      <c r="B34" s="388" t="s">
        <v>50</v>
      </c>
      <c r="C34" s="365">
        <v>500</v>
      </c>
      <c r="D34" s="307">
        <v>0</v>
      </c>
      <c r="E34" s="307">
        <v>0</v>
      </c>
      <c r="F34" s="372">
        <v>50</v>
      </c>
      <c r="G34" s="380">
        <f t="shared" si="1"/>
        <v>550</v>
      </c>
      <c r="H34" s="171"/>
    </row>
    <row r="35" spans="1:10" x14ac:dyDescent="0.2">
      <c r="A35" s="396">
        <v>54203</v>
      </c>
      <c r="B35" s="388" t="s">
        <v>51</v>
      </c>
      <c r="C35" s="365">
        <v>4000</v>
      </c>
      <c r="D35" s="307">
        <v>0</v>
      </c>
      <c r="E35" s="307">
        <v>0</v>
      </c>
      <c r="F35" s="372">
        <f>102.5*6</f>
        <v>615</v>
      </c>
      <c r="G35" s="380">
        <f t="shared" si="1"/>
        <v>4615</v>
      </c>
      <c r="H35" s="171"/>
    </row>
    <row r="36" spans="1:10" ht="12.75" hidden="1" customHeight="1" x14ac:dyDescent="0.2">
      <c r="A36" s="396">
        <v>54204</v>
      </c>
      <c r="B36" s="388" t="s">
        <v>52</v>
      </c>
      <c r="C36" s="365"/>
      <c r="D36" s="307"/>
      <c r="E36" s="307"/>
      <c r="F36" s="372"/>
      <c r="G36" s="380">
        <f t="shared" si="1"/>
        <v>0</v>
      </c>
    </row>
    <row r="37" spans="1:10" x14ac:dyDescent="0.2">
      <c r="A37" s="396">
        <v>54205</v>
      </c>
      <c r="B37" s="388" t="s">
        <v>53</v>
      </c>
      <c r="C37" s="365">
        <v>0</v>
      </c>
      <c r="D37" s="307">
        <v>0</v>
      </c>
      <c r="E37" s="307">
        <v>0</v>
      </c>
      <c r="F37" s="372">
        <v>17000</v>
      </c>
      <c r="G37" s="380">
        <f t="shared" si="1"/>
        <v>17000</v>
      </c>
      <c r="H37" s="171"/>
      <c r="J37" s="4"/>
    </row>
    <row r="38" spans="1:10" x14ac:dyDescent="0.2">
      <c r="A38" s="395">
        <v>543</v>
      </c>
      <c r="B38" s="387" t="s">
        <v>54</v>
      </c>
      <c r="C38" s="364">
        <f>SUM(C39:C53)</f>
        <v>15750</v>
      </c>
      <c r="D38" s="306">
        <f>SUM(D39:D53)</f>
        <v>300</v>
      </c>
      <c r="E38" s="306">
        <f>SUM(E39:E53)</f>
        <v>100</v>
      </c>
      <c r="F38" s="371">
        <f>SUM(F39:F53)</f>
        <v>5375</v>
      </c>
      <c r="G38" s="378">
        <f>SUM(G39:G53)</f>
        <v>21525</v>
      </c>
      <c r="H38" s="171"/>
    </row>
    <row r="39" spans="1:10" x14ac:dyDescent="0.2">
      <c r="A39" s="396">
        <v>54301</v>
      </c>
      <c r="B39" s="388" t="s">
        <v>55</v>
      </c>
      <c r="C39" s="365">
        <v>150</v>
      </c>
      <c r="D39" s="307">
        <v>300</v>
      </c>
      <c r="E39" s="307">
        <v>100</v>
      </c>
      <c r="F39" s="372">
        <v>100</v>
      </c>
      <c r="G39" s="380">
        <f>SUM(C39:F39)</f>
        <v>650</v>
      </c>
      <c r="H39" s="171"/>
    </row>
    <row r="40" spans="1:10" x14ac:dyDescent="0.2">
      <c r="A40" s="396">
        <v>54302</v>
      </c>
      <c r="B40" s="388" t="s">
        <v>56</v>
      </c>
      <c r="C40" s="365">
        <v>2000</v>
      </c>
      <c r="D40" s="307">
        <v>0</v>
      </c>
      <c r="E40" s="307">
        <v>0</v>
      </c>
      <c r="F40" s="372">
        <v>2500</v>
      </c>
      <c r="G40" s="380">
        <f t="shared" ref="G40:G53" si="2">SUM(C40:F40)</f>
        <v>4500</v>
      </c>
      <c r="H40" s="171"/>
    </row>
    <row r="41" spans="1:10" x14ac:dyDescent="0.2">
      <c r="A41" s="396">
        <v>54303</v>
      </c>
      <c r="B41" s="388" t="s">
        <v>57</v>
      </c>
      <c r="C41" s="365">
        <v>0</v>
      </c>
      <c r="D41" s="307">
        <v>0</v>
      </c>
      <c r="E41" s="307">
        <v>0</v>
      </c>
      <c r="F41" s="372">
        <v>0</v>
      </c>
      <c r="G41" s="380">
        <f t="shared" si="2"/>
        <v>0</v>
      </c>
      <c r="H41" s="171"/>
    </row>
    <row r="42" spans="1:10" x14ac:dyDescent="0.2">
      <c r="A42" s="396">
        <v>54304</v>
      </c>
      <c r="B42" s="388" t="s">
        <v>58</v>
      </c>
      <c r="C42" s="365">
        <v>4000</v>
      </c>
      <c r="D42" s="307">
        <v>0</v>
      </c>
      <c r="E42" s="307">
        <v>0</v>
      </c>
      <c r="F42" s="372">
        <v>0</v>
      </c>
      <c r="G42" s="380">
        <f>SUM(C42:F42)</f>
        <v>4000</v>
      </c>
      <c r="H42" s="171"/>
    </row>
    <row r="43" spans="1:10" x14ac:dyDescent="0.2">
      <c r="A43" s="396">
        <v>54305</v>
      </c>
      <c r="B43" s="388" t="s">
        <v>59</v>
      </c>
      <c r="C43" s="365">
        <v>100</v>
      </c>
      <c r="D43" s="307">
        <v>0</v>
      </c>
      <c r="E43" s="307">
        <v>0</v>
      </c>
      <c r="F43" s="372">
        <v>0</v>
      </c>
      <c r="G43" s="380">
        <f t="shared" si="2"/>
        <v>100</v>
      </c>
      <c r="H43" s="171"/>
    </row>
    <row r="44" spans="1:10" x14ac:dyDescent="0.2">
      <c r="A44" s="396">
        <v>54306</v>
      </c>
      <c r="B44" s="388" t="s">
        <v>60</v>
      </c>
      <c r="C44" s="365">
        <v>0</v>
      </c>
      <c r="D44" s="307">
        <v>0</v>
      </c>
      <c r="E44" s="307">
        <v>0</v>
      </c>
      <c r="F44" s="372">
        <v>0</v>
      </c>
      <c r="G44" s="380">
        <f t="shared" si="2"/>
        <v>0</v>
      </c>
      <c r="H44" s="171"/>
    </row>
    <row r="45" spans="1:10" x14ac:dyDescent="0.2">
      <c r="A45" s="396">
        <v>54307</v>
      </c>
      <c r="B45" s="388" t="s">
        <v>61</v>
      </c>
      <c r="C45" s="365">
        <v>1500</v>
      </c>
      <c r="D45" s="307">
        <v>0</v>
      </c>
      <c r="E45" s="307">
        <v>0</v>
      </c>
      <c r="F45" s="372">
        <v>0</v>
      </c>
      <c r="G45" s="380">
        <f t="shared" si="2"/>
        <v>1500</v>
      </c>
      <c r="H45" s="171"/>
    </row>
    <row r="46" spans="1:10" hidden="1" x14ac:dyDescent="0.2">
      <c r="A46" s="396">
        <v>54309</v>
      </c>
      <c r="B46" s="388" t="s">
        <v>62</v>
      </c>
      <c r="C46" s="365"/>
      <c r="D46" s="307">
        <v>0</v>
      </c>
      <c r="E46" s="307">
        <v>0</v>
      </c>
      <c r="F46" s="372">
        <v>0</v>
      </c>
      <c r="G46" s="380">
        <f t="shared" si="2"/>
        <v>0</v>
      </c>
      <c r="H46" s="171"/>
    </row>
    <row r="47" spans="1:10" hidden="1" x14ac:dyDescent="0.2">
      <c r="A47" s="396">
        <v>54310</v>
      </c>
      <c r="B47" s="388" t="s">
        <v>63</v>
      </c>
      <c r="C47" s="365"/>
      <c r="D47" s="307">
        <v>0</v>
      </c>
      <c r="E47" s="307">
        <v>0</v>
      </c>
      <c r="F47" s="372">
        <v>0</v>
      </c>
      <c r="G47" s="380">
        <f t="shared" si="2"/>
        <v>0</v>
      </c>
      <c r="H47" s="171"/>
    </row>
    <row r="48" spans="1:10" hidden="1" x14ac:dyDescent="0.2">
      <c r="A48" s="396">
        <v>54311</v>
      </c>
      <c r="B48" s="388" t="s">
        <v>64</v>
      </c>
      <c r="C48" s="365"/>
      <c r="D48" s="307">
        <v>0</v>
      </c>
      <c r="E48" s="307">
        <v>0</v>
      </c>
      <c r="F48" s="372">
        <v>0</v>
      </c>
      <c r="G48" s="380">
        <f t="shared" si="2"/>
        <v>0</v>
      </c>
      <c r="H48" s="171"/>
    </row>
    <row r="49" spans="1:8" hidden="1" x14ac:dyDescent="0.2">
      <c r="A49" s="396">
        <v>54313</v>
      </c>
      <c r="B49" s="388" t="s">
        <v>65</v>
      </c>
      <c r="C49" s="365"/>
      <c r="D49" s="307">
        <v>0</v>
      </c>
      <c r="E49" s="307">
        <v>0</v>
      </c>
      <c r="F49" s="372">
        <v>0</v>
      </c>
      <c r="G49" s="380">
        <f t="shared" si="2"/>
        <v>0</v>
      </c>
      <c r="H49" s="171"/>
    </row>
    <row r="50" spans="1:8" x14ac:dyDescent="0.2">
      <c r="A50" s="396">
        <v>54314</v>
      </c>
      <c r="B50" s="388" t="s">
        <v>66</v>
      </c>
      <c r="C50" s="365">
        <v>6000</v>
      </c>
      <c r="D50" s="307">
        <v>0</v>
      </c>
      <c r="E50" s="307">
        <v>0</v>
      </c>
      <c r="F50" s="372">
        <v>0</v>
      </c>
      <c r="G50" s="380">
        <f t="shared" si="2"/>
        <v>6000</v>
      </c>
      <c r="H50" s="171"/>
    </row>
    <row r="51" spans="1:8" x14ac:dyDescent="0.2">
      <c r="A51" s="396">
        <v>54316</v>
      </c>
      <c r="B51" s="388" t="s">
        <v>67</v>
      </c>
      <c r="C51" s="365">
        <v>0</v>
      </c>
      <c r="D51" s="307">
        <v>0</v>
      </c>
      <c r="E51" s="307">
        <v>0</v>
      </c>
      <c r="F51" s="372">
        <v>0</v>
      </c>
      <c r="G51" s="380">
        <f t="shared" si="2"/>
        <v>0</v>
      </c>
      <c r="H51" s="171"/>
    </row>
    <row r="52" spans="1:8" x14ac:dyDescent="0.2">
      <c r="A52" s="396">
        <v>54317</v>
      </c>
      <c r="B52" s="388" t="s">
        <v>68</v>
      </c>
      <c r="C52" s="365">
        <v>0</v>
      </c>
      <c r="D52" s="307">
        <v>0</v>
      </c>
      <c r="E52" s="307">
        <v>0</v>
      </c>
      <c r="F52" s="372">
        <f>150*6+100*6+150*6</f>
        <v>2400</v>
      </c>
      <c r="G52" s="380">
        <f t="shared" si="2"/>
        <v>2400</v>
      </c>
      <c r="H52" s="171"/>
    </row>
    <row r="53" spans="1:8" x14ac:dyDescent="0.2">
      <c r="A53" s="396">
        <v>54399</v>
      </c>
      <c r="B53" s="388" t="s">
        <v>69</v>
      </c>
      <c r="C53" s="365">
        <v>2000</v>
      </c>
      <c r="D53" s="307">
        <v>0</v>
      </c>
      <c r="E53" s="307">
        <v>0</v>
      </c>
      <c r="F53" s="372">
        <v>375</v>
      </c>
      <c r="G53" s="380">
        <f t="shared" si="2"/>
        <v>2375</v>
      </c>
      <c r="H53" s="171"/>
    </row>
    <row r="54" spans="1:8" x14ac:dyDescent="0.2">
      <c r="A54" s="395">
        <v>544</v>
      </c>
      <c r="B54" s="387" t="s">
        <v>70</v>
      </c>
      <c r="C54" s="364">
        <f>SUM(C55:C58)</f>
        <v>250</v>
      </c>
      <c r="D54" s="306">
        <f>SUM(D55:D58)</f>
        <v>70</v>
      </c>
      <c r="E54" s="306">
        <f>SUM(E55:E58)</f>
        <v>150</v>
      </c>
      <c r="F54" s="371">
        <f>SUM(F55:F58)</f>
        <v>150</v>
      </c>
      <c r="G54" s="378">
        <f>SUM(G55:G58)</f>
        <v>620</v>
      </c>
      <c r="H54" s="171"/>
    </row>
    <row r="55" spans="1:8" x14ac:dyDescent="0.2">
      <c r="A55" s="396">
        <v>54401</v>
      </c>
      <c r="B55" s="388" t="s">
        <v>71</v>
      </c>
      <c r="C55" s="365">
        <v>100</v>
      </c>
      <c r="D55" s="307">
        <v>20</v>
      </c>
      <c r="E55" s="307">
        <v>50</v>
      </c>
      <c r="F55" s="372">
        <v>50</v>
      </c>
      <c r="G55" s="380">
        <f>SUM(C55:F55)</f>
        <v>220</v>
      </c>
      <c r="H55" s="171"/>
    </row>
    <row r="56" spans="1:8" x14ac:dyDescent="0.2">
      <c r="A56" s="396">
        <v>54402</v>
      </c>
      <c r="B56" s="388" t="s">
        <v>72</v>
      </c>
      <c r="C56" s="365">
        <v>0</v>
      </c>
      <c r="D56" s="307">
        <v>0</v>
      </c>
      <c r="E56" s="307">
        <v>0</v>
      </c>
      <c r="F56" s="372">
        <v>0</v>
      </c>
      <c r="G56" s="380">
        <f t="shared" ref="G56:G66" si="3">+C56+F56</f>
        <v>0</v>
      </c>
      <c r="H56" s="171"/>
    </row>
    <row r="57" spans="1:8" x14ac:dyDescent="0.2">
      <c r="A57" s="396">
        <v>54403</v>
      </c>
      <c r="B57" s="388" t="s">
        <v>73</v>
      </c>
      <c r="C57" s="365">
        <v>150</v>
      </c>
      <c r="D57" s="307">
        <v>50</v>
      </c>
      <c r="E57" s="307">
        <v>100</v>
      </c>
      <c r="F57" s="372">
        <v>100</v>
      </c>
      <c r="G57" s="380">
        <f>SUM(C57:F57)</f>
        <v>400</v>
      </c>
      <c r="H57" s="171"/>
    </row>
    <row r="58" spans="1:8" x14ac:dyDescent="0.2">
      <c r="A58" s="396">
        <v>54404</v>
      </c>
      <c r="B58" s="388" t="s">
        <v>74</v>
      </c>
      <c r="C58" s="365">
        <v>0</v>
      </c>
      <c r="D58" s="307">
        <v>0</v>
      </c>
      <c r="E58" s="307">
        <v>0</v>
      </c>
      <c r="F58" s="372">
        <v>0</v>
      </c>
      <c r="G58" s="380">
        <f t="shared" si="3"/>
        <v>0</v>
      </c>
      <c r="H58" s="171"/>
    </row>
    <row r="59" spans="1:8" x14ac:dyDescent="0.2">
      <c r="A59" s="395">
        <v>545</v>
      </c>
      <c r="B59" s="387" t="s">
        <v>75</v>
      </c>
      <c r="C59" s="364">
        <f>+C61</f>
        <v>300</v>
      </c>
      <c r="D59" s="306">
        <v>0</v>
      </c>
      <c r="E59" s="306">
        <v>0</v>
      </c>
      <c r="F59" s="371">
        <v>0</v>
      </c>
      <c r="G59" s="378">
        <f>+G61</f>
        <v>300</v>
      </c>
      <c r="H59" s="171"/>
    </row>
    <row r="60" spans="1:8" hidden="1" x14ac:dyDescent="0.2">
      <c r="A60" s="396">
        <v>54501</v>
      </c>
      <c r="B60" s="388" t="s">
        <v>76</v>
      </c>
      <c r="C60" s="365"/>
      <c r="D60" s="307">
        <v>0</v>
      </c>
      <c r="E60" s="307">
        <v>0</v>
      </c>
      <c r="F60" s="372">
        <v>0</v>
      </c>
      <c r="G60" s="380">
        <f t="shared" si="3"/>
        <v>0</v>
      </c>
      <c r="H60" s="171"/>
    </row>
    <row r="61" spans="1:8" x14ac:dyDescent="0.2">
      <c r="A61" s="396">
        <v>54503</v>
      </c>
      <c r="B61" s="388" t="s">
        <v>77</v>
      </c>
      <c r="C61" s="365">
        <v>300</v>
      </c>
      <c r="D61" s="307">
        <v>0</v>
      </c>
      <c r="E61" s="307">
        <v>0</v>
      </c>
      <c r="F61" s="372">
        <v>0</v>
      </c>
      <c r="G61" s="380">
        <f t="shared" si="3"/>
        <v>300</v>
      </c>
      <c r="H61" s="171"/>
    </row>
    <row r="62" spans="1:8" hidden="1" x14ac:dyDescent="0.2">
      <c r="A62" s="396">
        <v>54504</v>
      </c>
      <c r="B62" s="388" t="s">
        <v>78</v>
      </c>
      <c r="C62" s="365"/>
      <c r="D62" s="307"/>
      <c r="E62" s="307"/>
      <c r="F62" s="372"/>
      <c r="G62" s="380">
        <f t="shared" si="3"/>
        <v>0</v>
      </c>
      <c r="H62" s="171"/>
    </row>
    <row r="63" spans="1:8" hidden="1" x14ac:dyDescent="0.2">
      <c r="A63" s="396">
        <v>54505</v>
      </c>
      <c r="B63" s="388" t="s">
        <v>79</v>
      </c>
      <c r="C63" s="365"/>
      <c r="D63" s="307"/>
      <c r="E63" s="307"/>
      <c r="F63" s="372"/>
      <c r="G63" s="380">
        <f t="shared" si="3"/>
        <v>0</v>
      </c>
      <c r="H63" s="171"/>
    </row>
    <row r="64" spans="1:8" hidden="1" x14ac:dyDescent="0.2">
      <c r="A64" s="396">
        <v>54507</v>
      </c>
      <c r="B64" s="388" t="s">
        <v>80</v>
      </c>
      <c r="C64" s="365"/>
      <c r="D64" s="307"/>
      <c r="E64" s="307"/>
      <c r="F64" s="372"/>
      <c r="G64" s="380">
        <f t="shared" si="3"/>
        <v>0</v>
      </c>
      <c r="H64" s="171"/>
    </row>
    <row r="65" spans="1:9" hidden="1" x14ac:dyDescent="0.2">
      <c r="A65" s="396">
        <v>54508</v>
      </c>
      <c r="B65" s="388" t="s">
        <v>81</v>
      </c>
      <c r="C65" s="365"/>
      <c r="D65" s="307"/>
      <c r="E65" s="307"/>
      <c r="F65" s="372"/>
      <c r="G65" s="380">
        <f t="shared" si="3"/>
        <v>0</v>
      </c>
      <c r="H65" s="171"/>
    </row>
    <row r="66" spans="1:9" hidden="1" x14ac:dyDescent="0.2">
      <c r="A66" s="396">
        <v>54599</v>
      </c>
      <c r="B66" s="388" t="s">
        <v>82</v>
      </c>
      <c r="C66" s="365"/>
      <c r="D66" s="307"/>
      <c r="E66" s="307"/>
      <c r="F66" s="372"/>
      <c r="G66" s="380">
        <f t="shared" si="3"/>
        <v>0</v>
      </c>
      <c r="H66" s="171"/>
    </row>
    <row r="67" spans="1:9" x14ac:dyDescent="0.2">
      <c r="A67" s="396"/>
      <c r="B67" s="388"/>
      <c r="C67" s="365"/>
      <c r="D67" s="307"/>
      <c r="E67" s="307"/>
      <c r="F67" s="372"/>
      <c r="G67" s="380"/>
      <c r="H67" s="171"/>
    </row>
    <row r="68" spans="1:9" x14ac:dyDescent="0.2">
      <c r="A68" s="395">
        <v>55</v>
      </c>
      <c r="B68" s="387" t="s">
        <v>83</v>
      </c>
      <c r="C68" s="364">
        <f>C73+C75</f>
        <v>1991.2599999999998</v>
      </c>
      <c r="D68" s="306">
        <f t="shared" ref="D68:F68" si="4">D73+D75</f>
        <v>269.52</v>
      </c>
      <c r="E68" s="306">
        <f t="shared" si="4"/>
        <v>0</v>
      </c>
      <c r="F68" s="371">
        <f t="shared" si="4"/>
        <v>900.74</v>
      </c>
      <c r="G68" s="378">
        <f>F68+D68+C68</f>
        <v>3161.5199999999995</v>
      </c>
      <c r="H68" s="243"/>
    </row>
    <row r="69" spans="1:9" hidden="1" x14ac:dyDescent="0.2">
      <c r="A69" s="395">
        <v>553</v>
      </c>
      <c r="B69" s="387" t="s">
        <v>84</v>
      </c>
      <c r="C69" s="365"/>
      <c r="D69" s="307"/>
      <c r="E69" s="307"/>
      <c r="F69" s="372"/>
      <c r="G69" s="378">
        <f>+C69+F69</f>
        <v>0</v>
      </c>
      <c r="H69" s="243"/>
    </row>
    <row r="70" spans="1:9" hidden="1" x14ac:dyDescent="0.2">
      <c r="A70" s="396">
        <v>55303</v>
      </c>
      <c r="B70" s="388" t="s">
        <v>85</v>
      </c>
      <c r="C70" s="365"/>
      <c r="D70" s="307"/>
      <c r="E70" s="307"/>
      <c r="F70" s="372"/>
      <c r="G70" s="380">
        <f>+C70+F70</f>
        <v>0</v>
      </c>
      <c r="H70" s="243"/>
    </row>
    <row r="71" spans="1:9" hidden="1" x14ac:dyDescent="0.2">
      <c r="A71" s="396">
        <v>55304</v>
      </c>
      <c r="B71" s="388" t="s">
        <v>86</v>
      </c>
      <c r="C71" s="365"/>
      <c r="D71" s="307"/>
      <c r="E71" s="307"/>
      <c r="F71" s="372"/>
      <c r="G71" s="380">
        <f>+C71+F71</f>
        <v>0</v>
      </c>
      <c r="H71" s="243"/>
    </row>
    <row r="72" spans="1:9" hidden="1" x14ac:dyDescent="0.2">
      <c r="A72" s="396">
        <v>55308</v>
      </c>
      <c r="B72" s="388" t="s">
        <v>87</v>
      </c>
      <c r="C72" s="365"/>
      <c r="D72" s="307"/>
      <c r="E72" s="307"/>
      <c r="F72" s="372"/>
      <c r="G72" s="380">
        <f>+C72+F72</f>
        <v>0</v>
      </c>
      <c r="H72" s="243"/>
    </row>
    <row r="73" spans="1:9" s="241" customFormat="1" x14ac:dyDescent="0.2">
      <c r="A73" s="395">
        <v>555</v>
      </c>
      <c r="B73" s="387" t="s">
        <v>509</v>
      </c>
      <c r="C73" s="364">
        <f>C74</f>
        <v>28.86</v>
      </c>
      <c r="D73" s="306">
        <f t="shared" ref="D73:F73" si="5">D74</f>
        <v>0</v>
      </c>
      <c r="E73" s="306">
        <f t="shared" si="5"/>
        <v>0</v>
      </c>
      <c r="F73" s="371">
        <f t="shared" si="5"/>
        <v>86.58</v>
      </c>
      <c r="G73" s="378">
        <f>G74</f>
        <v>115.44</v>
      </c>
      <c r="H73" s="304"/>
      <c r="I73" s="267"/>
    </row>
    <row r="74" spans="1:9" x14ac:dyDescent="0.2">
      <c r="A74" s="396">
        <v>55508</v>
      </c>
      <c r="B74" s="389" t="s">
        <v>340</v>
      </c>
      <c r="C74" s="365">
        <v>28.86</v>
      </c>
      <c r="D74" s="307">
        <v>0</v>
      </c>
      <c r="E74" s="307">
        <v>0</v>
      </c>
      <c r="F74" s="372">
        <v>86.58</v>
      </c>
      <c r="G74" s="380">
        <f t="shared" ref="G74" si="6">+C74+F74</f>
        <v>115.44</v>
      </c>
      <c r="H74" s="243"/>
    </row>
    <row r="75" spans="1:9" x14ac:dyDescent="0.2">
      <c r="A75" s="395">
        <v>556</v>
      </c>
      <c r="B75" s="387" t="s">
        <v>88</v>
      </c>
      <c r="C75" s="306">
        <f>SUM(C76:C78)</f>
        <v>1962.3999999999999</v>
      </c>
      <c r="D75" s="306">
        <f>SUM(D76:D78)</f>
        <v>269.52</v>
      </c>
      <c r="E75" s="306">
        <f t="shared" ref="E75:F75" si="7">SUM(E76:E78)</f>
        <v>0</v>
      </c>
      <c r="F75" s="306">
        <f t="shared" si="7"/>
        <v>814.16</v>
      </c>
      <c r="G75" s="378">
        <f>C75+D75+F75</f>
        <v>3046.08</v>
      </c>
      <c r="H75" s="243"/>
    </row>
    <row r="76" spans="1:9" x14ac:dyDescent="0.2">
      <c r="A76" s="396">
        <v>55601</v>
      </c>
      <c r="B76" s="388" t="s">
        <v>89</v>
      </c>
      <c r="C76" s="365">
        <v>0</v>
      </c>
      <c r="D76" s="307">
        <v>169.52</v>
      </c>
      <c r="E76" s="307">
        <v>0</v>
      </c>
      <c r="F76" s="372">
        <v>0</v>
      </c>
      <c r="G76" s="380">
        <f t="shared" ref="G76:G77" si="8">SUM(C76:F76)</f>
        <v>169.52</v>
      </c>
      <c r="H76" s="243"/>
    </row>
    <row r="77" spans="1:9" x14ac:dyDescent="0.2">
      <c r="A77" s="396">
        <v>55602</v>
      </c>
      <c r="B77" s="388" t="s">
        <v>90</v>
      </c>
      <c r="C77" s="365">
        <v>1962.3999999999999</v>
      </c>
      <c r="D77" s="307">
        <v>0</v>
      </c>
      <c r="E77" s="307">
        <v>0</v>
      </c>
      <c r="F77" s="372">
        <v>814.16</v>
      </c>
      <c r="G77" s="380">
        <f t="shared" si="8"/>
        <v>2776.56</v>
      </c>
      <c r="H77" s="243"/>
    </row>
    <row r="78" spans="1:9" x14ac:dyDescent="0.2">
      <c r="A78" s="396">
        <v>55603</v>
      </c>
      <c r="B78" s="388" t="s">
        <v>91</v>
      </c>
      <c r="C78" s="365">
        <v>0</v>
      </c>
      <c r="D78" s="307">
        <v>100</v>
      </c>
      <c r="E78" s="307">
        <v>0</v>
      </c>
      <c r="F78" s="372">
        <v>0</v>
      </c>
      <c r="G78" s="380">
        <f>SUM(C78:F78)</f>
        <v>100</v>
      </c>
      <c r="H78" s="243"/>
    </row>
    <row r="79" spans="1:9" hidden="1" x14ac:dyDescent="0.2">
      <c r="A79" s="395">
        <v>557</v>
      </c>
      <c r="B79" s="387" t="s">
        <v>92</v>
      </c>
      <c r="C79" s="364"/>
      <c r="D79" s="306">
        <f>SUM(D80:D82)</f>
        <v>0</v>
      </c>
      <c r="E79" s="306"/>
      <c r="F79" s="371"/>
      <c r="G79" s="378">
        <f>+C79+D79+F79</f>
        <v>0</v>
      </c>
      <c r="H79" s="243"/>
    </row>
    <row r="80" spans="1:9" ht="13.5" hidden="1" thickBot="1" x14ac:dyDescent="0.25">
      <c r="A80" s="397">
        <v>55701</v>
      </c>
      <c r="B80" s="390" t="s">
        <v>93</v>
      </c>
      <c r="C80" s="366"/>
      <c r="D80" s="308"/>
      <c r="E80" s="308"/>
      <c r="F80" s="373"/>
      <c r="G80" s="381"/>
      <c r="H80" s="243"/>
    </row>
    <row r="81" spans="1:10" ht="12.75" hidden="1" customHeight="1" x14ac:dyDescent="0.2">
      <c r="A81" s="398">
        <v>55702</v>
      </c>
      <c r="B81" s="391" t="s">
        <v>94</v>
      </c>
      <c r="C81" s="367"/>
      <c r="D81" s="309"/>
      <c r="E81" s="309"/>
      <c r="F81" s="374"/>
      <c r="G81" s="382"/>
      <c r="H81" s="243"/>
    </row>
    <row r="82" spans="1:10" ht="12.75" hidden="1" customHeight="1" x14ac:dyDescent="0.2">
      <c r="A82" s="398">
        <v>55799</v>
      </c>
      <c r="B82" s="391" t="s">
        <v>95</v>
      </c>
      <c r="C82" s="367"/>
      <c r="D82" s="309"/>
      <c r="E82" s="309"/>
      <c r="F82" s="374"/>
      <c r="G82" s="383"/>
      <c r="H82" s="243"/>
    </row>
    <row r="83" spans="1:10" ht="12.75" hidden="1" customHeight="1" x14ac:dyDescent="0.2">
      <c r="A83" s="399"/>
      <c r="B83" s="392"/>
      <c r="C83" s="368"/>
      <c r="D83" s="310"/>
      <c r="E83" s="310"/>
      <c r="F83" s="375"/>
      <c r="G83" s="384"/>
      <c r="H83" s="243"/>
    </row>
    <row r="84" spans="1:10" ht="12.75" customHeight="1" x14ac:dyDescent="0.2">
      <c r="A84" s="396"/>
      <c r="B84" s="388"/>
      <c r="C84" s="365"/>
      <c r="D84" s="307"/>
      <c r="E84" s="307"/>
      <c r="F84" s="372"/>
      <c r="G84" s="380"/>
      <c r="H84" s="243"/>
    </row>
    <row r="85" spans="1:10" x14ac:dyDescent="0.2">
      <c r="A85" s="400">
        <v>56</v>
      </c>
      <c r="B85" s="393" t="s">
        <v>96</v>
      </c>
      <c r="C85" s="369">
        <f>C86+C89</f>
        <v>17875.001791666669</v>
      </c>
      <c r="D85" s="311">
        <f>D86+D89</f>
        <v>0</v>
      </c>
      <c r="E85" s="311"/>
      <c r="F85" s="376">
        <f>F86+F89</f>
        <v>0</v>
      </c>
      <c r="G85" s="385">
        <f>+C85+F85</f>
        <v>17875.001791666669</v>
      </c>
      <c r="H85" s="243"/>
    </row>
    <row r="86" spans="1:10" x14ac:dyDescent="0.2">
      <c r="A86" s="395">
        <v>562</v>
      </c>
      <c r="B86" s="387" t="s">
        <v>97</v>
      </c>
      <c r="C86" s="364">
        <f>C88</f>
        <v>14875.001791666667</v>
      </c>
      <c r="D86" s="306">
        <f>SUM(D87:D88)</f>
        <v>0</v>
      </c>
      <c r="E86" s="306"/>
      <c r="F86" s="371"/>
      <c r="G86" s="378">
        <f t="shared" ref="G86:G91" si="9">+C86+F86</f>
        <v>14875.001791666667</v>
      </c>
      <c r="H86" s="243"/>
    </row>
    <row r="87" spans="1:10" hidden="1" x14ac:dyDescent="0.2">
      <c r="A87" s="396">
        <v>56201</v>
      </c>
      <c r="B87" s="389" t="s">
        <v>511</v>
      </c>
      <c r="C87" s="365"/>
      <c r="D87" s="307"/>
      <c r="E87" s="307"/>
      <c r="F87" s="372"/>
      <c r="G87" s="380">
        <f t="shared" si="9"/>
        <v>0</v>
      </c>
      <c r="H87" s="243"/>
    </row>
    <row r="88" spans="1:10" x14ac:dyDescent="0.2">
      <c r="A88" s="396">
        <v>56201</v>
      </c>
      <c r="B88" s="389" t="s">
        <v>511</v>
      </c>
      <c r="C88" s="365">
        <f>1104.42*12+60*12+(('PLLA DIETAS'!I20/2)+(('PLLA MUNICIPAL LEY SAL'!P16/12)*5)+(('PLLA MUNICIPAL LEY SAL'!P23/12)*7))+(('PLLA MUNICIPAL LEY SAL'!P53/12)*2)+(('PLLA MUNICIPAL LEY SAL'!P73/12)*1)</f>
        <v>14875.001791666667</v>
      </c>
      <c r="D88" s="307">
        <v>0</v>
      </c>
      <c r="E88" s="307">
        <v>0</v>
      </c>
      <c r="F88" s="372">
        <v>0</v>
      </c>
      <c r="G88" s="380">
        <f t="shared" si="9"/>
        <v>14875.001791666667</v>
      </c>
      <c r="H88" s="243"/>
    </row>
    <row r="89" spans="1:10" x14ac:dyDescent="0.2">
      <c r="A89" s="395">
        <v>563</v>
      </c>
      <c r="B89" s="387" t="s">
        <v>99</v>
      </c>
      <c r="C89" s="364">
        <f>SUM(C90:C91)</f>
        <v>3000</v>
      </c>
      <c r="D89" s="306">
        <f>SUM(D90:D91)</f>
        <v>0</v>
      </c>
      <c r="E89" s="306">
        <f t="shared" ref="E89:F89" si="10">SUM(E90:E91)</f>
        <v>0</v>
      </c>
      <c r="F89" s="306">
        <f t="shared" si="10"/>
        <v>0</v>
      </c>
      <c r="G89" s="378">
        <f t="shared" si="9"/>
        <v>3000</v>
      </c>
      <c r="H89" s="243"/>
    </row>
    <row r="90" spans="1:10" hidden="1" x14ac:dyDescent="0.2">
      <c r="A90" s="396">
        <v>56303</v>
      </c>
      <c r="B90" s="388" t="s">
        <v>98</v>
      </c>
      <c r="C90" s="365"/>
      <c r="D90" s="307"/>
      <c r="E90" s="307"/>
      <c r="F90" s="372"/>
      <c r="G90" s="380">
        <f t="shared" si="9"/>
        <v>0</v>
      </c>
      <c r="H90" s="243"/>
    </row>
    <row r="91" spans="1:10" x14ac:dyDescent="0.2">
      <c r="A91" s="396">
        <v>56304</v>
      </c>
      <c r="B91" s="388" t="s">
        <v>100</v>
      </c>
      <c r="C91" s="365">
        <v>3000</v>
      </c>
      <c r="D91" s="307">
        <v>0</v>
      </c>
      <c r="E91" s="307">
        <v>0</v>
      </c>
      <c r="F91" s="372">
        <v>0</v>
      </c>
      <c r="G91" s="380">
        <f t="shared" si="9"/>
        <v>3000</v>
      </c>
      <c r="H91" s="243"/>
      <c r="J91" s="4"/>
    </row>
    <row r="92" spans="1:10" x14ac:dyDescent="0.2">
      <c r="A92" s="396"/>
      <c r="B92" s="388"/>
      <c r="C92" s="365"/>
      <c r="D92" s="307"/>
      <c r="E92" s="307"/>
      <c r="F92" s="372"/>
      <c r="G92" s="380"/>
      <c r="H92" s="243"/>
      <c r="J92" s="4"/>
    </row>
    <row r="93" spans="1:10" s="133" customFormat="1" x14ac:dyDescent="0.2">
      <c r="A93" s="463">
        <v>72</v>
      </c>
      <c r="B93" s="455" t="s">
        <v>13</v>
      </c>
      <c r="C93" s="364">
        <f>C94</f>
        <v>4481.8</v>
      </c>
      <c r="D93" s="306">
        <f t="shared" ref="D93:D94" si="11">D94</f>
        <v>0</v>
      </c>
      <c r="E93" s="306">
        <f t="shared" ref="E93:E94" si="12">E94</f>
        <v>0</v>
      </c>
      <c r="F93" s="410">
        <f t="shared" ref="F93:F94" si="13">F94</f>
        <v>0</v>
      </c>
      <c r="G93" s="715">
        <f t="shared" ref="G93:G94" si="14">G94</f>
        <v>4481.8</v>
      </c>
      <c r="H93" s="244"/>
      <c r="I93" s="713"/>
    </row>
    <row r="94" spans="1:10" s="133" customFormat="1" x14ac:dyDescent="0.2">
      <c r="A94" s="463">
        <v>721</v>
      </c>
      <c r="B94" s="455" t="s">
        <v>182</v>
      </c>
      <c r="C94" s="364">
        <f>C95</f>
        <v>4481.8</v>
      </c>
      <c r="D94" s="306">
        <f t="shared" si="11"/>
        <v>0</v>
      </c>
      <c r="E94" s="306">
        <f t="shared" si="12"/>
        <v>0</v>
      </c>
      <c r="F94" s="410">
        <f t="shared" si="13"/>
        <v>0</v>
      </c>
      <c r="G94" s="715">
        <f t="shared" si="14"/>
        <v>4481.8</v>
      </c>
      <c r="H94" s="244"/>
      <c r="I94" s="713"/>
    </row>
    <row r="95" spans="1:10" s="2" customFormat="1" ht="13.5" thickBot="1" x14ac:dyDescent="0.25">
      <c r="A95" s="420">
        <v>72101</v>
      </c>
      <c r="B95" s="415" t="s">
        <v>182</v>
      </c>
      <c r="C95" s="365">
        <f>3320.98+1100.82+60</f>
        <v>4481.8</v>
      </c>
      <c r="D95" s="307"/>
      <c r="E95" s="307"/>
      <c r="F95" s="411"/>
      <c r="G95" s="404">
        <f>C95+D95+E95+F95</f>
        <v>4481.8</v>
      </c>
      <c r="H95" s="171"/>
      <c r="I95" s="264"/>
    </row>
    <row r="96" spans="1:10" hidden="1" x14ac:dyDescent="0.2">
      <c r="A96" s="8" t="s">
        <v>162</v>
      </c>
      <c r="B96" s="360" t="s">
        <v>163</v>
      </c>
      <c r="C96" s="364">
        <f t="shared" ref="C96:G97" si="15">C97</f>
        <v>0</v>
      </c>
      <c r="D96" s="306">
        <f t="shared" si="15"/>
        <v>0</v>
      </c>
      <c r="E96" s="306">
        <f t="shared" si="15"/>
        <v>0</v>
      </c>
      <c r="F96" s="306">
        <f t="shared" si="15"/>
        <v>0</v>
      </c>
      <c r="G96" s="275">
        <f t="shared" si="15"/>
        <v>0</v>
      </c>
      <c r="H96" s="171"/>
    </row>
    <row r="97" spans="1:9" hidden="1" x14ac:dyDescent="0.2">
      <c r="A97" s="8" t="s">
        <v>256</v>
      </c>
      <c r="B97" s="361" t="s">
        <v>200</v>
      </c>
      <c r="C97" s="364">
        <f t="shared" si="15"/>
        <v>0</v>
      </c>
      <c r="D97" s="306">
        <f t="shared" si="15"/>
        <v>0</v>
      </c>
      <c r="E97" s="306">
        <f t="shared" si="15"/>
        <v>0</v>
      </c>
      <c r="F97" s="306">
        <f t="shared" si="15"/>
        <v>0</v>
      </c>
      <c r="G97" s="275">
        <f t="shared" si="15"/>
        <v>0</v>
      </c>
      <c r="H97" s="171"/>
    </row>
    <row r="98" spans="1:9" s="2" customFormat="1" ht="13.5" hidden="1" thickBot="1" x14ac:dyDescent="0.25">
      <c r="A98" s="268" t="s">
        <v>257</v>
      </c>
      <c r="B98" s="362" t="s">
        <v>258</v>
      </c>
      <c r="C98" s="366"/>
      <c r="D98" s="308"/>
      <c r="E98" s="308"/>
      <c r="F98" s="308"/>
      <c r="G98" s="276">
        <f>+C98+F98</f>
        <v>0</v>
      </c>
      <c r="H98" s="171"/>
      <c r="I98" s="264"/>
    </row>
    <row r="99" spans="1:9" ht="13.5" thickBot="1" x14ac:dyDescent="0.25">
      <c r="A99" s="322"/>
      <c r="B99" s="323" t="s">
        <v>25</v>
      </c>
      <c r="C99" s="312">
        <f>C11+C68+C85+C93</f>
        <v>59748.061791666674</v>
      </c>
      <c r="D99" s="312">
        <f>D11+D68+D85</f>
        <v>6439.52</v>
      </c>
      <c r="E99" s="312">
        <f>E11+E68+E85</f>
        <v>900</v>
      </c>
      <c r="F99" s="312">
        <f>F11+F68+F85</f>
        <v>127923.34</v>
      </c>
      <c r="G99" s="277">
        <f>+G85+G68+G11+G96+G93</f>
        <v>195010.92179166662</v>
      </c>
      <c r="H99" s="183"/>
    </row>
    <row r="100" spans="1:9" x14ac:dyDescent="0.2">
      <c r="A100" s="1"/>
      <c r="B100" s="1"/>
    </row>
    <row r="101" spans="1:9" x14ac:dyDescent="0.2">
      <c r="A101" s="1"/>
      <c r="B101" s="1"/>
    </row>
    <row r="102" spans="1:9" x14ac:dyDescent="0.2">
      <c r="A102" s="1"/>
      <c r="B102" s="1"/>
    </row>
    <row r="103" spans="1:9" x14ac:dyDescent="0.2">
      <c r="A103" s="1"/>
      <c r="B103" s="1"/>
    </row>
    <row r="104" spans="1:9" x14ac:dyDescent="0.2">
      <c r="A104" s="1"/>
      <c r="B104" s="1"/>
    </row>
    <row r="105" spans="1:9" x14ac:dyDescent="0.2">
      <c r="A105" s="1"/>
      <c r="B105" s="1"/>
    </row>
    <row r="106" spans="1:9" x14ac:dyDescent="0.2">
      <c r="A106" s="1088" t="s">
        <v>613</v>
      </c>
      <c r="B106" s="1088"/>
      <c r="C106" s="1088"/>
      <c r="D106" s="1088"/>
      <c r="E106" s="1088"/>
      <c r="F106" s="1088"/>
      <c r="G106" s="1088"/>
    </row>
    <row r="107" spans="1:9" x14ac:dyDescent="0.2">
      <c r="A107" s="1097" t="s">
        <v>101</v>
      </c>
      <c r="B107" s="1097"/>
      <c r="C107" s="1097"/>
      <c r="D107" s="1097"/>
      <c r="E107" s="1097"/>
      <c r="F107" s="1097"/>
      <c r="G107" s="1097"/>
    </row>
    <row r="108" spans="1:9" x14ac:dyDescent="0.2">
      <c r="A108" s="1097" t="s">
        <v>102</v>
      </c>
      <c r="B108" s="1097"/>
      <c r="C108" s="1097"/>
      <c r="D108" s="1097"/>
      <c r="E108" s="1097"/>
      <c r="F108" s="1097"/>
      <c r="G108" s="1097"/>
    </row>
    <row r="109" spans="1:9" x14ac:dyDescent="0.2">
      <c r="A109" s="1097" t="s">
        <v>465</v>
      </c>
      <c r="B109" s="1097"/>
      <c r="C109" s="1097"/>
      <c r="D109" s="1097"/>
      <c r="E109" s="1097"/>
      <c r="F109" s="1097"/>
      <c r="G109" s="1097"/>
    </row>
    <row r="110" spans="1:9" x14ac:dyDescent="0.2">
      <c r="A110" s="1097" t="s">
        <v>680</v>
      </c>
      <c r="B110" s="1097"/>
      <c r="C110" s="1097"/>
      <c r="D110" s="1097"/>
      <c r="E110" s="1097"/>
      <c r="F110" s="1097"/>
      <c r="G110" s="1097"/>
    </row>
    <row r="111" spans="1:9" ht="13.5" thickBot="1" x14ac:dyDescent="0.25">
      <c r="A111" s="1"/>
      <c r="B111" s="1"/>
    </row>
    <row r="112" spans="1:9" s="2" customFormat="1" ht="13.5" thickBot="1" x14ac:dyDescent="0.25">
      <c r="A112" s="1100" t="s">
        <v>614</v>
      </c>
      <c r="B112" s="1100" t="s">
        <v>14</v>
      </c>
      <c r="C112" s="1103" t="s">
        <v>615</v>
      </c>
      <c r="D112" s="1104"/>
      <c r="E112" s="1104"/>
      <c r="F112" s="1104"/>
      <c r="G112" s="1105"/>
      <c r="H112" s="174"/>
      <c r="I112" s="264"/>
    </row>
    <row r="113" spans="1:9" s="2" customFormat="1" x14ac:dyDescent="0.2">
      <c r="A113" s="1101"/>
      <c r="B113" s="1101"/>
      <c r="C113" s="1098" t="s">
        <v>105</v>
      </c>
      <c r="D113" s="1098" t="s">
        <v>106</v>
      </c>
      <c r="E113" s="1098" t="s">
        <v>107</v>
      </c>
      <c r="F113" s="1098" t="s">
        <v>186</v>
      </c>
      <c r="G113" s="1098" t="s">
        <v>4</v>
      </c>
      <c r="H113" s="174"/>
      <c r="I113" s="264"/>
    </row>
    <row r="114" spans="1:9" s="2" customFormat="1" ht="38.25" customHeight="1" thickBot="1" x14ac:dyDescent="0.25">
      <c r="A114" s="1102"/>
      <c r="B114" s="1102"/>
      <c r="C114" s="1099"/>
      <c r="D114" s="1099"/>
      <c r="E114" s="1099"/>
      <c r="F114" s="1099"/>
      <c r="G114" s="1099"/>
      <c r="H114" s="174"/>
      <c r="I114" s="264"/>
    </row>
    <row r="115" spans="1:9" x14ac:dyDescent="0.2">
      <c r="A115" s="394">
        <v>54</v>
      </c>
      <c r="B115" s="386" t="s">
        <v>27</v>
      </c>
      <c r="C115" s="363">
        <f>C116+C136+C142+C159+C164</f>
        <v>9000</v>
      </c>
      <c r="D115" s="305">
        <f>D116+D136+D142+D159</f>
        <v>500</v>
      </c>
      <c r="E115" s="305">
        <f>E116+E136+E142+E159</f>
        <v>400</v>
      </c>
      <c r="F115" s="409">
        <f>F116+F136+F142+F159</f>
        <v>20033.09</v>
      </c>
      <c r="G115" s="401">
        <f>G116+G136+G142+G159+G164</f>
        <v>29933.09</v>
      </c>
      <c r="H115" s="171"/>
    </row>
    <row r="116" spans="1:9" x14ac:dyDescent="0.2">
      <c r="A116" s="395">
        <v>541</v>
      </c>
      <c r="B116" s="387" t="s">
        <v>28</v>
      </c>
      <c r="C116" s="364">
        <f>SUM(C117:C135)</f>
        <v>2850</v>
      </c>
      <c r="D116" s="306">
        <f>SUM(D117:D135)</f>
        <v>400</v>
      </c>
      <c r="E116" s="306">
        <f>SUM(E117:E135)</f>
        <v>250</v>
      </c>
      <c r="F116" s="410">
        <f>SUM(F117:F135)</f>
        <v>3030</v>
      </c>
      <c r="G116" s="402">
        <f>+G117+G119+G120+G122+G124+G125+G126+G127+G128+G129+G132+G133+G135</f>
        <v>6530</v>
      </c>
      <c r="H116" s="171"/>
    </row>
    <row r="117" spans="1:9" x14ac:dyDescent="0.2">
      <c r="A117" s="396">
        <v>54101</v>
      </c>
      <c r="B117" s="388" t="s">
        <v>29</v>
      </c>
      <c r="C117" s="365">
        <v>150</v>
      </c>
      <c r="D117" s="307">
        <v>0</v>
      </c>
      <c r="E117" s="307">
        <v>0</v>
      </c>
      <c r="F117" s="411">
        <v>0</v>
      </c>
      <c r="G117" s="403">
        <f>SUM(C117:F117)</f>
        <v>150</v>
      </c>
      <c r="H117" s="171"/>
    </row>
    <row r="118" spans="1:9" hidden="1" x14ac:dyDescent="0.2">
      <c r="A118" s="396">
        <v>54103</v>
      </c>
      <c r="B118" s="388" t="s">
        <v>30</v>
      </c>
      <c r="C118" s="365"/>
      <c r="D118" s="307">
        <v>0</v>
      </c>
      <c r="E118" s="307">
        <v>0</v>
      </c>
      <c r="F118" s="411">
        <v>0</v>
      </c>
      <c r="G118" s="403">
        <f t="shared" ref="G118:G135" si="16">SUM(C118:F118)</f>
        <v>0</v>
      </c>
      <c r="H118" s="171"/>
    </row>
    <row r="119" spans="1:9" x14ac:dyDescent="0.2">
      <c r="A119" s="396">
        <v>54104</v>
      </c>
      <c r="B119" s="388" t="s">
        <v>31</v>
      </c>
      <c r="C119" s="365">
        <v>0</v>
      </c>
      <c r="D119" s="307">
        <v>0</v>
      </c>
      <c r="E119" s="307">
        <v>0</v>
      </c>
      <c r="F119" s="411">
        <v>0</v>
      </c>
      <c r="G119" s="403">
        <f t="shared" si="16"/>
        <v>0</v>
      </c>
      <c r="H119" s="171"/>
    </row>
    <row r="120" spans="1:9" x14ac:dyDescent="0.2">
      <c r="A120" s="396">
        <v>54105</v>
      </c>
      <c r="B120" s="388" t="s">
        <v>32</v>
      </c>
      <c r="C120" s="365">
        <v>150</v>
      </c>
      <c r="D120" s="307">
        <v>50</v>
      </c>
      <c r="E120" s="307">
        <v>50</v>
      </c>
      <c r="F120" s="411">
        <v>50</v>
      </c>
      <c r="G120" s="403">
        <f t="shared" si="16"/>
        <v>300</v>
      </c>
      <c r="H120" s="171"/>
    </row>
    <row r="121" spans="1:9" hidden="1" x14ac:dyDescent="0.2">
      <c r="A121" s="396">
        <v>54106</v>
      </c>
      <c r="B121" s="388" t="s">
        <v>33</v>
      </c>
      <c r="C121" s="365"/>
      <c r="D121" s="307"/>
      <c r="E121" s="307"/>
      <c r="F121" s="411"/>
      <c r="G121" s="403">
        <f t="shared" si="16"/>
        <v>0</v>
      </c>
      <c r="H121" s="171"/>
    </row>
    <row r="122" spans="1:9" x14ac:dyDescent="0.2">
      <c r="A122" s="396">
        <v>54107</v>
      </c>
      <c r="B122" s="388" t="s">
        <v>34</v>
      </c>
      <c r="C122" s="365">
        <v>0</v>
      </c>
      <c r="D122" s="307">
        <v>0</v>
      </c>
      <c r="E122" s="307">
        <v>0</v>
      </c>
      <c r="F122" s="411">
        <v>630</v>
      </c>
      <c r="G122" s="403">
        <f t="shared" si="16"/>
        <v>630</v>
      </c>
      <c r="H122" s="171"/>
    </row>
    <row r="123" spans="1:9" x14ac:dyDescent="0.2">
      <c r="A123" s="396">
        <v>54108</v>
      </c>
      <c r="B123" s="388" t="s">
        <v>35</v>
      </c>
      <c r="C123" s="365">
        <v>0</v>
      </c>
      <c r="D123" s="307">
        <v>0</v>
      </c>
      <c r="E123" s="307">
        <v>0</v>
      </c>
      <c r="F123" s="411">
        <v>0</v>
      </c>
      <c r="G123" s="403">
        <f t="shared" si="16"/>
        <v>0</v>
      </c>
      <c r="H123" s="171"/>
    </row>
    <row r="124" spans="1:9" x14ac:dyDescent="0.2">
      <c r="A124" s="396">
        <v>54109</v>
      </c>
      <c r="B124" s="388" t="s">
        <v>36</v>
      </c>
      <c r="C124" s="365">
        <v>600</v>
      </c>
      <c r="D124" s="307">
        <v>0</v>
      </c>
      <c r="E124" s="307">
        <v>0</v>
      </c>
      <c r="F124" s="411">
        <v>400</v>
      </c>
      <c r="G124" s="403">
        <f t="shared" si="16"/>
        <v>1000</v>
      </c>
      <c r="H124" s="171"/>
      <c r="I124"/>
    </row>
    <row r="125" spans="1:9" x14ac:dyDescent="0.2">
      <c r="A125" s="396">
        <v>54110</v>
      </c>
      <c r="B125" s="388" t="s">
        <v>37</v>
      </c>
      <c r="C125" s="365">
        <v>500</v>
      </c>
      <c r="D125" s="307">
        <v>0</v>
      </c>
      <c r="E125" s="307">
        <v>0</v>
      </c>
      <c r="F125" s="411">
        <v>500</v>
      </c>
      <c r="G125" s="403">
        <f t="shared" si="16"/>
        <v>1000</v>
      </c>
      <c r="H125" s="171"/>
      <c r="I125"/>
    </row>
    <row r="126" spans="1:9" x14ac:dyDescent="0.2">
      <c r="A126" s="396">
        <v>54111</v>
      </c>
      <c r="B126" s="388" t="s">
        <v>38</v>
      </c>
      <c r="C126" s="365">
        <v>0</v>
      </c>
      <c r="D126" s="307">
        <v>0</v>
      </c>
      <c r="E126" s="307">
        <v>0</v>
      </c>
      <c r="F126" s="411">
        <v>100</v>
      </c>
      <c r="G126" s="403">
        <f t="shared" si="16"/>
        <v>100</v>
      </c>
      <c r="H126" s="171"/>
      <c r="I126"/>
    </row>
    <row r="127" spans="1:9" x14ac:dyDescent="0.2">
      <c r="A127" s="396">
        <v>54112</v>
      </c>
      <c r="B127" s="388" t="s">
        <v>39</v>
      </c>
      <c r="C127" s="365">
        <v>0</v>
      </c>
      <c r="D127" s="307">
        <v>0</v>
      </c>
      <c r="E127" s="307">
        <v>0</v>
      </c>
      <c r="F127" s="411">
        <v>100</v>
      </c>
      <c r="G127" s="403">
        <f t="shared" si="16"/>
        <v>100</v>
      </c>
      <c r="H127" s="171"/>
      <c r="I127"/>
    </row>
    <row r="128" spans="1:9" x14ac:dyDescent="0.2">
      <c r="A128" s="396">
        <v>54114</v>
      </c>
      <c r="B128" s="388" t="s">
        <v>40</v>
      </c>
      <c r="C128" s="365">
        <v>200</v>
      </c>
      <c r="D128" s="307">
        <v>100</v>
      </c>
      <c r="E128" s="307">
        <v>50</v>
      </c>
      <c r="F128" s="411">
        <v>100</v>
      </c>
      <c r="G128" s="403">
        <f t="shared" si="16"/>
        <v>450</v>
      </c>
      <c r="H128" s="171"/>
      <c r="I128"/>
    </row>
    <row r="129" spans="1:9" x14ac:dyDescent="0.2">
      <c r="A129" s="396">
        <v>54115</v>
      </c>
      <c r="B129" s="388" t="s">
        <v>41</v>
      </c>
      <c r="C129" s="365">
        <v>100</v>
      </c>
      <c r="D129" s="307">
        <v>200</v>
      </c>
      <c r="E129" s="307">
        <v>100</v>
      </c>
      <c r="F129" s="411">
        <v>50</v>
      </c>
      <c r="G129" s="403">
        <f t="shared" si="16"/>
        <v>450</v>
      </c>
      <c r="H129" s="171"/>
      <c r="I129"/>
    </row>
    <row r="130" spans="1:9" hidden="1" x14ac:dyDescent="0.2">
      <c r="A130" s="396">
        <v>54116</v>
      </c>
      <c r="B130" s="388" t="s">
        <v>42</v>
      </c>
      <c r="C130" s="365">
        <v>0</v>
      </c>
      <c r="D130" s="307">
        <v>0</v>
      </c>
      <c r="E130" s="307">
        <v>0</v>
      </c>
      <c r="F130" s="411">
        <v>0</v>
      </c>
      <c r="G130" s="403">
        <f t="shared" si="16"/>
        <v>0</v>
      </c>
      <c r="H130" s="171"/>
      <c r="I130"/>
    </row>
    <row r="131" spans="1:9" hidden="1" x14ac:dyDescent="0.2">
      <c r="A131" s="396">
        <v>54117</v>
      </c>
      <c r="B131" s="388" t="s">
        <v>43</v>
      </c>
      <c r="C131" s="365">
        <v>0</v>
      </c>
      <c r="D131" s="307">
        <v>0</v>
      </c>
      <c r="E131" s="307">
        <v>0</v>
      </c>
      <c r="F131" s="411">
        <v>0</v>
      </c>
      <c r="G131" s="403">
        <f t="shared" si="16"/>
        <v>0</v>
      </c>
      <c r="H131" s="171"/>
      <c r="I131"/>
    </row>
    <row r="132" spans="1:9" x14ac:dyDescent="0.2">
      <c r="A132" s="396">
        <v>54118</v>
      </c>
      <c r="B132" s="388" t="s">
        <v>44</v>
      </c>
      <c r="C132" s="365">
        <v>50</v>
      </c>
      <c r="D132" s="307">
        <v>0</v>
      </c>
      <c r="E132" s="307">
        <v>0</v>
      </c>
      <c r="F132" s="411">
        <v>1000</v>
      </c>
      <c r="G132" s="403">
        <f t="shared" si="16"/>
        <v>1050</v>
      </c>
      <c r="H132" s="171"/>
      <c r="I132"/>
    </row>
    <row r="133" spans="1:9" x14ac:dyDescent="0.2">
      <c r="A133" s="396">
        <v>54119</v>
      </c>
      <c r="B133" s="388" t="s">
        <v>45</v>
      </c>
      <c r="C133" s="365">
        <v>100</v>
      </c>
      <c r="D133" s="307">
        <v>0</v>
      </c>
      <c r="E133" s="307">
        <v>0</v>
      </c>
      <c r="F133" s="411">
        <v>0</v>
      </c>
      <c r="G133" s="403">
        <f t="shared" si="16"/>
        <v>100</v>
      </c>
      <c r="H133" s="171"/>
      <c r="I133"/>
    </row>
    <row r="134" spans="1:9" x14ac:dyDescent="0.2">
      <c r="A134" s="396">
        <v>54121</v>
      </c>
      <c r="B134" s="388" t="s">
        <v>46</v>
      </c>
      <c r="C134" s="365">
        <v>0</v>
      </c>
      <c r="D134" s="307">
        <v>0</v>
      </c>
      <c r="E134" s="307">
        <v>0</v>
      </c>
      <c r="F134" s="411">
        <v>0</v>
      </c>
      <c r="G134" s="403">
        <f t="shared" si="16"/>
        <v>0</v>
      </c>
      <c r="H134" s="171"/>
      <c r="I134"/>
    </row>
    <row r="135" spans="1:9" x14ac:dyDescent="0.2">
      <c r="A135" s="396">
        <v>54199</v>
      </c>
      <c r="B135" s="388" t="s">
        <v>47</v>
      </c>
      <c r="C135" s="365">
        <v>1000</v>
      </c>
      <c r="D135" s="307">
        <v>50</v>
      </c>
      <c r="E135" s="307">
        <v>50</v>
      </c>
      <c r="F135" s="411">
        <v>100</v>
      </c>
      <c r="G135" s="403">
        <f t="shared" si="16"/>
        <v>1200</v>
      </c>
      <c r="H135" s="171"/>
      <c r="I135"/>
    </row>
    <row r="136" spans="1:9" x14ac:dyDescent="0.2">
      <c r="A136" s="395">
        <v>542</v>
      </c>
      <c r="B136" s="387" t="s">
        <v>48</v>
      </c>
      <c r="C136" s="364">
        <f>SUM(C137:C141)</f>
        <v>1600</v>
      </c>
      <c r="D136" s="306">
        <f>SUM(D137:D141)</f>
        <v>0</v>
      </c>
      <c r="E136" s="306">
        <f>SUM(E137:E141)</f>
        <v>0</v>
      </c>
      <c r="F136" s="410">
        <f>SUM(F137:F141)</f>
        <v>13495.14</v>
      </c>
      <c r="G136" s="402">
        <f>SUM(G137:G141)</f>
        <v>15095.14</v>
      </c>
      <c r="H136" s="171"/>
      <c r="I136"/>
    </row>
    <row r="137" spans="1:9" x14ac:dyDescent="0.2">
      <c r="A137" s="396">
        <v>54201</v>
      </c>
      <c r="B137" s="388" t="s">
        <v>49</v>
      </c>
      <c r="C137" s="365">
        <v>500</v>
      </c>
      <c r="D137" s="307">
        <v>0</v>
      </c>
      <c r="E137" s="307">
        <v>0</v>
      </c>
      <c r="F137" s="412">
        <f>2000+24888.82+776.66-1031.25-15863.87-900-400-12214.13-4125+23923.91-7225</f>
        <v>9830.14</v>
      </c>
      <c r="G137" s="403">
        <f>SUM(C137:F137)</f>
        <v>10330.14</v>
      </c>
      <c r="H137" s="171"/>
      <c r="I137"/>
    </row>
    <row r="138" spans="1:9" x14ac:dyDescent="0.2">
      <c r="A138" s="396">
        <v>54202</v>
      </c>
      <c r="B138" s="388" t="s">
        <v>50</v>
      </c>
      <c r="C138" s="365">
        <v>100</v>
      </c>
      <c r="D138" s="307">
        <v>0</v>
      </c>
      <c r="E138" s="307">
        <v>0</v>
      </c>
      <c r="F138" s="411">
        <v>50</v>
      </c>
      <c r="G138" s="403">
        <f>SUM(C138:F138)</f>
        <v>150</v>
      </c>
      <c r="H138" s="171"/>
      <c r="I138"/>
    </row>
    <row r="139" spans="1:9" x14ac:dyDescent="0.2">
      <c r="A139" s="396">
        <v>54203</v>
      </c>
      <c r="B139" s="388" t="s">
        <v>51</v>
      </c>
      <c r="C139" s="365">
        <v>1000</v>
      </c>
      <c r="D139" s="307">
        <v>0</v>
      </c>
      <c r="E139" s="307">
        <v>0</v>
      </c>
      <c r="F139" s="411">
        <f>102.5*6</f>
        <v>615</v>
      </c>
      <c r="G139" s="403">
        <f>SUM(C139:F139)</f>
        <v>1615</v>
      </c>
      <c r="H139" s="171"/>
      <c r="I139"/>
    </row>
    <row r="140" spans="1:9" hidden="1" x14ac:dyDescent="0.2">
      <c r="A140" s="396">
        <v>54204</v>
      </c>
      <c r="B140" s="388" t="s">
        <v>52</v>
      </c>
      <c r="C140" s="365">
        <v>0</v>
      </c>
      <c r="D140" s="307">
        <v>0</v>
      </c>
      <c r="E140" s="307">
        <v>0</v>
      </c>
      <c r="F140" s="411">
        <v>0</v>
      </c>
      <c r="G140" s="403">
        <f>SUM(C140:F140)</f>
        <v>0</v>
      </c>
      <c r="H140" s="171"/>
    </row>
    <row r="141" spans="1:9" x14ac:dyDescent="0.2">
      <c r="A141" s="396">
        <v>54205</v>
      </c>
      <c r="B141" s="388" t="s">
        <v>53</v>
      </c>
      <c r="C141" s="365">
        <v>0</v>
      </c>
      <c r="D141" s="307">
        <v>0</v>
      </c>
      <c r="E141" s="307">
        <v>0</v>
      </c>
      <c r="F141" s="411">
        <v>3000</v>
      </c>
      <c r="G141" s="403">
        <f>SUM(C141:F141)</f>
        <v>3000</v>
      </c>
      <c r="H141" s="171"/>
    </row>
    <row r="142" spans="1:9" x14ac:dyDescent="0.2">
      <c r="A142" s="395">
        <v>543</v>
      </c>
      <c r="B142" s="387" t="s">
        <v>54</v>
      </c>
      <c r="C142" s="364">
        <f>SUM(C143:C158)</f>
        <v>4200</v>
      </c>
      <c r="D142" s="306">
        <f>SUM(D143:D158)</f>
        <v>100</v>
      </c>
      <c r="E142" s="306">
        <f>SUM(E143:E158)</f>
        <v>100</v>
      </c>
      <c r="F142" s="410">
        <f>SUM(F143:F158)</f>
        <v>3427.95</v>
      </c>
      <c r="G142" s="402">
        <f>SUM(G143:G158)</f>
        <v>7827.95</v>
      </c>
      <c r="H142" s="171"/>
    </row>
    <row r="143" spans="1:9" s="2" customFormat="1" x14ac:dyDescent="0.2">
      <c r="A143" s="420">
        <v>54301</v>
      </c>
      <c r="B143" s="415" t="s">
        <v>55</v>
      </c>
      <c r="C143" s="365">
        <v>100</v>
      </c>
      <c r="D143" s="307">
        <v>100</v>
      </c>
      <c r="E143" s="307">
        <v>100</v>
      </c>
      <c r="F143" s="412">
        <f>100-22.05</f>
        <v>77.95</v>
      </c>
      <c r="G143" s="404">
        <f>SUM(C143:F143)</f>
        <v>377.95</v>
      </c>
      <c r="H143" s="171"/>
      <c r="I143" s="264"/>
    </row>
    <row r="144" spans="1:9" s="2" customFormat="1" x14ac:dyDescent="0.2">
      <c r="A144" s="420">
        <v>54302</v>
      </c>
      <c r="B144" s="415" t="s">
        <v>56</v>
      </c>
      <c r="C144" s="365">
        <v>500</v>
      </c>
      <c r="D144" s="307">
        <v>0</v>
      </c>
      <c r="E144" s="307">
        <v>0</v>
      </c>
      <c r="F144" s="411">
        <v>800</v>
      </c>
      <c r="G144" s="404">
        <f t="shared" ref="G144:G158" si="17">SUM(C144:F144)</f>
        <v>1300</v>
      </c>
      <c r="H144" s="171"/>
      <c r="I144" s="264"/>
    </row>
    <row r="145" spans="1:9" s="2" customFormat="1" x14ac:dyDescent="0.2">
      <c r="A145" s="420">
        <v>54303</v>
      </c>
      <c r="B145" s="415" t="s">
        <v>57</v>
      </c>
      <c r="C145" s="365">
        <v>0</v>
      </c>
      <c r="D145" s="307">
        <v>0</v>
      </c>
      <c r="E145" s="307">
        <v>0</v>
      </c>
      <c r="F145" s="411">
        <v>0</v>
      </c>
      <c r="G145" s="404">
        <f t="shared" si="17"/>
        <v>0</v>
      </c>
      <c r="H145" s="171"/>
      <c r="I145" s="264"/>
    </row>
    <row r="146" spans="1:9" s="2" customFormat="1" x14ac:dyDescent="0.2">
      <c r="A146" s="420">
        <v>54304</v>
      </c>
      <c r="B146" s="415" t="s">
        <v>58</v>
      </c>
      <c r="C146" s="365">
        <v>1000</v>
      </c>
      <c r="D146" s="307">
        <v>0</v>
      </c>
      <c r="E146" s="307">
        <v>0</v>
      </c>
      <c r="F146" s="411">
        <v>0</v>
      </c>
      <c r="G146" s="404">
        <f t="shared" si="17"/>
        <v>1000</v>
      </c>
      <c r="H146" s="171"/>
      <c r="I146" s="264"/>
    </row>
    <row r="147" spans="1:9" s="2" customFormat="1" x14ac:dyDescent="0.2">
      <c r="A147" s="420">
        <v>54305</v>
      </c>
      <c r="B147" s="415" t="s">
        <v>59</v>
      </c>
      <c r="C147" s="365">
        <v>100</v>
      </c>
      <c r="D147" s="307">
        <v>0</v>
      </c>
      <c r="E147" s="307">
        <v>0</v>
      </c>
      <c r="F147" s="411">
        <v>0</v>
      </c>
      <c r="G147" s="404">
        <f t="shared" si="17"/>
        <v>100</v>
      </c>
      <c r="H147" s="171"/>
      <c r="I147" s="264"/>
    </row>
    <row r="148" spans="1:9" s="2" customFormat="1" x14ac:dyDescent="0.2">
      <c r="A148" s="420">
        <v>54306</v>
      </c>
      <c r="B148" s="415" t="s">
        <v>60</v>
      </c>
      <c r="C148" s="365">
        <v>0</v>
      </c>
      <c r="D148" s="307">
        <v>0</v>
      </c>
      <c r="E148" s="307">
        <v>0</v>
      </c>
      <c r="F148" s="411">
        <v>0</v>
      </c>
      <c r="G148" s="404">
        <f t="shared" si="17"/>
        <v>0</v>
      </c>
      <c r="H148" s="171"/>
      <c r="I148" s="264"/>
    </row>
    <row r="149" spans="1:9" s="2" customFormat="1" x14ac:dyDescent="0.2">
      <c r="A149" s="420">
        <v>54307</v>
      </c>
      <c r="B149" s="415" t="s">
        <v>61</v>
      </c>
      <c r="C149" s="365">
        <v>0</v>
      </c>
      <c r="D149" s="307">
        <v>0</v>
      </c>
      <c r="E149" s="307">
        <v>0</v>
      </c>
      <c r="F149" s="411">
        <v>0</v>
      </c>
      <c r="G149" s="404">
        <f t="shared" si="17"/>
        <v>0</v>
      </c>
      <c r="H149" s="171"/>
      <c r="I149" s="264"/>
    </row>
    <row r="150" spans="1:9" s="2" customFormat="1" hidden="1" x14ac:dyDescent="0.2">
      <c r="A150" s="420">
        <v>54309</v>
      </c>
      <c r="B150" s="415" t="s">
        <v>62</v>
      </c>
      <c r="C150" s="365">
        <v>0</v>
      </c>
      <c r="D150" s="307">
        <v>0</v>
      </c>
      <c r="E150" s="307">
        <v>0</v>
      </c>
      <c r="F150" s="411">
        <v>0</v>
      </c>
      <c r="G150" s="404">
        <f t="shared" si="17"/>
        <v>0</v>
      </c>
      <c r="H150" s="171"/>
      <c r="I150" s="264"/>
    </row>
    <row r="151" spans="1:9" s="2" customFormat="1" hidden="1" x14ac:dyDescent="0.2">
      <c r="A151" s="420">
        <v>54310</v>
      </c>
      <c r="B151" s="415" t="s">
        <v>63</v>
      </c>
      <c r="C151" s="365">
        <v>0</v>
      </c>
      <c r="D151" s="307">
        <v>0</v>
      </c>
      <c r="E151" s="307">
        <v>0</v>
      </c>
      <c r="F151" s="411">
        <v>0</v>
      </c>
      <c r="G151" s="404">
        <f t="shared" si="17"/>
        <v>0</v>
      </c>
      <c r="H151" s="171"/>
      <c r="I151" s="264"/>
    </row>
    <row r="152" spans="1:9" s="2" customFormat="1" hidden="1" x14ac:dyDescent="0.2">
      <c r="A152" s="420">
        <v>54311</v>
      </c>
      <c r="B152" s="415" t="s">
        <v>64</v>
      </c>
      <c r="C152" s="365">
        <v>0</v>
      </c>
      <c r="D152" s="307">
        <v>0</v>
      </c>
      <c r="E152" s="307">
        <v>0</v>
      </c>
      <c r="F152" s="411">
        <v>0</v>
      </c>
      <c r="G152" s="404">
        <f t="shared" si="17"/>
        <v>0</v>
      </c>
      <c r="H152" s="171"/>
      <c r="I152" s="264"/>
    </row>
    <row r="153" spans="1:9" s="2" customFormat="1" hidden="1" x14ac:dyDescent="0.2">
      <c r="A153" s="420">
        <v>54313</v>
      </c>
      <c r="B153" s="415" t="s">
        <v>65</v>
      </c>
      <c r="C153" s="365">
        <v>0</v>
      </c>
      <c r="D153" s="307">
        <v>0</v>
      </c>
      <c r="E153" s="307">
        <v>0</v>
      </c>
      <c r="F153" s="411">
        <v>0</v>
      </c>
      <c r="G153" s="404">
        <f t="shared" si="17"/>
        <v>0</v>
      </c>
      <c r="H153" s="171"/>
      <c r="I153" s="264"/>
    </row>
    <row r="154" spans="1:9" s="2" customFormat="1" hidden="1" x14ac:dyDescent="0.2">
      <c r="A154" s="420">
        <v>54307</v>
      </c>
      <c r="B154" s="415" t="s">
        <v>61</v>
      </c>
      <c r="C154" s="365">
        <v>0</v>
      </c>
      <c r="D154" s="307">
        <v>0</v>
      </c>
      <c r="E154" s="307">
        <v>0</v>
      </c>
      <c r="F154" s="411">
        <v>0</v>
      </c>
      <c r="G154" s="404">
        <f t="shared" si="17"/>
        <v>0</v>
      </c>
      <c r="H154" s="171"/>
      <c r="I154" s="264"/>
    </row>
    <row r="155" spans="1:9" s="2" customFormat="1" x14ac:dyDescent="0.2">
      <c r="A155" s="420">
        <v>54314</v>
      </c>
      <c r="B155" s="415" t="s">
        <v>66</v>
      </c>
      <c r="C155" s="365">
        <v>2000</v>
      </c>
      <c r="D155" s="307">
        <v>0</v>
      </c>
      <c r="E155" s="307">
        <v>0</v>
      </c>
      <c r="F155" s="411">
        <v>0</v>
      </c>
      <c r="G155" s="404">
        <f t="shared" si="17"/>
        <v>2000</v>
      </c>
      <c r="H155" s="171"/>
      <c r="I155" s="264"/>
    </row>
    <row r="156" spans="1:9" s="2" customFormat="1" x14ac:dyDescent="0.2">
      <c r="A156" s="420">
        <v>54316</v>
      </c>
      <c r="B156" s="415" t="s">
        <v>67</v>
      </c>
      <c r="C156" s="365">
        <v>0</v>
      </c>
      <c r="D156" s="307">
        <v>0</v>
      </c>
      <c r="E156" s="307">
        <v>0</v>
      </c>
      <c r="F156" s="411">
        <v>0</v>
      </c>
      <c r="G156" s="404">
        <f t="shared" si="17"/>
        <v>0</v>
      </c>
      <c r="H156" s="171"/>
      <c r="I156" s="264"/>
    </row>
    <row r="157" spans="1:9" s="2" customFormat="1" x14ac:dyDescent="0.2">
      <c r="A157" s="420">
        <v>54317</v>
      </c>
      <c r="B157" s="415" t="s">
        <v>68</v>
      </c>
      <c r="C157" s="365">
        <v>0</v>
      </c>
      <c r="D157" s="307">
        <v>0</v>
      </c>
      <c r="E157" s="307">
        <v>0</v>
      </c>
      <c r="F157" s="411">
        <f>150*6+100*6+150*6</f>
        <v>2400</v>
      </c>
      <c r="G157" s="404">
        <f t="shared" si="17"/>
        <v>2400</v>
      </c>
      <c r="H157" s="171"/>
      <c r="I157" s="264"/>
    </row>
    <row r="158" spans="1:9" s="2" customFormat="1" x14ac:dyDescent="0.2">
      <c r="A158" s="420">
        <v>54399</v>
      </c>
      <c r="B158" s="415" t="s">
        <v>69</v>
      </c>
      <c r="C158" s="365">
        <v>500</v>
      </c>
      <c r="D158" s="307">
        <v>0</v>
      </c>
      <c r="E158" s="307">
        <v>0</v>
      </c>
      <c r="F158" s="411">
        <v>150</v>
      </c>
      <c r="G158" s="404">
        <f t="shared" si="17"/>
        <v>650</v>
      </c>
      <c r="H158" s="171"/>
      <c r="I158" s="264"/>
    </row>
    <row r="159" spans="1:9" x14ac:dyDescent="0.2">
      <c r="A159" s="395">
        <v>544</v>
      </c>
      <c r="B159" s="387" t="s">
        <v>70</v>
      </c>
      <c r="C159" s="364">
        <f>SUM(C160:C162)</f>
        <v>150</v>
      </c>
      <c r="D159" s="306">
        <f>SUM(D160:D162)</f>
        <v>0</v>
      </c>
      <c r="E159" s="306">
        <f>SUM(E160:E162)</f>
        <v>50</v>
      </c>
      <c r="F159" s="410">
        <f>SUM(F160:F162)</f>
        <v>80</v>
      </c>
      <c r="G159" s="402">
        <f>SUM(C159:F159)</f>
        <v>280</v>
      </c>
      <c r="H159" s="171"/>
    </row>
    <row r="160" spans="1:9" x14ac:dyDescent="0.2">
      <c r="A160" s="396">
        <v>54401</v>
      </c>
      <c r="B160" s="388" t="s">
        <v>71</v>
      </c>
      <c r="C160" s="365">
        <v>50</v>
      </c>
      <c r="D160" s="307">
        <v>0</v>
      </c>
      <c r="E160" s="307">
        <v>30</v>
      </c>
      <c r="F160" s="411">
        <v>30</v>
      </c>
      <c r="G160" s="403">
        <f>SUM(C160:F160)</f>
        <v>110</v>
      </c>
      <c r="H160" s="171"/>
    </row>
    <row r="161" spans="1:8" x14ac:dyDescent="0.2">
      <c r="A161" s="396">
        <v>54402</v>
      </c>
      <c r="B161" s="388" t="s">
        <v>72</v>
      </c>
      <c r="C161" s="365">
        <v>0</v>
      </c>
      <c r="D161" s="307">
        <v>0</v>
      </c>
      <c r="E161" s="307">
        <v>0</v>
      </c>
      <c r="F161" s="411">
        <v>0</v>
      </c>
      <c r="G161" s="403">
        <f t="shared" ref="G161:G182" si="18">+C161+F161</f>
        <v>0</v>
      </c>
      <c r="H161" s="171"/>
    </row>
    <row r="162" spans="1:8" x14ac:dyDescent="0.2">
      <c r="A162" s="396">
        <v>54403</v>
      </c>
      <c r="B162" s="388" t="s">
        <v>73</v>
      </c>
      <c r="C162" s="365">
        <v>100</v>
      </c>
      <c r="D162" s="307">
        <v>0</v>
      </c>
      <c r="E162" s="307">
        <v>20</v>
      </c>
      <c r="F162" s="411">
        <v>50</v>
      </c>
      <c r="G162" s="403">
        <f>SUM(C162:F162)</f>
        <v>170</v>
      </c>
      <c r="H162" s="171"/>
    </row>
    <row r="163" spans="1:8" x14ac:dyDescent="0.2">
      <c r="A163" s="396">
        <v>54404</v>
      </c>
      <c r="B163" s="388" t="s">
        <v>74</v>
      </c>
      <c r="C163" s="365">
        <v>0</v>
      </c>
      <c r="D163" s="307">
        <v>0</v>
      </c>
      <c r="E163" s="307">
        <v>0</v>
      </c>
      <c r="F163" s="411">
        <v>0</v>
      </c>
      <c r="G163" s="403">
        <f t="shared" si="18"/>
        <v>0</v>
      </c>
      <c r="H163" s="171"/>
    </row>
    <row r="164" spans="1:8" x14ac:dyDescent="0.2">
      <c r="A164" s="395">
        <v>545</v>
      </c>
      <c r="B164" s="387" t="s">
        <v>75</v>
      </c>
      <c r="C164" s="364">
        <f>SUM(C165:C171)</f>
        <v>200</v>
      </c>
      <c r="D164" s="306">
        <f>SUM(D165:D171)</f>
        <v>0</v>
      </c>
      <c r="E164" s="306"/>
      <c r="F164" s="410">
        <f>SUM(F165:F171)</f>
        <v>0</v>
      </c>
      <c r="G164" s="402">
        <f t="shared" si="18"/>
        <v>200</v>
      </c>
      <c r="H164" s="171"/>
    </row>
    <row r="165" spans="1:8" hidden="1" x14ac:dyDescent="0.2">
      <c r="A165" s="396">
        <v>54501</v>
      </c>
      <c r="B165" s="388" t="s">
        <v>76</v>
      </c>
      <c r="C165" s="365">
        <v>0</v>
      </c>
      <c r="D165" s="307"/>
      <c r="E165" s="307"/>
      <c r="F165" s="411"/>
      <c r="G165" s="403">
        <f t="shared" si="18"/>
        <v>0</v>
      </c>
      <c r="H165" s="171"/>
    </row>
    <row r="166" spans="1:8" x14ac:dyDescent="0.2">
      <c r="A166" s="396">
        <v>54503</v>
      </c>
      <c r="B166" s="388" t="s">
        <v>77</v>
      </c>
      <c r="C166" s="365">
        <v>200</v>
      </c>
      <c r="D166" s="307">
        <v>0</v>
      </c>
      <c r="E166" s="307">
        <v>0</v>
      </c>
      <c r="F166" s="411">
        <v>0</v>
      </c>
      <c r="G166" s="403">
        <f t="shared" si="18"/>
        <v>200</v>
      </c>
      <c r="H166" s="171"/>
    </row>
    <row r="167" spans="1:8" hidden="1" x14ac:dyDescent="0.2">
      <c r="A167" s="396">
        <v>54504</v>
      </c>
      <c r="B167" s="388" t="s">
        <v>78</v>
      </c>
      <c r="C167" s="365">
        <v>0</v>
      </c>
      <c r="D167" s="307">
        <v>0</v>
      </c>
      <c r="E167" s="307">
        <v>0</v>
      </c>
      <c r="F167" s="411">
        <v>0</v>
      </c>
      <c r="G167" s="403">
        <f t="shared" si="18"/>
        <v>0</v>
      </c>
      <c r="H167" s="171"/>
    </row>
    <row r="168" spans="1:8" hidden="1" x14ac:dyDescent="0.2">
      <c r="A168" s="396">
        <v>54505</v>
      </c>
      <c r="B168" s="388" t="s">
        <v>79</v>
      </c>
      <c r="C168" s="365">
        <v>0</v>
      </c>
      <c r="D168" s="307">
        <v>0</v>
      </c>
      <c r="E168" s="307">
        <v>0</v>
      </c>
      <c r="F168" s="411">
        <v>0</v>
      </c>
      <c r="G168" s="403">
        <f t="shared" si="18"/>
        <v>0</v>
      </c>
      <c r="H168" s="171"/>
    </row>
    <row r="169" spans="1:8" hidden="1" x14ac:dyDescent="0.2">
      <c r="A169" s="396">
        <v>54507</v>
      </c>
      <c r="B169" s="388" t="s">
        <v>80</v>
      </c>
      <c r="C169" s="365">
        <v>0</v>
      </c>
      <c r="D169" s="307">
        <v>0</v>
      </c>
      <c r="E169" s="307">
        <v>0</v>
      </c>
      <c r="F169" s="411">
        <v>0</v>
      </c>
      <c r="G169" s="403">
        <f t="shared" si="18"/>
        <v>0</v>
      </c>
      <c r="H169" s="171"/>
    </row>
    <row r="170" spans="1:8" hidden="1" x14ac:dyDescent="0.2">
      <c r="A170" s="396">
        <v>54508</v>
      </c>
      <c r="B170" s="388" t="s">
        <v>81</v>
      </c>
      <c r="C170" s="365">
        <v>0</v>
      </c>
      <c r="D170" s="307">
        <v>0</v>
      </c>
      <c r="E170" s="307">
        <v>0</v>
      </c>
      <c r="F170" s="411">
        <v>0</v>
      </c>
      <c r="G170" s="403">
        <f t="shared" si="18"/>
        <v>0</v>
      </c>
      <c r="H170" s="171"/>
    </row>
    <row r="171" spans="1:8" hidden="1" x14ac:dyDescent="0.2">
      <c r="A171" s="396">
        <v>54599</v>
      </c>
      <c r="B171" s="388" t="s">
        <v>82</v>
      </c>
      <c r="C171" s="365">
        <v>0</v>
      </c>
      <c r="D171" s="307">
        <v>0</v>
      </c>
      <c r="E171" s="307">
        <v>0</v>
      </c>
      <c r="F171" s="411">
        <v>0</v>
      </c>
      <c r="G171" s="403">
        <f t="shared" si="18"/>
        <v>0</v>
      </c>
      <c r="H171" s="171"/>
    </row>
    <row r="172" spans="1:8" x14ac:dyDescent="0.2">
      <c r="A172" s="421" t="s">
        <v>484</v>
      </c>
      <c r="B172" s="388"/>
      <c r="C172" s="365"/>
      <c r="D172" s="307"/>
      <c r="E172" s="307"/>
      <c r="F172" s="411"/>
      <c r="G172" s="403"/>
      <c r="H172" s="171"/>
    </row>
    <row r="173" spans="1:8" x14ac:dyDescent="0.2">
      <c r="A173" s="395">
        <v>55</v>
      </c>
      <c r="B173" s="387" t="s">
        <v>83</v>
      </c>
      <c r="C173" s="364">
        <f>C174+C178+C180</f>
        <v>0</v>
      </c>
      <c r="D173" s="306">
        <f>D174+D178+D180</f>
        <v>150</v>
      </c>
      <c r="E173" s="306">
        <f>E174+E178+E180</f>
        <v>0</v>
      </c>
      <c r="F173" s="410">
        <f>F174+F178+F180</f>
        <v>0</v>
      </c>
      <c r="G173" s="405">
        <f>G174+G178+G180</f>
        <v>150</v>
      </c>
      <c r="H173" s="171"/>
    </row>
    <row r="174" spans="1:8" hidden="1" x14ac:dyDescent="0.2">
      <c r="A174" s="395">
        <v>553</v>
      </c>
      <c r="B174" s="387" t="s">
        <v>84</v>
      </c>
      <c r="C174" s="365">
        <v>0</v>
      </c>
      <c r="D174" s="307">
        <v>0</v>
      </c>
      <c r="E174" s="307">
        <v>0</v>
      </c>
      <c r="F174" s="411">
        <v>0</v>
      </c>
      <c r="G174" s="402">
        <f t="shared" si="18"/>
        <v>0</v>
      </c>
      <c r="H174" s="171"/>
    </row>
    <row r="175" spans="1:8" hidden="1" x14ac:dyDescent="0.2">
      <c r="A175" s="396">
        <v>55303</v>
      </c>
      <c r="B175" s="388" t="s">
        <v>85</v>
      </c>
      <c r="C175" s="365">
        <v>0</v>
      </c>
      <c r="D175" s="307">
        <v>0</v>
      </c>
      <c r="E175" s="307">
        <v>0</v>
      </c>
      <c r="F175" s="411">
        <v>0</v>
      </c>
      <c r="G175" s="403">
        <f t="shared" si="18"/>
        <v>0</v>
      </c>
      <c r="H175" s="171"/>
    </row>
    <row r="176" spans="1:8" hidden="1" x14ac:dyDescent="0.2">
      <c r="A176" s="396">
        <v>55304</v>
      </c>
      <c r="B176" s="388" t="s">
        <v>86</v>
      </c>
      <c r="C176" s="365">
        <v>0</v>
      </c>
      <c r="D176" s="307">
        <v>0</v>
      </c>
      <c r="E176" s="307">
        <v>0</v>
      </c>
      <c r="F176" s="411">
        <v>0</v>
      </c>
      <c r="G176" s="403">
        <f t="shared" si="18"/>
        <v>0</v>
      </c>
      <c r="H176" s="171"/>
    </row>
    <row r="177" spans="1:9" hidden="1" x14ac:dyDescent="0.2">
      <c r="A177" s="396">
        <v>55308</v>
      </c>
      <c r="B177" s="388" t="s">
        <v>87</v>
      </c>
      <c r="C177" s="365">
        <v>0</v>
      </c>
      <c r="D177" s="307">
        <v>0</v>
      </c>
      <c r="E177" s="307">
        <v>0</v>
      </c>
      <c r="F177" s="411">
        <v>0</v>
      </c>
      <c r="G177" s="403">
        <f t="shared" si="18"/>
        <v>0</v>
      </c>
      <c r="H177" s="171"/>
    </row>
    <row r="178" spans="1:9" s="241" customFormat="1" x14ac:dyDescent="0.2">
      <c r="A178" s="395">
        <v>555</v>
      </c>
      <c r="B178" s="387" t="s">
        <v>509</v>
      </c>
      <c r="C178" s="364">
        <f>C179</f>
        <v>0</v>
      </c>
      <c r="D178" s="306">
        <f>D179</f>
        <v>0</v>
      </c>
      <c r="E178" s="306">
        <f>E179</f>
        <v>0</v>
      </c>
      <c r="F178" s="410">
        <f>F179</f>
        <v>0</v>
      </c>
      <c r="G178" s="402">
        <f>+C178+D178+E178+F178</f>
        <v>0</v>
      </c>
      <c r="H178" s="244"/>
      <c r="I178" s="267"/>
    </row>
    <row r="179" spans="1:9" x14ac:dyDescent="0.2">
      <c r="A179" s="396">
        <v>55508</v>
      </c>
      <c r="B179" s="389" t="s">
        <v>340</v>
      </c>
      <c r="C179" s="365">
        <v>0</v>
      </c>
      <c r="D179" s="307">
        <v>0</v>
      </c>
      <c r="E179" s="307">
        <v>0</v>
      </c>
      <c r="F179" s="411">
        <v>0</v>
      </c>
      <c r="G179" s="406">
        <f>+C179+D179+E179+F179</f>
        <v>0</v>
      </c>
      <c r="H179" s="171"/>
    </row>
    <row r="180" spans="1:9" x14ac:dyDescent="0.2">
      <c r="A180" s="395">
        <v>556</v>
      </c>
      <c r="B180" s="387" t="s">
        <v>88</v>
      </c>
      <c r="C180" s="364">
        <f>SUM(C181:C183)</f>
        <v>0</v>
      </c>
      <c r="D180" s="306">
        <f>SUM(D181:D183)</f>
        <v>150</v>
      </c>
      <c r="E180" s="306">
        <v>0</v>
      </c>
      <c r="F180" s="410">
        <v>0</v>
      </c>
      <c r="G180" s="402">
        <f>+C180+D180+F180</f>
        <v>150</v>
      </c>
      <c r="H180" s="171"/>
    </row>
    <row r="181" spans="1:9" hidden="1" x14ac:dyDescent="0.2">
      <c r="A181" s="396">
        <v>55601</v>
      </c>
      <c r="B181" s="388" t="s">
        <v>89</v>
      </c>
      <c r="C181" s="365">
        <v>0</v>
      </c>
      <c r="D181" s="307">
        <v>0</v>
      </c>
      <c r="E181" s="307">
        <v>0</v>
      </c>
      <c r="F181" s="411">
        <v>0</v>
      </c>
      <c r="G181" s="403">
        <f t="shared" si="18"/>
        <v>0</v>
      </c>
      <c r="H181" s="171"/>
    </row>
    <row r="182" spans="1:9" hidden="1" x14ac:dyDescent="0.2">
      <c r="A182" s="396">
        <v>55602</v>
      </c>
      <c r="B182" s="388" t="s">
        <v>90</v>
      </c>
      <c r="C182" s="365">
        <v>0</v>
      </c>
      <c r="D182" s="307">
        <v>0</v>
      </c>
      <c r="E182" s="307">
        <v>0</v>
      </c>
      <c r="F182" s="411">
        <v>0</v>
      </c>
      <c r="G182" s="403">
        <f t="shared" si="18"/>
        <v>0</v>
      </c>
      <c r="H182" s="171"/>
    </row>
    <row r="183" spans="1:9" x14ac:dyDescent="0.2">
      <c r="A183" s="396">
        <v>55603</v>
      </c>
      <c r="B183" s="388" t="s">
        <v>91</v>
      </c>
      <c r="C183" s="365">
        <v>0</v>
      </c>
      <c r="D183" s="307">
        <v>150</v>
      </c>
      <c r="E183" s="307">
        <v>0</v>
      </c>
      <c r="F183" s="411">
        <v>0</v>
      </c>
      <c r="G183" s="403">
        <f>+C183+D183+F183</f>
        <v>150</v>
      </c>
      <c r="H183" s="171"/>
    </row>
    <row r="184" spans="1:9" hidden="1" x14ac:dyDescent="0.2">
      <c r="A184" s="395">
        <v>557</v>
      </c>
      <c r="B184" s="387" t="s">
        <v>92</v>
      </c>
      <c r="C184" s="364">
        <f>SUM(C185:C187)</f>
        <v>0</v>
      </c>
      <c r="D184" s="306">
        <f>SUM(D185:D187)</f>
        <v>0</v>
      </c>
      <c r="E184" s="306">
        <f>SUM(E185:E187)</f>
        <v>0</v>
      </c>
      <c r="F184" s="410">
        <f>SUM(F185:F187)</f>
        <v>0</v>
      </c>
      <c r="G184" s="402">
        <f t="shared" ref="G184:G195" si="19">+C184+F184</f>
        <v>0</v>
      </c>
      <c r="H184" s="171"/>
    </row>
    <row r="185" spans="1:9" hidden="1" x14ac:dyDescent="0.2">
      <c r="A185" s="396">
        <v>55701</v>
      </c>
      <c r="B185" s="388" t="s">
        <v>93</v>
      </c>
      <c r="C185" s="365">
        <v>0</v>
      </c>
      <c r="D185" s="307">
        <v>0</v>
      </c>
      <c r="E185" s="307">
        <v>0</v>
      </c>
      <c r="F185" s="411">
        <v>0</v>
      </c>
      <c r="G185" s="403">
        <f t="shared" si="19"/>
        <v>0</v>
      </c>
      <c r="H185" s="171"/>
    </row>
    <row r="186" spans="1:9" hidden="1" x14ac:dyDescent="0.2">
      <c r="A186" s="396">
        <v>55702</v>
      </c>
      <c r="B186" s="388" t="s">
        <v>94</v>
      </c>
      <c r="C186" s="365">
        <v>0</v>
      </c>
      <c r="D186" s="307">
        <v>0</v>
      </c>
      <c r="E186" s="307">
        <v>0</v>
      </c>
      <c r="F186" s="411">
        <v>0</v>
      </c>
      <c r="G186" s="403">
        <f t="shared" si="19"/>
        <v>0</v>
      </c>
      <c r="H186" s="171"/>
    </row>
    <row r="187" spans="1:9" hidden="1" x14ac:dyDescent="0.2">
      <c r="A187" s="396">
        <v>55799</v>
      </c>
      <c r="B187" s="388" t="s">
        <v>95</v>
      </c>
      <c r="C187" s="365">
        <v>0</v>
      </c>
      <c r="D187" s="307">
        <v>0</v>
      </c>
      <c r="E187" s="307">
        <v>0</v>
      </c>
      <c r="F187" s="411">
        <v>0</v>
      </c>
      <c r="G187" s="403">
        <f t="shared" si="19"/>
        <v>0</v>
      </c>
      <c r="H187" s="171"/>
    </row>
    <row r="188" spans="1:9" x14ac:dyDescent="0.2">
      <c r="A188" s="421" t="s">
        <v>484</v>
      </c>
      <c r="B188" s="388"/>
      <c r="C188" s="365"/>
      <c r="D188" s="307"/>
      <c r="E188" s="307"/>
      <c r="F188" s="411"/>
      <c r="G188" s="403"/>
      <c r="H188" s="171"/>
    </row>
    <row r="189" spans="1:9" x14ac:dyDescent="0.2">
      <c r="A189" s="395">
        <v>56</v>
      </c>
      <c r="B189" s="387" t="s">
        <v>96</v>
      </c>
      <c r="C189" s="364">
        <f>C190+C193</f>
        <v>2904.7229083333332</v>
      </c>
      <c r="D189" s="306">
        <f>D190+D193</f>
        <v>0</v>
      </c>
      <c r="E189" s="306">
        <v>0</v>
      </c>
      <c r="F189" s="410">
        <v>0</v>
      </c>
      <c r="G189" s="402">
        <f>+C189+F189</f>
        <v>2904.7229083333332</v>
      </c>
      <c r="H189" s="171"/>
    </row>
    <row r="190" spans="1:9" x14ac:dyDescent="0.2">
      <c r="A190" s="395">
        <v>562</v>
      </c>
      <c r="B190" s="387" t="s">
        <v>97</v>
      </c>
      <c r="C190" s="364">
        <f>C192</f>
        <v>1904.7229083333334</v>
      </c>
      <c r="D190" s="306">
        <f>SUM(D191:D192)</f>
        <v>0</v>
      </c>
      <c r="E190" s="306">
        <v>0</v>
      </c>
      <c r="F190" s="410">
        <v>0</v>
      </c>
      <c r="G190" s="402">
        <f t="shared" si="19"/>
        <v>1904.7229083333334</v>
      </c>
      <c r="H190" s="171"/>
    </row>
    <row r="191" spans="1:9" hidden="1" x14ac:dyDescent="0.2">
      <c r="A191" s="396">
        <v>56201</v>
      </c>
      <c r="B191" s="389" t="s">
        <v>531</v>
      </c>
      <c r="C191" s="365">
        <v>0</v>
      </c>
      <c r="D191" s="307">
        <v>0</v>
      </c>
      <c r="E191" s="307">
        <v>0</v>
      </c>
      <c r="F191" s="411">
        <v>0</v>
      </c>
      <c r="G191" s="403">
        <f t="shared" si="19"/>
        <v>0</v>
      </c>
      <c r="H191" s="171"/>
    </row>
    <row r="192" spans="1:9" x14ac:dyDescent="0.2">
      <c r="A192" s="396">
        <v>56201</v>
      </c>
      <c r="B192" s="389" t="s">
        <v>518</v>
      </c>
      <c r="C192" s="365">
        <f>('PLLA DIETAS'!I20/2)+(('PLLA MUNICIPAL LEY SAL'!P16/12)*7)+(('PLLA MUNICIPAL LEY SAL'!P23/12)*5)+(('PLLA MUNICIPAL LEY SAL'!P53/12)*10)+(('PLLA MUNICIPAL LEY SAL'!P73/12)*11)</f>
        <v>1904.7229083333334</v>
      </c>
      <c r="D192" s="307">
        <v>0</v>
      </c>
      <c r="E192" s="307">
        <v>0</v>
      </c>
      <c r="F192" s="411">
        <v>0</v>
      </c>
      <c r="G192" s="403">
        <f>+C192+F192</f>
        <v>1904.7229083333334</v>
      </c>
      <c r="H192" s="171"/>
    </row>
    <row r="193" spans="1:9" x14ac:dyDescent="0.2">
      <c r="A193" s="395">
        <v>563</v>
      </c>
      <c r="B193" s="387" t="s">
        <v>99</v>
      </c>
      <c r="C193" s="364">
        <f>SUM(C194:C195)</f>
        <v>1000</v>
      </c>
      <c r="D193" s="306">
        <f>SUM(D194:D195)</f>
        <v>0</v>
      </c>
      <c r="E193" s="306">
        <v>0</v>
      </c>
      <c r="F193" s="410">
        <v>0</v>
      </c>
      <c r="G193" s="402">
        <f t="shared" si="19"/>
        <v>1000</v>
      </c>
      <c r="H193" s="171"/>
    </row>
    <row r="194" spans="1:9" x14ac:dyDescent="0.2">
      <c r="A194" s="396">
        <v>56303</v>
      </c>
      <c r="B194" s="388" t="s">
        <v>98</v>
      </c>
      <c r="C194" s="365">
        <v>0</v>
      </c>
      <c r="D194" s="307">
        <v>0</v>
      </c>
      <c r="E194" s="307">
        <v>0</v>
      </c>
      <c r="F194" s="411">
        <v>0</v>
      </c>
      <c r="G194" s="403">
        <f t="shared" si="19"/>
        <v>0</v>
      </c>
      <c r="H194" s="171"/>
    </row>
    <row r="195" spans="1:9" s="2" customFormat="1" x14ac:dyDescent="0.2">
      <c r="A195" s="420">
        <v>56304</v>
      </c>
      <c r="B195" s="415" t="s">
        <v>109</v>
      </c>
      <c r="C195" s="365">
        <v>1000</v>
      </c>
      <c r="D195" s="307">
        <v>0</v>
      </c>
      <c r="E195" s="307">
        <v>0</v>
      </c>
      <c r="F195" s="411">
        <v>0</v>
      </c>
      <c r="G195" s="404">
        <f t="shared" si="19"/>
        <v>1000</v>
      </c>
      <c r="H195" s="171"/>
      <c r="I195" s="264"/>
    </row>
    <row r="196" spans="1:9" s="2" customFormat="1" x14ac:dyDescent="0.2">
      <c r="A196" s="420"/>
      <c r="B196" s="415"/>
      <c r="C196" s="365"/>
      <c r="D196" s="716"/>
      <c r="E196" s="716"/>
      <c r="F196" s="717"/>
      <c r="G196" s="379"/>
      <c r="H196" s="171"/>
      <c r="I196" s="264"/>
    </row>
    <row r="197" spans="1:9" s="133" customFormat="1" x14ac:dyDescent="0.2">
      <c r="A197" s="463">
        <v>72</v>
      </c>
      <c r="B197" s="455" t="s">
        <v>13</v>
      </c>
      <c r="C197" s="364">
        <f>C198</f>
        <v>15863.87</v>
      </c>
      <c r="D197" s="364">
        <f t="shared" ref="D197:G198" si="20">D198</f>
        <v>0</v>
      </c>
      <c r="E197" s="364">
        <f t="shared" si="20"/>
        <v>0</v>
      </c>
      <c r="F197" s="364">
        <f t="shared" si="20"/>
        <v>0</v>
      </c>
      <c r="G197" s="715">
        <f t="shared" si="20"/>
        <v>15863.87</v>
      </c>
      <c r="H197" s="244"/>
      <c r="I197" s="713"/>
    </row>
    <row r="198" spans="1:9" s="133" customFormat="1" x14ac:dyDescent="0.2">
      <c r="A198" s="463">
        <v>721</v>
      </c>
      <c r="B198" s="455" t="s">
        <v>182</v>
      </c>
      <c r="C198" s="364">
        <f>C199</f>
        <v>15863.87</v>
      </c>
      <c r="D198" s="364">
        <f t="shared" si="20"/>
        <v>0</v>
      </c>
      <c r="E198" s="364">
        <f t="shared" si="20"/>
        <v>0</v>
      </c>
      <c r="F198" s="364">
        <f t="shared" si="20"/>
        <v>0</v>
      </c>
      <c r="G198" s="715">
        <f t="shared" si="20"/>
        <v>15863.87</v>
      </c>
      <c r="H198" s="244"/>
      <c r="I198" s="713"/>
    </row>
    <row r="199" spans="1:9" s="2" customFormat="1" ht="13.5" thickBot="1" x14ac:dyDescent="0.25">
      <c r="A199" s="420">
        <v>72101</v>
      </c>
      <c r="B199" s="415" t="s">
        <v>182</v>
      </c>
      <c r="C199" s="365">
        <v>15863.87</v>
      </c>
      <c r="D199" s="307"/>
      <c r="E199" s="307"/>
      <c r="F199" s="411"/>
      <c r="G199" s="404">
        <f>C199+D199+E199+F199</f>
        <v>15863.87</v>
      </c>
      <c r="H199" s="171"/>
      <c r="I199" s="264"/>
    </row>
    <row r="200" spans="1:9" hidden="1" x14ac:dyDescent="0.2">
      <c r="A200" s="422" t="s">
        <v>162</v>
      </c>
      <c r="B200" s="416" t="s">
        <v>163</v>
      </c>
      <c r="C200" s="364">
        <f>C201</f>
        <v>0</v>
      </c>
      <c r="D200" s="306">
        <f t="shared" ref="D200:F201" si="21">D201</f>
        <v>0</v>
      </c>
      <c r="E200" s="306">
        <f t="shared" si="21"/>
        <v>0</v>
      </c>
      <c r="F200" s="410">
        <f t="shared" si="21"/>
        <v>0</v>
      </c>
      <c r="G200" s="402">
        <f>G201</f>
        <v>0</v>
      </c>
      <c r="H200" s="171"/>
    </row>
    <row r="201" spans="1:9" hidden="1" x14ac:dyDescent="0.2">
      <c r="A201" s="422" t="s">
        <v>256</v>
      </c>
      <c r="B201" s="417" t="s">
        <v>200</v>
      </c>
      <c r="C201" s="364">
        <f>C202</f>
        <v>0</v>
      </c>
      <c r="D201" s="306">
        <f t="shared" si="21"/>
        <v>0</v>
      </c>
      <c r="E201" s="306">
        <f t="shared" si="21"/>
        <v>0</v>
      </c>
      <c r="F201" s="410">
        <f t="shared" si="21"/>
        <v>0</v>
      </c>
      <c r="G201" s="402">
        <f>G202</f>
        <v>0</v>
      </c>
      <c r="H201" s="171"/>
    </row>
    <row r="202" spans="1:9" s="2" customFormat="1" ht="13.5" hidden="1" thickBot="1" x14ac:dyDescent="0.25">
      <c r="A202" s="423" t="s">
        <v>257</v>
      </c>
      <c r="B202" s="418" t="s">
        <v>258</v>
      </c>
      <c r="C202" s="366">
        <v>0</v>
      </c>
      <c r="D202" s="308">
        <v>0</v>
      </c>
      <c r="E202" s="308">
        <v>0</v>
      </c>
      <c r="F202" s="413">
        <v>0</v>
      </c>
      <c r="G202" s="407">
        <f>+C202+F202</f>
        <v>0</v>
      </c>
      <c r="H202" s="171"/>
      <c r="I202" s="264"/>
    </row>
    <row r="203" spans="1:9" ht="13.5" thickBot="1" x14ac:dyDescent="0.25">
      <c r="A203" s="424"/>
      <c r="B203" s="419" t="s">
        <v>25</v>
      </c>
      <c r="C203" s="312">
        <f>+C189+C173+C115+C197</f>
        <v>27768.592908333332</v>
      </c>
      <c r="D203" s="312">
        <f>+D189+D173+D115</f>
        <v>650</v>
      </c>
      <c r="E203" s="312">
        <f>+E189+E173+E115</f>
        <v>400</v>
      </c>
      <c r="F203" s="414">
        <f>+F189+F173+F115</f>
        <v>20033.09</v>
      </c>
      <c r="G203" s="408">
        <f>+G189+G173+G115+G200+G197</f>
        <v>48851.682908333336</v>
      </c>
      <c r="H203" s="183"/>
    </row>
    <row r="204" spans="1:9" x14ac:dyDescent="0.2">
      <c r="A204" s="1"/>
      <c r="B204" s="1"/>
    </row>
    <row r="205" spans="1:9" x14ac:dyDescent="0.2">
      <c r="A205" s="1"/>
      <c r="B205" s="1"/>
    </row>
    <row r="206" spans="1:9" x14ac:dyDescent="0.2">
      <c r="A206" s="1"/>
      <c r="B206" s="1"/>
    </row>
    <row r="207" spans="1:9" x14ac:dyDescent="0.2">
      <c r="A207" s="1"/>
      <c r="B207" s="1"/>
    </row>
    <row r="214" spans="1:9" x14ac:dyDescent="0.2">
      <c r="A214" s="1"/>
      <c r="B214" s="1"/>
    </row>
    <row r="215" spans="1:9" x14ac:dyDescent="0.2">
      <c r="A215" s="1"/>
      <c r="B215" s="1"/>
      <c r="H215" s="529"/>
      <c r="I215" s="530"/>
    </row>
    <row r="216" spans="1:9" x14ac:dyDescent="0.2">
      <c r="A216" s="1"/>
      <c r="B216" s="1"/>
    </row>
    <row r="217" spans="1:9" x14ac:dyDescent="0.2">
      <c r="A217" s="1"/>
      <c r="B217" s="1"/>
    </row>
    <row r="218" spans="1:9" x14ac:dyDescent="0.2">
      <c r="A218" s="1"/>
      <c r="B218" s="1"/>
    </row>
    <row r="219" spans="1:9" x14ac:dyDescent="0.2">
      <c r="A219" s="1"/>
      <c r="B219" s="1"/>
    </row>
    <row r="220" spans="1:9" x14ac:dyDescent="0.2">
      <c r="A220" s="1"/>
      <c r="B220" s="1"/>
    </row>
    <row r="221" spans="1:9" x14ac:dyDescent="0.2">
      <c r="A221" s="1"/>
      <c r="B221" s="1"/>
      <c r="C221"/>
      <c r="D221"/>
      <c r="E221"/>
      <c r="F221"/>
      <c r="G221"/>
      <c r="H221"/>
      <c r="I221"/>
    </row>
    <row r="222" spans="1:9" x14ac:dyDescent="0.2">
      <c r="A222" s="1"/>
      <c r="B222" s="1"/>
      <c r="C222"/>
      <c r="D222"/>
      <c r="E222"/>
      <c r="F222"/>
      <c r="G222"/>
      <c r="H222"/>
      <c r="I222"/>
    </row>
    <row r="223" spans="1:9" x14ac:dyDescent="0.2">
      <c r="A223" s="1"/>
      <c r="B223" s="1"/>
      <c r="C223"/>
      <c r="D223"/>
      <c r="E223"/>
      <c r="F223"/>
      <c r="G223"/>
      <c r="H223"/>
      <c r="I223"/>
    </row>
  </sheetData>
  <autoFilter ref="A112:G203">
    <filterColumn colId="2" showButton="0"/>
    <filterColumn colId="3" showButton="0"/>
    <filterColumn colId="4" showButton="0"/>
    <filterColumn colId="5" showButton="0"/>
  </autoFilter>
  <mergeCells count="26">
    <mergeCell ref="G113:G114"/>
    <mergeCell ref="E113:E114"/>
    <mergeCell ref="A110:G110"/>
    <mergeCell ref="A106:G106"/>
    <mergeCell ref="A107:G107"/>
    <mergeCell ref="A108:G108"/>
    <mergeCell ref="A109:G109"/>
    <mergeCell ref="A112:A114"/>
    <mergeCell ref="B112:B114"/>
    <mergeCell ref="C112:G112"/>
    <mergeCell ref="C113:C114"/>
    <mergeCell ref="D113:D114"/>
    <mergeCell ref="F113:F114"/>
    <mergeCell ref="A2:G2"/>
    <mergeCell ref="A3:G3"/>
    <mergeCell ref="A4:G4"/>
    <mergeCell ref="A5:G5"/>
    <mergeCell ref="G9:G10"/>
    <mergeCell ref="E9:E10"/>
    <mergeCell ref="A6:G6"/>
    <mergeCell ref="A8:A10"/>
    <mergeCell ref="B8:B10"/>
    <mergeCell ref="C8:G8"/>
    <mergeCell ref="C9:C10"/>
    <mergeCell ref="D9:D10"/>
    <mergeCell ref="F9:F10"/>
  </mergeCells>
  <phoneticPr fontId="6" type="noConversion"/>
  <printOptions horizontalCentered="1"/>
  <pageMargins left="0.51181102362204722" right="0.11811023622047245" top="0.43307086614173229" bottom="0.51181102362204722" header="0" footer="0"/>
  <pageSetup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M155"/>
  <sheetViews>
    <sheetView showGridLines="0" topLeftCell="A83" workbookViewId="0">
      <selection activeCell="K19" sqref="K19"/>
    </sheetView>
  </sheetViews>
  <sheetFormatPr baseColWidth="10" defaultRowHeight="12.75" x14ac:dyDescent="0.2"/>
  <cols>
    <col min="1" max="1" width="9.5703125" style="2" customWidth="1"/>
    <col min="2" max="2" width="35.5703125" style="2" customWidth="1"/>
    <col min="3" max="3" width="14.140625" style="278" customWidth="1"/>
    <col min="4" max="4" width="13.28515625" style="7" customWidth="1"/>
    <col min="5" max="5" width="12.28515625" style="2" hidden="1" customWidth="1"/>
    <col min="6" max="7" width="11.42578125" style="2" hidden="1" customWidth="1"/>
    <col min="8" max="8" width="13.28515625" style="2" customWidth="1"/>
    <col min="9" max="9" width="12.85546875" style="2" bestFit="1" customWidth="1"/>
    <col min="10" max="10" width="13.5703125" style="58" customWidth="1"/>
    <col min="11" max="11" width="11.42578125" style="58"/>
    <col min="12" max="12" width="3.85546875" style="58" customWidth="1"/>
    <col min="13" max="13" width="11.42578125" style="2"/>
    <col min="14" max="14" width="3.7109375" style="2" customWidth="1"/>
    <col min="15" max="16384" width="11.42578125" style="2"/>
  </cols>
  <sheetData>
    <row r="1" spans="1:9" x14ac:dyDescent="0.2">
      <c r="A1" s="1110" t="s">
        <v>110</v>
      </c>
      <c r="B1" s="1110"/>
      <c r="C1" s="1110"/>
      <c r="D1" s="1110"/>
      <c r="E1" s="1110"/>
      <c r="F1" s="1110"/>
      <c r="G1" s="1110"/>
      <c r="H1" s="1110"/>
    </row>
    <row r="2" spans="1:9" x14ac:dyDescent="0.2">
      <c r="A2" s="1110" t="s">
        <v>111</v>
      </c>
      <c r="B2" s="1110"/>
      <c r="C2" s="1110"/>
      <c r="D2" s="1110"/>
      <c r="E2" s="1110"/>
      <c r="F2" s="1110"/>
      <c r="G2" s="1110"/>
      <c r="H2" s="1110"/>
    </row>
    <row r="3" spans="1:9" x14ac:dyDescent="0.2">
      <c r="A3" s="1111" t="s">
        <v>632</v>
      </c>
      <c r="B3" s="1111"/>
      <c r="C3" s="1111"/>
      <c r="D3" s="1111"/>
      <c r="E3" s="1111"/>
      <c r="F3" s="1111"/>
      <c r="G3" s="1111"/>
      <c r="H3" s="1111"/>
    </row>
    <row r="4" spans="1:9" x14ac:dyDescent="0.2">
      <c r="A4" s="315"/>
      <c r="B4" s="316"/>
      <c r="C4" s="602"/>
      <c r="D4" s="316"/>
      <c r="E4" s="316"/>
      <c r="F4" s="316"/>
      <c r="G4" s="316"/>
      <c r="H4" s="316"/>
    </row>
    <row r="5" spans="1:9" x14ac:dyDescent="0.2">
      <c r="A5" s="700" t="s">
        <v>453</v>
      </c>
      <c r="B5" s="700"/>
      <c r="C5" s="700"/>
      <c r="D5" s="700"/>
      <c r="E5" s="700"/>
      <c r="F5" s="700"/>
      <c r="G5" s="700"/>
      <c r="H5" s="700"/>
    </row>
    <row r="6" spans="1:9" x14ac:dyDescent="0.2">
      <c r="A6" s="700" t="s">
        <v>681</v>
      </c>
      <c r="B6" s="700"/>
      <c r="C6" s="700"/>
      <c r="D6" s="700"/>
      <c r="E6" s="700"/>
      <c r="F6" s="700"/>
      <c r="G6" s="700"/>
      <c r="H6" s="700"/>
    </row>
    <row r="7" spans="1:9" x14ac:dyDescent="0.2">
      <c r="A7" s="700" t="s">
        <v>112</v>
      </c>
      <c r="B7" s="700"/>
      <c r="C7" s="700"/>
      <c r="D7" s="700"/>
      <c r="E7" s="700"/>
      <c r="F7" s="700"/>
      <c r="G7" s="700"/>
      <c r="H7" s="700"/>
    </row>
    <row r="8" spans="1:9" x14ac:dyDescent="0.2">
      <c r="A8" s="700" t="s">
        <v>113</v>
      </c>
      <c r="B8" s="700"/>
      <c r="C8" s="700"/>
      <c r="D8" s="700"/>
      <c r="E8" s="700"/>
      <c r="F8" s="700"/>
      <c r="G8" s="700"/>
      <c r="H8" s="700"/>
    </row>
    <row r="9" spans="1:9" ht="13.5" thickBot="1" x14ac:dyDescent="0.25">
      <c r="A9" s="701" t="s">
        <v>114</v>
      </c>
      <c r="B9" s="701"/>
      <c r="C9" s="701"/>
      <c r="D9" s="701"/>
      <c r="E9" s="701"/>
      <c r="F9" s="701"/>
      <c r="G9" s="701"/>
      <c r="H9" s="701"/>
    </row>
    <row r="10" spans="1:9" ht="13.5" thickBot="1" x14ac:dyDescent="0.25">
      <c r="A10" s="1106" t="s">
        <v>115</v>
      </c>
      <c r="B10" s="1106"/>
      <c r="C10" s="1047" t="s">
        <v>116</v>
      </c>
      <c r="D10" s="1109"/>
      <c r="E10" s="702"/>
      <c r="F10" s="702"/>
      <c r="G10" s="703"/>
      <c r="H10" s="1107" t="s">
        <v>25</v>
      </c>
    </row>
    <row r="11" spans="1:9" ht="23.25" thickBot="1" x14ac:dyDescent="0.25">
      <c r="A11" s="356" t="s">
        <v>117</v>
      </c>
      <c r="B11" s="670" t="s">
        <v>118</v>
      </c>
      <c r="C11" s="603" t="s">
        <v>119</v>
      </c>
      <c r="D11" s="446" t="s">
        <v>120</v>
      </c>
      <c r="E11" s="447" t="s">
        <v>2</v>
      </c>
      <c r="F11" s="447" t="s">
        <v>3</v>
      </c>
      <c r="G11" s="447" t="s">
        <v>121</v>
      </c>
      <c r="H11" s="1108"/>
    </row>
    <row r="12" spans="1:9" x14ac:dyDescent="0.2">
      <c r="A12" s="462">
        <v>51</v>
      </c>
      <c r="B12" s="448" t="s">
        <v>122</v>
      </c>
      <c r="C12" s="604">
        <f>C13+C20+C25+C28+C31+C34+C37+C40+C42</f>
        <v>165342.4909</v>
      </c>
      <c r="D12" s="671">
        <f>D13+D20+D25+D28+D31+D34+D37+D40+D42</f>
        <v>255997.92049999998</v>
      </c>
      <c r="E12" s="12"/>
      <c r="F12" s="12"/>
      <c r="G12" s="425"/>
      <c r="H12" s="437">
        <f>SUM(C12:G12)</f>
        <v>421340.41139999998</v>
      </c>
      <c r="I12" s="6"/>
    </row>
    <row r="13" spans="1:9" x14ac:dyDescent="0.2">
      <c r="A13" s="463">
        <v>511</v>
      </c>
      <c r="B13" s="449" t="s">
        <v>123</v>
      </c>
      <c r="C13" s="605">
        <f>SUM(C14:C19)</f>
        <v>142431.08000000002</v>
      </c>
      <c r="D13" s="672">
        <f>SUM(D14:D19)</f>
        <v>222109.35999999996</v>
      </c>
      <c r="E13" s="13"/>
      <c r="F13" s="13"/>
      <c r="G13" s="426"/>
      <c r="H13" s="438">
        <f t="shared" ref="H13:H43" si="0">SUM(C13:G13)</f>
        <v>364540.43999999994</v>
      </c>
      <c r="I13" s="6"/>
    </row>
    <row r="14" spans="1:9" x14ac:dyDescent="0.2">
      <c r="A14" s="464" t="s">
        <v>124</v>
      </c>
      <c r="B14" s="450" t="s">
        <v>125</v>
      </c>
      <c r="C14" s="606">
        <f>'PLLA MUNICIPAL LEY SAL'!H16*5+'PLLA MUNICIPAL LEY SAL'!H23*7+'PLLA MUNICIPAL LEY SAL'!H53*2+'PLLA MUNICIPAL LEY SAL'!H73*1</f>
        <v>78959.11</v>
      </c>
      <c r="D14" s="673">
        <f>'PLLA MUNICIPAL LEY SAL'!H16*7+'PLLA MUNICIPAL LEY SAL'!H23*5+'PLLA MUNICIPAL LEY SAL'!H53*10+'PLLA MUNICIPAL LEY SAL'!H73*11</f>
        <v>176064.52999999997</v>
      </c>
      <c r="E14" s="14"/>
      <c r="F14" s="14"/>
      <c r="G14" s="427"/>
      <c r="H14" s="439">
        <f t="shared" si="0"/>
        <v>255023.63999999996</v>
      </c>
      <c r="I14" s="53"/>
    </row>
    <row r="15" spans="1:9" hidden="1" x14ac:dyDescent="0.2">
      <c r="A15" s="420">
        <v>51102</v>
      </c>
      <c r="B15" s="451" t="s">
        <v>126</v>
      </c>
      <c r="C15" s="606">
        <v>0</v>
      </c>
      <c r="D15" s="673">
        <v>0</v>
      </c>
      <c r="E15" s="14"/>
      <c r="F15" s="14"/>
      <c r="G15" s="427"/>
      <c r="H15" s="439">
        <f t="shared" si="0"/>
        <v>0</v>
      </c>
      <c r="I15" s="6"/>
    </row>
    <row r="16" spans="1:9" x14ac:dyDescent="0.2">
      <c r="A16" s="420">
        <v>51103</v>
      </c>
      <c r="B16" s="450" t="s">
        <v>127</v>
      </c>
      <c r="C16" s="606">
        <f>'PLLA MUNICIPAL LEY SAL'!L76</f>
        <v>21251.97</v>
      </c>
      <c r="D16" s="673">
        <v>0</v>
      </c>
      <c r="E16" s="15"/>
      <c r="F16" s="15"/>
      <c r="G16" s="428"/>
      <c r="H16" s="439">
        <f t="shared" si="0"/>
        <v>21251.97</v>
      </c>
      <c r="I16" s="6"/>
    </row>
    <row r="17" spans="1:13" hidden="1" x14ac:dyDescent="0.2">
      <c r="A17" s="420">
        <v>51104</v>
      </c>
      <c r="B17" s="450" t="s">
        <v>128</v>
      </c>
      <c r="C17" s="606"/>
      <c r="D17" s="673"/>
      <c r="E17" s="14"/>
      <c r="F17" s="14"/>
      <c r="G17" s="427"/>
      <c r="H17" s="439">
        <f t="shared" si="0"/>
        <v>0</v>
      </c>
    </row>
    <row r="18" spans="1:13" x14ac:dyDescent="0.2">
      <c r="A18" s="464" t="s">
        <v>129</v>
      </c>
      <c r="B18" s="450" t="s">
        <v>130</v>
      </c>
      <c r="C18" s="606">
        <f>+'PLLA DIETAS'!E20/2</f>
        <v>36000</v>
      </c>
      <c r="D18" s="673">
        <f>C18</f>
        <v>36000</v>
      </c>
      <c r="E18" s="14"/>
      <c r="F18" s="14"/>
      <c r="G18" s="427"/>
      <c r="H18" s="439">
        <f t="shared" si="0"/>
        <v>72000</v>
      </c>
      <c r="I18" s="6"/>
    </row>
    <row r="19" spans="1:13" x14ac:dyDescent="0.2">
      <c r="A19" s="464" t="s">
        <v>131</v>
      </c>
      <c r="B19" s="450" t="s">
        <v>132</v>
      </c>
      <c r="C19" s="606">
        <f>'PLLA MUNICIPAL HONORARIOS'!K26+'PLLA DIETAS'!F20+220</f>
        <v>6220</v>
      </c>
      <c r="D19" s="1007">
        <f>'PLLA MUNICIPAL LEY SAL'!J76+'PLLA MUNICIPAL LEY SAL'!K76</f>
        <v>10044.83</v>
      </c>
      <c r="E19" s="15"/>
      <c r="F19" s="15"/>
      <c r="G19" s="428"/>
      <c r="H19" s="439">
        <f t="shared" si="0"/>
        <v>16264.83</v>
      </c>
      <c r="I19" s="6"/>
    </row>
    <row r="20" spans="1:13" hidden="1" x14ac:dyDescent="0.2">
      <c r="A20" s="422" t="s">
        <v>133</v>
      </c>
      <c r="B20" s="452" t="s">
        <v>134</v>
      </c>
      <c r="C20" s="605">
        <v>0</v>
      </c>
      <c r="D20" s="672">
        <v>0</v>
      </c>
      <c r="E20" s="9"/>
      <c r="F20" s="9"/>
      <c r="G20" s="429"/>
      <c r="H20" s="440">
        <f t="shared" si="0"/>
        <v>0</v>
      </c>
      <c r="I20" s="6"/>
    </row>
    <row r="21" spans="1:13" hidden="1" x14ac:dyDescent="0.2">
      <c r="A21" s="464" t="s">
        <v>135</v>
      </c>
      <c r="B21" s="450" t="s">
        <v>125</v>
      </c>
      <c r="C21" s="606">
        <v>0</v>
      </c>
      <c r="D21" s="673">
        <v>0</v>
      </c>
      <c r="E21" s="9"/>
      <c r="F21" s="9"/>
      <c r="G21" s="429"/>
      <c r="H21" s="439">
        <f t="shared" si="0"/>
        <v>0</v>
      </c>
    </row>
    <row r="22" spans="1:13" hidden="1" x14ac:dyDescent="0.2">
      <c r="A22" s="420">
        <v>51202</v>
      </c>
      <c r="B22" s="451" t="s">
        <v>136</v>
      </c>
      <c r="C22" s="606">
        <v>0</v>
      </c>
      <c r="D22" s="673">
        <v>0</v>
      </c>
      <c r="E22" s="10"/>
      <c r="F22" s="10"/>
      <c r="G22" s="430"/>
      <c r="H22" s="439">
        <f t="shared" si="0"/>
        <v>0</v>
      </c>
    </row>
    <row r="23" spans="1:13" hidden="1" x14ac:dyDescent="0.2">
      <c r="A23" s="464" t="s">
        <v>137</v>
      </c>
      <c r="B23" s="450" t="s">
        <v>127</v>
      </c>
      <c r="C23" s="606"/>
      <c r="D23" s="673"/>
      <c r="E23" s="14"/>
      <c r="F23" s="14"/>
      <c r="G23" s="427"/>
      <c r="H23" s="439">
        <f t="shared" si="0"/>
        <v>0</v>
      </c>
      <c r="M23" s="133"/>
    </row>
    <row r="24" spans="1:13" hidden="1" x14ac:dyDescent="0.2">
      <c r="A24" s="464" t="s">
        <v>138</v>
      </c>
      <c r="B24" s="450" t="s">
        <v>132</v>
      </c>
      <c r="C24" s="606"/>
      <c r="D24" s="673"/>
      <c r="E24" s="15"/>
      <c r="F24" s="15"/>
      <c r="G24" s="428"/>
      <c r="H24" s="439">
        <f t="shared" si="0"/>
        <v>0</v>
      </c>
    </row>
    <row r="25" spans="1:13" x14ac:dyDescent="0.2">
      <c r="A25" s="422" t="s">
        <v>139</v>
      </c>
      <c r="B25" s="453" t="s">
        <v>140</v>
      </c>
      <c r="C25" s="605">
        <f>SUM(C26:C27)</f>
        <v>150</v>
      </c>
      <c r="D25" s="672">
        <f>SUM(D26:D27)</f>
        <v>0</v>
      </c>
      <c r="E25" s="14"/>
      <c r="F25" s="14"/>
      <c r="G25" s="427"/>
      <c r="H25" s="440">
        <f t="shared" si="0"/>
        <v>150</v>
      </c>
      <c r="J25" s="735"/>
    </row>
    <row r="26" spans="1:13" x14ac:dyDescent="0.2">
      <c r="A26" s="420">
        <v>51301</v>
      </c>
      <c r="B26" s="451" t="s">
        <v>141</v>
      </c>
      <c r="C26" s="606">
        <v>150</v>
      </c>
      <c r="D26" s="673"/>
      <c r="E26" s="15"/>
      <c r="F26" s="15"/>
      <c r="G26" s="428"/>
      <c r="H26" s="439">
        <f t="shared" si="0"/>
        <v>150</v>
      </c>
      <c r="J26" s="735"/>
    </row>
    <row r="27" spans="1:13" hidden="1" x14ac:dyDescent="0.2">
      <c r="A27" s="420">
        <v>51302</v>
      </c>
      <c r="B27" s="451" t="s">
        <v>142</v>
      </c>
      <c r="C27" s="606"/>
      <c r="D27" s="673"/>
      <c r="E27" s="9"/>
      <c r="F27" s="9"/>
      <c r="G27" s="429"/>
      <c r="H27" s="439">
        <f t="shared" si="0"/>
        <v>0</v>
      </c>
      <c r="J27" s="735"/>
    </row>
    <row r="28" spans="1:13" ht="22.5" x14ac:dyDescent="0.2">
      <c r="A28" s="463">
        <v>514</v>
      </c>
      <c r="B28" s="453" t="s">
        <v>143</v>
      </c>
      <c r="C28" s="605">
        <f>SUM(C29:C30)</f>
        <v>6805.5704874999992</v>
      </c>
      <c r="D28" s="672">
        <f>SUM(D29:D30)</f>
        <v>14734.849362499999</v>
      </c>
      <c r="E28" s="9"/>
      <c r="F28" s="9"/>
      <c r="G28" s="429"/>
      <c r="H28" s="440">
        <f t="shared" si="0"/>
        <v>21540.419849999998</v>
      </c>
      <c r="I28" s="6"/>
      <c r="J28" s="735"/>
    </row>
    <row r="29" spans="1:13" x14ac:dyDescent="0.2">
      <c r="A29" s="464" t="s">
        <v>144</v>
      </c>
      <c r="B29" s="450" t="s">
        <v>145</v>
      </c>
      <c r="C29" s="606">
        <f>('PLLA DIETAS'!$H$20/2)+(('PLLA MUNICIPAL LEY SAL'!$O$16/12)*5)+(('PLLA MUNICIPAL LEY SAL'!$O$23/12)*7)+(('PLLA MUNICIPAL LEY SAL'!O53/12)*2)+(('PLLA MUNICIPAL LEY SAL'!O73/12)*1)+(('PLLA MUNICIPAL LEY SAL'!N73/12)*1)</f>
        <v>6805.5704874999992</v>
      </c>
      <c r="D29" s="673">
        <f>('PLLA DIETAS'!$H$20/2)+(('PLLA MUNICIPAL LEY SAL'!$O$16/12)*7)+(('PLLA MUNICIPAL LEY SAL'!$O$23/12)*5)+(('PLLA MUNICIPAL LEY SAL'!$O$53/12)*10)+(('PLLA MUNICIPAL LEY SAL'!$O$73/12)*11)+(('PLLA MUNICIPAL LEY SAL'!N76/12)*11)</f>
        <v>14734.849362499999</v>
      </c>
      <c r="E29" s="10"/>
      <c r="F29" s="10"/>
      <c r="G29" s="430"/>
      <c r="H29" s="439">
        <f t="shared" si="0"/>
        <v>21540.419849999998</v>
      </c>
      <c r="I29" s="6"/>
      <c r="J29" s="735"/>
      <c r="M29" s="16"/>
    </row>
    <row r="30" spans="1:13" hidden="1" x14ac:dyDescent="0.2">
      <c r="A30" s="464" t="s">
        <v>146</v>
      </c>
      <c r="B30" s="450" t="s">
        <v>147</v>
      </c>
      <c r="C30" s="606"/>
      <c r="D30" s="673"/>
      <c r="E30" s="9"/>
      <c r="F30" s="9"/>
      <c r="G30" s="429"/>
      <c r="H30" s="439">
        <f t="shared" si="0"/>
        <v>0</v>
      </c>
      <c r="J30" s="735"/>
    </row>
    <row r="31" spans="1:13" ht="22.5" x14ac:dyDescent="0.2">
      <c r="A31" s="463">
        <v>515</v>
      </c>
      <c r="B31" s="453" t="s">
        <v>148</v>
      </c>
      <c r="C31" s="605">
        <f>SUM(C32:C33)</f>
        <v>4987.5904124999997</v>
      </c>
      <c r="D31" s="672">
        <f>SUM(D32:D33)</f>
        <v>11198.711137499999</v>
      </c>
      <c r="E31" s="9"/>
      <c r="F31" s="9"/>
      <c r="G31" s="429"/>
      <c r="H31" s="441">
        <f t="shared" si="0"/>
        <v>16186.301549999998</v>
      </c>
      <c r="I31" s="6"/>
      <c r="J31" s="735"/>
    </row>
    <row r="32" spans="1:13" x14ac:dyDescent="0.2">
      <c r="A32" s="464" t="s">
        <v>149</v>
      </c>
      <c r="B32" s="450" t="s">
        <v>145</v>
      </c>
      <c r="C32" s="606">
        <f>(('PLLA MUNICIPAL LEY SAL'!$M$16/12)*5)+(('PLLA MUNICIPAL LEY SAL'!$M$23/12)*7)+(('PLLA MUNICIPAL LEY SAL'!M53/12)*2)+(('PLLA MUNICIPAL LEY SAL'!M73/12)*1)</f>
        <v>4987.5904124999997</v>
      </c>
      <c r="D32" s="673">
        <f>(('PLLA MUNICIPAL LEY SAL'!$M$16/12)*7)+(('PLLA MUNICIPAL LEY SAL'!$M$23/12)*5)+(('PLLA MUNICIPAL LEY SAL'!$M$53/12)*10)+(('PLLA MUNICIPAL LEY SAL'!$M$73/12)*11)</f>
        <v>11198.711137499999</v>
      </c>
      <c r="E32" s="15"/>
      <c r="F32" s="15"/>
      <c r="G32" s="428"/>
      <c r="H32" s="439">
        <f t="shared" si="0"/>
        <v>16186.301549999998</v>
      </c>
      <c r="I32" s="601"/>
      <c r="J32" s="735"/>
      <c r="M32" s="16"/>
    </row>
    <row r="33" spans="1:13" hidden="1" x14ac:dyDescent="0.2">
      <c r="A33" s="464" t="s">
        <v>150</v>
      </c>
      <c r="B33" s="450" t="s">
        <v>147</v>
      </c>
      <c r="C33" s="606"/>
      <c r="D33" s="673"/>
      <c r="E33" s="10"/>
      <c r="F33" s="10"/>
      <c r="G33" s="430"/>
      <c r="H33" s="439">
        <f t="shared" si="0"/>
        <v>0</v>
      </c>
      <c r="J33" s="735"/>
    </row>
    <row r="34" spans="1:13" x14ac:dyDescent="0.2">
      <c r="A34" s="422" t="s">
        <v>151</v>
      </c>
      <c r="B34" s="452" t="s">
        <v>152</v>
      </c>
      <c r="C34" s="605">
        <f>SUM(C35:C36)</f>
        <v>3600</v>
      </c>
      <c r="D34" s="672">
        <f>SUM(D35:D36)</f>
        <v>3600</v>
      </c>
      <c r="E34" s="9"/>
      <c r="F34" s="9"/>
      <c r="G34" s="429"/>
      <c r="H34" s="440">
        <f t="shared" si="0"/>
        <v>7200</v>
      </c>
      <c r="J34" s="735"/>
    </row>
    <row r="35" spans="1:13" x14ac:dyDescent="0.2">
      <c r="A35" s="420">
        <v>51601</v>
      </c>
      <c r="B35" s="451" t="s">
        <v>153</v>
      </c>
      <c r="C35" s="606">
        <f>600*6</f>
        <v>3600</v>
      </c>
      <c r="D35" s="673">
        <f>C35</f>
        <v>3600</v>
      </c>
      <c r="E35" s="9"/>
      <c r="F35" s="9"/>
      <c r="G35" s="429"/>
      <c r="H35" s="439">
        <f t="shared" si="0"/>
        <v>7200</v>
      </c>
      <c r="J35" s="735"/>
      <c r="M35" s="904"/>
    </row>
    <row r="36" spans="1:13" hidden="1" x14ac:dyDescent="0.2">
      <c r="A36" s="420">
        <v>51602</v>
      </c>
      <c r="B36" s="451" t="s">
        <v>154</v>
      </c>
      <c r="C36" s="606"/>
      <c r="D36" s="673"/>
      <c r="E36" s="9"/>
      <c r="F36" s="9"/>
      <c r="G36" s="429"/>
      <c r="H36" s="439">
        <f t="shared" si="0"/>
        <v>0</v>
      </c>
      <c r="J36" s="735"/>
    </row>
    <row r="37" spans="1:13" x14ac:dyDescent="0.2">
      <c r="A37" s="463">
        <v>517</v>
      </c>
      <c r="B37" s="454" t="s">
        <v>155</v>
      </c>
      <c r="C37" s="605">
        <f>SUM(C38:C39)</f>
        <v>1031.25</v>
      </c>
      <c r="D37" s="672">
        <f>SUM(D38:D39)</f>
        <v>0</v>
      </c>
      <c r="E37" s="9"/>
      <c r="F37" s="9"/>
      <c r="G37" s="429"/>
      <c r="H37" s="440">
        <f t="shared" si="0"/>
        <v>1031.25</v>
      </c>
    </row>
    <row r="38" spans="1:13" x14ac:dyDescent="0.2">
      <c r="A38" s="420">
        <v>51701</v>
      </c>
      <c r="B38" s="451" t="s">
        <v>156</v>
      </c>
      <c r="C38" s="606">
        <v>1031.25</v>
      </c>
      <c r="D38" s="673">
        <v>0</v>
      </c>
      <c r="E38" s="9"/>
      <c r="F38" s="9"/>
      <c r="G38" s="429"/>
      <c r="H38" s="439">
        <f t="shared" si="0"/>
        <v>1031.25</v>
      </c>
    </row>
    <row r="39" spans="1:13" hidden="1" x14ac:dyDescent="0.2">
      <c r="A39" s="420">
        <v>51702</v>
      </c>
      <c r="B39" s="451" t="s">
        <v>157</v>
      </c>
      <c r="C39" s="606"/>
      <c r="D39" s="673"/>
      <c r="E39" s="9"/>
      <c r="F39" s="9"/>
      <c r="G39" s="429"/>
      <c r="H39" s="439">
        <f t="shared" si="0"/>
        <v>0</v>
      </c>
    </row>
    <row r="40" spans="1:13" hidden="1" x14ac:dyDescent="0.2">
      <c r="A40" s="463">
        <v>518</v>
      </c>
      <c r="B40" s="453" t="s">
        <v>158</v>
      </c>
      <c r="C40" s="605">
        <f>SUM(C41:C41)</f>
        <v>0</v>
      </c>
      <c r="D40" s="672">
        <f>SUM(D41:D41)</f>
        <v>0</v>
      </c>
      <c r="E40" s="9"/>
      <c r="F40" s="9"/>
      <c r="G40" s="429"/>
      <c r="H40" s="439">
        <f t="shared" si="0"/>
        <v>0</v>
      </c>
    </row>
    <row r="41" spans="1:13" hidden="1" x14ac:dyDescent="0.2">
      <c r="A41" s="420">
        <v>51803</v>
      </c>
      <c r="B41" s="451" t="s">
        <v>159</v>
      </c>
      <c r="C41" s="606"/>
      <c r="D41" s="673"/>
      <c r="E41" s="9"/>
      <c r="F41" s="9"/>
      <c r="G41" s="429"/>
      <c r="H41" s="439">
        <f t="shared" si="0"/>
        <v>0</v>
      </c>
    </row>
    <row r="42" spans="1:13" x14ac:dyDescent="0.2">
      <c r="A42" s="463">
        <v>519</v>
      </c>
      <c r="B42" s="454" t="s">
        <v>160</v>
      </c>
      <c r="C42" s="605">
        <f>SUM(C43:C44)</f>
        <v>6337</v>
      </c>
      <c r="D42" s="672">
        <f>SUM(D43:D44)</f>
        <v>4355</v>
      </c>
      <c r="E42" s="9"/>
      <c r="F42" s="9"/>
      <c r="G42" s="429"/>
      <c r="H42" s="440">
        <f t="shared" si="0"/>
        <v>10692</v>
      </c>
    </row>
    <row r="43" spans="1:13" x14ac:dyDescent="0.2">
      <c r="A43" s="420">
        <v>51901</v>
      </c>
      <c r="B43" s="451" t="s">
        <v>161</v>
      </c>
      <c r="C43" s="606">
        <f>('PLLA MUNICIPAL HONORARIOS'!L7/12)*7+'PLLA MUNICIPAL HONORARIOS'!I8*2</f>
        <v>6337</v>
      </c>
      <c r="D43" s="606">
        <f>('PLLA MUNICIPAL HONORARIOS'!L7/12)*5+'PLLA MUNICIPAL HONORARIOS'!I8</f>
        <v>4355</v>
      </c>
      <c r="E43" s="9"/>
      <c r="F43" s="9"/>
      <c r="G43" s="429"/>
      <c r="H43" s="439">
        <f t="shared" si="0"/>
        <v>10692</v>
      </c>
      <c r="I43" s="6"/>
    </row>
    <row r="44" spans="1:13" x14ac:dyDescent="0.2">
      <c r="A44" s="420">
        <v>51999</v>
      </c>
      <c r="B44" s="451" t="s">
        <v>160</v>
      </c>
      <c r="C44" s="606">
        <v>0</v>
      </c>
      <c r="D44" s="673">
        <v>0</v>
      </c>
      <c r="E44" s="9"/>
      <c r="F44" s="9"/>
      <c r="G44" s="429"/>
      <c r="H44" s="439">
        <f t="shared" ref="H44:H76" si="1">SUM(C44:G44)</f>
        <v>0</v>
      </c>
      <c r="I44" s="6"/>
    </row>
    <row r="45" spans="1:13" x14ac:dyDescent="0.2">
      <c r="A45" s="420"/>
      <c r="B45" s="451"/>
      <c r="C45" s="606"/>
      <c r="D45" s="673"/>
      <c r="E45" s="9"/>
      <c r="F45" s="9"/>
      <c r="G45" s="429"/>
      <c r="H45" s="439"/>
      <c r="I45" s="6"/>
    </row>
    <row r="46" spans="1:13" x14ac:dyDescent="0.2">
      <c r="A46" s="463">
        <v>54</v>
      </c>
      <c r="B46" s="455" t="s">
        <v>27</v>
      </c>
      <c r="C46" s="607">
        <f>C47+C65+C71+C87+C92</f>
        <v>169492.59999999998</v>
      </c>
      <c r="D46" s="674">
        <f>D47+D65+D71+D87+D92</f>
        <v>29933.09</v>
      </c>
      <c r="E46" s="9"/>
      <c r="F46" s="9"/>
      <c r="G46" s="429"/>
      <c r="H46" s="440">
        <f t="shared" si="1"/>
        <v>199425.68999999997</v>
      </c>
      <c r="I46" s="6"/>
    </row>
    <row r="47" spans="1:13" x14ac:dyDescent="0.2">
      <c r="A47" s="463">
        <v>541</v>
      </c>
      <c r="B47" s="455" t="s">
        <v>28</v>
      </c>
      <c r="C47" s="607">
        <f>SUM(C48:C64)</f>
        <v>28150</v>
      </c>
      <c r="D47" s="674">
        <f>SUM(D48:D64)</f>
        <v>6530</v>
      </c>
      <c r="E47" s="9"/>
      <c r="F47" s="9"/>
      <c r="G47" s="429"/>
      <c r="H47" s="440">
        <f t="shared" si="1"/>
        <v>34680</v>
      </c>
      <c r="I47" s="6"/>
    </row>
    <row r="48" spans="1:13" x14ac:dyDescent="0.2">
      <c r="A48" s="420">
        <v>54101</v>
      </c>
      <c r="B48" s="415" t="s">
        <v>29</v>
      </c>
      <c r="C48" s="608">
        <f>'egresos 25% y F.P'!G13</f>
        <v>1500</v>
      </c>
      <c r="D48" s="675">
        <f>'egresos 25% y F.P'!G117</f>
        <v>150</v>
      </c>
      <c r="E48" s="9"/>
      <c r="F48" s="9"/>
      <c r="G48" s="429"/>
      <c r="H48" s="439">
        <f t="shared" si="1"/>
        <v>1650</v>
      </c>
      <c r="I48" s="6"/>
    </row>
    <row r="49" spans="1:9" x14ac:dyDescent="0.2">
      <c r="A49" s="420">
        <v>54104</v>
      </c>
      <c r="B49" s="415" t="s">
        <v>31</v>
      </c>
      <c r="C49" s="608">
        <f>'egresos 25% y F.P'!G15</f>
        <v>0</v>
      </c>
      <c r="D49" s="675">
        <f>'egresos 25% y F.P'!G119</f>
        <v>0</v>
      </c>
      <c r="E49" s="9"/>
      <c r="F49" s="9"/>
      <c r="G49" s="429"/>
      <c r="H49" s="439">
        <f t="shared" si="1"/>
        <v>0</v>
      </c>
      <c r="I49" s="6"/>
    </row>
    <row r="50" spans="1:9" x14ac:dyDescent="0.2">
      <c r="A50" s="420">
        <v>54105</v>
      </c>
      <c r="B50" s="415" t="s">
        <v>32</v>
      </c>
      <c r="C50" s="608">
        <f>'egresos 25% y F.P'!G16</f>
        <v>1800</v>
      </c>
      <c r="D50" s="675">
        <f>'egresos 25% y F.P'!G120</f>
        <v>300</v>
      </c>
      <c r="E50" s="9"/>
      <c r="F50" s="9"/>
      <c r="G50" s="429"/>
      <c r="H50" s="439">
        <f t="shared" si="1"/>
        <v>2100</v>
      </c>
      <c r="I50" s="6"/>
    </row>
    <row r="51" spans="1:9" x14ac:dyDescent="0.2">
      <c r="A51" s="420">
        <v>54107</v>
      </c>
      <c r="B51" s="415" t="s">
        <v>34</v>
      </c>
      <c r="C51" s="608">
        <f>'egresos 25% y F.P'!G18</f>
        <v>1500</v>
      </c>
      <c r="D51" s="675">
        <f>'egresos 25% y F.P'!G122</f>
        <v>630</v>
      </c>
      <c r="E51" s="10"/>
      <c r="F51" s="10"/>
      <c r="G51" s="430"/>
      <c r="H51" s="439">
        <f t="shared" si="1"/>
        <v>2130</v>
      </c>
      <c r="I51" s="16"/>
    </row>
    <row r="52" spans="1:9" x14ac:dyDescent="0.2">
      <c r="A52" s="420">
        <v>54108</v>
      </c>
      <c r="B52" s="415" t="s">
        <v>35</v>
      </c>
      <c r="C52" s="608">
        <v>0</v>
      </c>
      <c r="D52" s="675">
        <v>0</v>
      </c>
      <c r="E52" s="9"/>
      <c r="F52" s="9"/>
      <c r="G52" s="429"/>
      <c r="H52" s="439">
        <f t="shared" si="1"/>
        <v>0</v>
      </c>
    </row>
    <row r="53" spans="1:9" x14ac:dyDescent="0.2">
      <c r="A53" s="420">
        <v>54109</v>
      </c>
      <c r="B53" s="415" t="s">
        <v>36</v>
      </c>
      <c r="C53" s="608">
        <f>'egresos 25% y F.P'!G20</f>
        <v>1500</v>
      </c>
      <c r="D53" s="675">
        <f>'egresos 25% y F.P'!G124</f>
        <v>1000</v>
      </c>
      <c r="E53" s="9"/>
      <c r="F53" s="9"/>
      <c r="G53" s="429"/>
      <c r="H53" s="439">
        <f t="shared" si="1"/>
        <v>2500</v>
      </c>
      <c r="I53" s="16"/>
    </row>
    <row r="54" spans="1:9" x14ac:dyDescent="0.2">
      <c r="A54" s="420">
        <v>54110</v>
      </c>
      <c r="B54" s="415" t="s">
        <v>37</v>
      </c>
      <c r="C54" s="608">
        <f>'egresos 25% y F.P'!G21</f>
        <v>6500</v>
      </c>
      <c r="D54" s="675">
        <f>'egresos 25% y F.P'!G125</f>
        <v>1000</v>
      </c>
      <c r="E54" s="9"/>
      <c r="F54" s="9"/>
      <c r="G54" s="429"/>
      <c r="H54" s="439">
        <f t="shared" si="1"/>
        <v>7500</v>
      </c>
      <c r="I54" s="16"/>
    </row>
    <row r="55" spans="1:9" x14ac:dyDescent="0.2">
      <c r="A55" s="420">
        <v>54111</v>
      </c>
      <c r="B55" s="415" t="s">
        <v>38</v>
      </c>
      <c r="C55" s="608">
        <f>'egresos 25% y F.P'!G22</f>
        <v>100</v>
      </c>
      <c r="D55" s="675">
        <f>'egresos 25% y F.P'!G126</f>
        <v>100</v>
      </c>
      <c r="E55" s="9"/>
      <c r="F55" s="9"/>
      <c r="G55" s="429"/>
      <c r="H55" s="439">
        <f t="shared" si="1"/>
        <v>200</v>
      </c>
      <c r="I55" s="16"/>
    </row>
    <row r="56" spans="1:9" x14ac:dyDescent="0.2">
      <c r="A56" s="420">
        <v>54112</v>
      </c>
      <c r="B56" s="415" t="s">
        <v>39</v>
      </c>
      <c r="C56" s="608">
        <f>'egresos 25% y F.P'!G23</f>
        <v>100</v>
      </c>
      <c r="D56" s="675">
        <f>'egresos 25% y F.P'!G127</f>
        <v>100</v>
      </c>
      <c r="E56" s="10"/>
      <c r="F56" s="10"/>
      <c r="G56" s="430"/>
      <c r="H56" s="439">
        <f t="shared" si="1"/>
        <v>200</v>
      </c>
    </row>
    <row r="57" spans="1:9" x14ac:dyDescent="0.2">
      <c r="A57" s="420">
        <v>54114</v>
      </c>
      <c r="B57" s="415" t="s">
        <v>40</v>
      </c>
      <c r="C57" s="608">
        <f>'egresos 25% y F.P'!G24</f>
        <v>1200</v>
      </c>
      <c r="D57" s="675">
        <f>'egresos 25% y F.P'!G128</f>
        <v>450</v>
      </c>
      <c r="E57" s="9"/>
      <c r="F57" s="9"/>
      <c r="G57" s="429"/>
      <c r="H57" s="439">
        <f t="shared" si="1"/>
        <v>1650</v>
      </c>
      <c r="I57" s="16"/>
    </row>
    <row r="58" spans="1:9" x14ac:dyDescent="0.2">
      <c r="A58" s="420">
        <v>54115</v>
      </c>
      <c r="B58" s="415" t="s">
        <v>41</v>
      </c>
      <c r="C58" s="608">
        <f>'egresos 25% y F.P'!G25</f>
        <v>1550</v>
      </c>
      <c r="D58" s="675">
        <f>'egresos 25% y F.P'!G129</f>
        <v>450</v>
      </c>
      <c r="E58" s="9"/>
      <c r="F58" s="9"/>
      <c r="G58" s="429"/>
      <c r="H58" s="439">
        <f t="shared" si="1"/>
        <v>2000</v>
      </c>
      <c r="I58" s="6"/>
    </row>
    <row r="59" spans="1:9" ht="22.5" hidden="1" x14ac:dyDescent="0.2">
      <c r="A59" s="420">
        <v>54116</v>
      </c>
      <c r="B59" s="456" t="s">
        <v>42</v>
      </c>
      <c r="C59" s="608">
        <f>'egresos 25% y F.P'!G26</f>
        <v>0</v>
      </c>
      <c r="D59" s="675">
        <f>'egresos 25% y F.P'!G130</f>
        <v>0</v>
      </c>
      <c r="E59" s="9"/>
      <c r="F59" s="9"/>
      <c r="G59" s="429"/>
      <c r="H59" s="439">
        <f t="shared" si="1"/>
        <v>0</v>
      </c>
      <c r="I59" s="16"/>
    </row>
    <row r="60" spans="1:9" ht="22.5" hidden="1" x14ac:dyDescent="0.2">
      <c r="A60" s="420">
        <v>54117</v>
      </c>
      <c r="B60" s="456" t="s">
        <v>43</v>
      </c>
      <c r="C60" s="608"/>
      <c r="D60" s="675"/>
      <c r="E60" s="9"/>
      <c r="F60" s="9"/>
      <c r="G60" s="429"/>
      <c r="H60" s="439">
        <f t="shared" si="1"/>
        <v>0</v>
      </c>
    </row>
    <row r="61" spans="1:9" x14ac:dyDescent="0.2">
      <c r="A61" s="420">
        <v>54118</v>
      </c>
      <c r="B61" s="415" t="s">
        <v>44</v>
      </c>
      <c r="C61" s="608">
        <f>'egresos 25% y F.P'!G28</f>
        <v>2550</v>
      </c>
      <c r="D61" s="675">
        <f>'egresos 25% y F.P'!G132</f>
        <v>1050</v>
      </c>
      <c r="E61" s="9"/>
      <c r="F61" s="9"/>
      <c r="G61" s="429"/>
      <c r="H61" s="439">
        <f t="shared" si="1"/>
        <v>3600</v>
      </c>
      <c r="I61" s="16"/>
    </row>
    <row r="62" spans="1:9" x14ac:dyDescent="0.2">
      <c r="A62" s="420">
        <v>54119</v>
      </c>
      <c r="B62" s="415" t="s">
        <v>45</v>
      </c>
      <c r="C62" s="608">
        <f>'egresos 25% y F.P'!G29</f>
        <v>150</v>
      </c>
      <c r="D62" s="675">
        <f>'egresos 25% y F.P'!G133</f>
        <v>100</v>
      </c>
      <c r="E62" s="9"/>
      <c r="F62" s="9"/>
      <c r="G62" s="429"/>
      <c r="H62" s="439">
        <f t="shared" si="1"/>
        <v>250</v>
      </c>
      <c r="I62" s="16"/>
    </row>
    <row r="63" spans="1:9" x14ac:dyDescent="0.2">
      <c r="A63" s="420">
        <v>54121</v>
      </c>
      <c r="B63" s="415" t="s">
        <v>46</v>
      </c>
      <c r="C63" s="608">
        <f>'egresos 25% y F.P'!G30</f>
        <v>4000</v>
      </c>
      <c r="D63" s="675">
        <v>0</v>
      </c>
      <c r="E63" s="9"/>
      <c r="F63" s="9"/>
      <c r="G63" s="429"/>
      <c r="H63" s="439">
        <f t="shared" si="1"/>
        <v>4000</v>
      </c>
      <c r="I63" s="6"/>
    </row>
    <row r="64" spans="1:9" x14ac:dyDescent="0.2">
      <c r="A64" s="420">
        <v>54199</v>
      </c>
      <c r="B64" s="415" t="s">
        <v>47</v>
      </c>
      <c r="C64" s="608">
        <f>'egresos 25% y F.P'!G31</f>
        <v>5700</v>
      </c>
      <c r="D64" s="675">
        <f>'egresos 25% y F.P'!G135</f>
        <v>1200</v>
      </c>
      <c r="E64" s="9"/>
      <c r="F64" s="9"/>
      <c r="G64" s="429"/>
      <c r="H64" s="439">
        <f t="shared" si="1"/>
        <v>6900</v>
      </c>
      <c r="I64" s="16"/>
    </row>
    <row r="65" spans="1:9" x14ac:dyDescent="0.2">
      <c r="A65" s="463">
        <v>542</v>
      </c>
      <c r="B65" s="455" t="s">
        <v>48</v>
      </c>
      <c r="C65" s="607">
        <f>SUM(C66:C70)</f>
        <v>118897.59999999999</v>
      </c>
      <c r="D65" s="674">
        <f>SUM(D66:D70)</f>
        <v>15095.14</v>
      </c>
      <c r="E65" s="9"/>
      <c r="F65" s="9"/>
      <c r="G65" s="429"/>
      <c r="H65" s="440">
        <f t="shared" si="1"/>
        <v>133992.74</v>
      </c>
      <c r="I65" s="17"/>
    </row>
    <row r="66" spans="1:9" x14ac:dyDescent="0.2">
      <c r="A66" s="420">
        <v>54201</v>
      </c>
      <c r="B66" s="415" t="s">
        <v>49</v>
      </c>
      <c r="C66" s="608">
        <f>'egresos 25% y F.P'!G33</f>
        <v>96732.599999999991</v>
      </c>
      <c r="D66" s="675">
        <f>'egresos 25% y F.P'!G137</f>
        <v>10330.14</v>
      </c>
      <c r="E66" s="9"/>
      <c r="F66" s="9"/>
      <c r="G66" s="429"/>
      <c r="H66" s="439">
        <f t="shared" si="1"/>
        <v>107062.73999999999</v>
      </c>
    </row>
    <row r="67" spans="1:9" x14ac:dyDescent="0.2">
      <c r="A67" s="420">
        <v>54202</v>
      </c>
      <c r="B67" s="415" t="s">
        <v>50</v>
      </c>
      <c r="C67" s="608">
        <f>'egresos 25% y F.P'!G34</f>
        <v>550</v>
      </c>
      <c r="D67" s="675">
        <f>'egresos 25% y F.P'!G138</f>
        <v>150</v>
      </c>
      <c r="E67" s="9"/>
      <c r="F67" s="9"/>
      <c r="G67" s="429"/>
      <c r="H67" s="439">
        <f t="shared" si="1"/>
        <v>700</v>
      </c>
    </row>
    <row r="68" spans="1:9" x14ac:dyDescent="0.2">
      <c r="A68" s="420">
        <v>54203</v>
      </c>
      <c r="B68" s="415" t="s">
        <v>51</v>
      </c>
      <c r="C68" s="608">
        <f>'egresos 25% y F.P'!G35</f>
        <v>4615</v>
      </c>
      <c r="D68" s="675">
        <f>'egresos 25% y F.P'!G139</f>
        <v>1615</v>
      </c>
      <c r="E68" s="9"/>
      <c r="F68" s="9"/>
      <c r="G68" s="429"/>
      <c r="H68" s="439">
        <f t="shared" si="1"/>
        <v>6230</v>
      </c>
    </row>
    <row r="69" spans="1:9" hidden="1" x14ac:dyDescent="0.2">
      <c r="A69" s="420">
        <v>54204</v>
      </c>
      <c r="B69" s="415" t="s">
        <v>52</v>
      </c>
      <c r="C69" s="608"/>
      <c r="D69" s="675"/>
      <c r="E69" s="9"/>
      <c r="F69" s="9"/>
      <c r="G69" s="429"/>
      <c r="H69" s="439">
        <f t="shared" si="1"/>
        <v>0</v>
      </c>
    </row>
    <row r="70" spans="1:9" x14ac:dyDescent="0.2">
      <c r="A70" s="420">
        <v>54205</v>
      </c>
      <c r="B70" s="415" t="s">
        <v>53</v>
      </c>
      <c r="C70" s="608">
        <f>'egresos 25% y F.P'!G37</f>
        <v>17000</v>
      </c>
      <c r="D70" s="675">
        <f>'egresos 25% y F.P'!G141</f>
        <v>3000</v>
      </c>
      <c r="E70" s="10"/>
      <c r="F70" s="10"/>
      <c r="G70" s="430"/>
      <c r="H70" s="439">
        <f t="shared" si="1"/>
        <v>20000</v>
      </c>
      <c r="I70" s="58"/>
    </row>
    <row r="71" spans="1:9" x14ac:dyDescent="0.2">
      <c r="A71" s="465">
        <v>543</v>
      </c>
      <c r="B71" s="457" t="s">
        <v>54</v>
      </c>
      <c r="C71" s="609">
        <f>SUM(C72:C86)</f>
        <v>21525</v>
      </c>
      <c r="D71" s="676">
        <f>D72+D73+D75+D76+D83+D85+D86</f>
        <v>7827.95</v>
      </c>
      <c r="E71" s="262"/>
      <c r="F71" s="262"/>
      <c r="G71" s="431"/>
      <c r="H71" s="442">
        <f t="shared" si="1"/>
        <v>29352.95</v>
      </c>
      <c r="I71" s="6"/>
    </row>
    <row r="72" spans="1:9" ht="22.5" x14ac:dyDescent="0.2">
      <c r="A72" s="420">
        <v>54301</v>
      </c>
      <c r="B72" s="456" t="s">
        <v>55</v>
      </c>
      <c r="C72" s="608">
        <f>'egresos 25% y F.P'!G39</f>
        <v>650</v>
      </c>
      <c r="D72" s="675">
        <f>'egresos 25% y F.P'!G143</f>
        <v>377.95</v>
      </c>
      <c r="E72" s="9"/>
      <c r="F72" s="9"/>
      <c r="G72" s="429"/>
      <c r="H72" s="439">
        <f t="shared" si="1"/>
        <v>1027.95</v>
      </c>
    </row>
    <row r="73" spans="1:9" ht="22.5" x14ac:dyDescent="0.2">
      <c r="A73" s="420">
        <v>54302</v>
      </c>
      <c r="B73" s="456" t="s">
        <v>56</v>
      </c>
      <c r="C73" s="608">
        <f>'egresos 25% y F.P'!G40</f>
        <v>4500</v>
      </c>
      <c r="D73" s="675">
        <f>'egresos 25% y F.P'!G144</f>
        <v>1300</v>
      </c>
      <c r="E73" s="9"/>
      <c r="F73" s="9"/>
      <c r="G73" s="429"/>
      <c r="H73" s="439">
        <f t="shared" si="1"/>
        <v>5800</v>
      </c>
    </row>
    <row r="74" spans="1:9" ht="22.5" x14ac:dyDescent="0.2">
      <c r="A74" s="420">
        <v>54303</v>
      </c>
      <c r="B74" s="456" t="s">
        <v>57</v>
      </c>
      <c r="C74" s="608">
        <f>'egresos 25% y F.P'!G41</f>
        <v>0</v>
      </c>
      <c r="D74" s="675">
        <f>'egresos 25% y F.P'!G145</f>
        <v>0</v>
      </c>
      <c r="E74" s="9"/>
      <c r="F74" s="9"/>
      <c r="G74" s="429"/>
      <c r="H74" s="439">
        <f t="shared" si="1"/>
        <v>0</v>
      </c>
    </row>
    <row r="75" spans="1:9" x14ac:dyDescent="0.2">
      <c r="A75" s="420">
        <v>54304</v>
      </c>
      <c r="B75" s="415" t="s">
        <v>58</v>
      </c>
      <c r="C75" s="608">
        <f>'egresos 25% y F.P'!G42</f>
        <v>4000</v>
      </c>
      <c r="D75" s="675">
        <f>'egresos 25% y F.P'!G146</f>
        <v>1000</v>
      </c>
      <c r="E75" s="9"/>
      <c r="F75" s="9"/>
      <c r="G75" s="429"/>
      <c r="H75" s="439">
        <f t="shared" si="1"/>
        <v>5000</v>
      </c>
    </row>
    <row r="76" spans="1:9" x14ac:dyDescent="0.2">
      <c r="A76" s="420">
        <v>54305</v>
      </c>
      <c r="B76" s="415" t="s">
        <v>59</v>
      </c>
      <c r="C76" s="608">
        <f>'egresos 25% y F.P'!G43</f>
        <v>100</v>
      </c>
      <c r="D76" s="675">
        <f>'egresos 25% y F.P'!G147</f>
        <v>100</v>
      </c>
      <c r="E76" s="9"/>
      <c r="F76" s="9"/>
      <c r="G76" s="429"/>
      <c r="H76" s="439">
        <f t="shared" si="1"/>
        <v>200</v>
      </c>
    </row>
    <row r="77" spans="1:9" x14ac:dyDescent="0.2">
      <c r="A77" s="420">
        <v>54306</v>
      </c>
      <c r="B77" s="415" t="s">
        <v>60</v>
      </c>
      <c r="C77" s="608"/>
      <c r="D77" s="675"/>
      <c r="E77" s="9"/>
      <c r="F77" s="9"/>
      <c r="G77" s="429"/>
      <c r="H77" s="439">
        <f t="shared" ref="H77:H82" si="2">SUM(C77:G77)</f>
        <v>0</v>
      </c>
    </row>
    <row r="78" spans="1:9" hidden="1" x14ac:dyDescent="0.2">
      <c r="A78" s="420">
        <v>54307</v>
      </c>
      <c r="B78" s="415" t="s">
        <v>61</v>
      </c>
      <c r="C78" s="608">
        <f>'egresos 25% y F.P'!G45</f>
        <v>1500</v>
      </c>
      <c r="D78" s="675">
        <f>'egresos 25% y F.P'!G154</f>
        <v>0</v>
      </c>
      <c r="E78" s="10"/>
      <c r="F78" s="10"/>
      <c r="G78" s="430"/>
      <c r="H78" s="439">
        <f t="shared" si="2"/>
        <v>1500</v>
      </c>
      <c r="I78" s="6"/>
    </row>
    <row r="79" spans="1:9" hidden="1" x14ac:dyDescent="0.2">
      <c r="A79" s="420">
        <v>54309</v>
      </c>
      <c r="B79" s="415" t="s">
        <v>62</v>
      </c>
      <c r="C79" s="608"/>
      <c r="D79" s="675">
        <f>'egresos 25% y F.P'!G150</f>
        <v>0</v>
      </c>
      <c r="E79" s="10"/>
      <c r="F79" s="10"/>
      <c r="G79" s="430"/>
      <c r="H79" s="439">
        <f t="shared" si="2"/>
        <v>0</v>
      </c>
    </row>
    <row r="80" spans="1:9" hidden="1" x14ac:dyDescent="0.2">
      <c r="A80" s="420">
        <v>54310</v>
      </c>
      <c r="B80" s="415" t="s">
        <v>63</v>
      </c>
      <c r="C80" s="608"/>
      <c r="D80" s="675">
        <f>'egresos 25% y F.P'!G151</f>
        <v>0</v>
      </c>
      <c r="E80" s="9"/>
      <c r="F80" s="9"/>
      <c r="G80" s="429"/>
      <c r="H80" s="439">
        <f t="shared" si="2"/>
        <v>0</v>
      </c>
    </row>
    <row r="81" spans="1:9" hidden="1" x14ac:dyDescent="0.2">
      <c r="A81" s="420">
        <v>54311</v>
      </c>
      <c r="B81" s="415" t="s">
        <v>64</v>
      </c>
      <c r="C81" s="608"/>
      <c r="D81" s="675">
        <f>'egresos 25% y F.P'!G152</f>
        <v>0</v>
      </c>
      <c r="E81" s="9"/>
      <c r="F81" s="9"/>
      <c r="G81" s="429"/>
      <c r="H81" s="439">
        <f t="shared" si="2"/>
        <v>0</v>
      </c>
    </row>
    <row r="82" spans="1:9" ht="22.5" hidden="1" x14ac:dyDescent="0.2">
      <c r="A82" s="420">
        <v>54313</v>
      </c>
      <c r="B82" s="456" t="s">
        <v>65</v>
      </c>
      <c r="C82" s="608"/>
      <c r="D82" s="675">
        <f>'egresos 25% y F.P'!G153</f>
        <v>0</v>
      </c>
      <c r="E82" s="10"/>
      <c r="F82" s="10"/>
      <c r="G82" s="430"/>
      <c r="H82" s="439">
        <f t="shared" si="2"/>
        <v>0</v>
      </c>
    </row>
    <row r="83" spans="1:9" x14ac:dyDescent="0.2">
      <c r="A83" s="420">
        <v>54314</v>
      </c>
      <c r="B83" s="415" t="s">
        <v>66</v>
      </c>
      <c r="C83" s="608">
        <f>'egresos 25% y F.P'!G50</f>
        <v>6000</v>
      </c>
      <c r="D83" s="675">
        <f>'egresos 25% y F.P'!G155</f>
        <v>2000</v>
      </c>
      <c r="E83" s="9"/>
      <c r="F83" s="9"/>
      <c r="G83" s="429"/>
      <c r="H83" s="439">
        <f>+C83+D83</f>
        <v>8000</v>
      </c>
      <c r="I83" s="6"/>
    </row>
    <row r="84" spans="1:9" x14ac:dyDescent="0.2">
      <c r="A84" s="420">
        <v>54316</v>
      </c>
      <c r="B84" s="415" t="s">
        <v>67</v>
      </c>
      <c r="C84" s="608">
        <f>'egresos 25% y F.P'!G51</f>
        <v>0</v>
      </c>
      <c r="D84" s="675"/>
      <c r="E84" s="9"/>
      <c r="F84" s="9"/>
      <c r="G84" s="429"/>
      <c r="H84" s="439">
        <f t="shared" ref="H84:H105" si="3">SUM(C84:G84)</f>
        <v>0</v>
      </c>
    </row>
    <row r="85" spans="1:9" x14ac:dyDescent="0.2">
      <c r="A85" s="420">
        <v>54317</v>
      </c>
      <c r="B85" s="415" t="s">
        <v>68</v>
      </c>
      <c r="C85" s="608">
        <f>'egresos 25% y F.P'!G52</f>
        <v>2400</v>
      </c>
      <c r="D85" s="675">
        <f>'egresos 25% y F.P'!F157</f>
        <v>2400</v>
      </c>
      <c r="E85" s="10"/>
      <c r="F85" s="10"/>
      <c r="G85" s="430"/>
      <c r="H85" s="439">
        <f t="shared" si="3"/>
        <v>4800</v>
      </c>
    </row>
    <row r="86" spans="1:9" ht="22.5" x14ac:dyDescent="0.2">
      <c r="A86" s="420">
        <v>54399</v>
      </c>
      <c r="B86" s="456" t="s">
        <v>69</v>
      </c>
      <c r="C86" s="608">
        <f>'egresos 25% y F.P'!G53</f>
        <v>2375</v>
      </c>
      <c r="D86" s="675">
        <f>'egresos 25% y F.P'!G158</f>
        <v>650</v>
      </c>
      <c r="E86" s="10"/>
      <c r="F86" s="10"/>
      <c r="G86" s="430"/>
      <c r="H86" s="439">
        <f t="shared" si="3"/>
        <v>3025</v>
      </c>
    </row>
    <row r="87" spans="1:9" x14ac:dyDescent="0.2">
      <c r="A87" s="463">
        <v>544</v>
      </c>
      <c r="B87" s="455" t="s">
        <v>70</v>
      </c>
      <c r="C87" s="607">
        <f>SUM(C88:C91)</f>
        <v>620</v>
      </c>
      <c r="D87" s="674">
        <f>SUM(D88:D91)</f>
        <v>280</v>
      </c>
      <c r="E87" s="9"/>
      <c r="F87" s="9"/>
      <c r="G87" s="429"/>
      <c r="H87" s="440">
        <f t="shared" si="3"/>
        <v>900</v>
      </c>
      <c r="I87" s="6"/>
    </row>
    <row r="88" spans="1:9" x14ac:dyDescent="0.2">
      <c r="A88" s="420">
        <v>54401</v>
      </c>
      <c r="B88" s="415" t="s">
        <v>71</v>
      </c>
      <c r="C88" s="608">
        <f>'egresos 25% y F.P'!G55</f>
        <v>220</v>
      </c>
      <c r="D88" s="675">
        <f>'egresos 25% y F.P'!G160</f>
        <v>110</v>
      </c>
      <c r="E88" s="9"/>
      <c r="F88" s="9"/>
      <c r="G88" s="429"/>
      <c r="H88" s="439">
        <f t="shared" si="3"/>
        <v>330</v>
      </c>
    </row>
    <row r="89" spans="1:9" x14ac:dyDescent="0.2">
      <c r="A89" s="420">
        <v>54402</v>
      </c>
      <c r="B89" s="415" t="s">
        <v>72</v>
      </c>
      <c r="C89" s="608">
        <f>'egresos 25% y F.P'!G56</f>
        <v>0</v>
      </c>
      <c r="D89" s="675">
        <f>'egresos 25% y F.P'!G161</f>
        <v>0</v>
      </c>
      <c r="E89" s="9"/>
      <c r="F89" s="9"/>
      <c r="G89" s="429"/>
      <c r="H89" s="439">
        <f t="shared" si="3"/>
        <v>0</v>
      </c>
    </row>
    <row r="90" spans="1:9" x14ac:dyDescent="0.2">
      <c r="A90" s="420">
        <v>54403</v>
      </c>
      <c r="B90" s="415" t="s">
        <v>73</v>
      </c>
      <c r="C90" s="608">
        <f>'egresos 25% y F.P'!G57</f>
        <v>400</v>
      </c>
      <c r="D90" s="675">
        <f>'egresos 25% y F.P'!G162</f>
        <v>170</v>
      </c>
      <c r="E90" s="9"/>
      <c r="F90" s="9"/>
      <c r="G90" s="429"/>
      <c r="H90" s="439">
        <f t="shared" si="3"/>
        <v>570</v>
      </c>
    </row>
    <row r="91" spans="1:9" x14ac:dyDescent="0.2">
      <c r="A91" s="420">
        <v>54404</v>
      </c>
      <c r="B91" s="415" t="s">
        <v>74</v>
      </c>
      <c r="C91" s="608">
        <f>'egresos 25% y F.P'!G58</f>
        <v>0</v>
      </c>
      <c r="D91" s="675">
        <f>'egresos 25% y F.P'!G163</f>
        <v>0</v>
      </c>
      <c r="E91" s="9"/>
      <c r="F91" s="9"/>
      <c r="G91" s="429"/>
      <c r="H91" s="439">
        <f t="shared" si="3"/>
        <v>0</v>
      </c>
    </row>
    <row r="92" spans="1:9" ht="22.5" x14ac:dyDescent="0.2">
      <c r="A92" s="463">
        <v>545</v>
      </c>
      <c r="B92" s="453" t="s">
        <v>75</v>
      </c>
      <c r="C92" s="607">
        <f>SUM(C93:C99)</f>
        <v>300</v>
      </c>
      <c r="D92" s="674">
        <f>SUM(D93:D99)</f>
        <v>200</v>
      </c>
      <c r="E92" s="10"/>
      <c r="F92" s="10"/>
      <c r="G92" s="430"/>
      <c r="H92" s="440">
        <f t="shared" si="3"/>
        <v>500</v>
      </c>
    </row>
    <row r="93" spans="1:9" hidden="1" x14ac:dyDescent="0.2">
      <c r="A93" s="420">
        <v>54501</v>
      </c>
      <c r="B93" s="415" t="s">
        <v>76</v>
      </c>
      <c r="C93" s="608"/>
      <c r="D93" s="675"/>
      <c r="E93" s="10"/>
      <c r="F93" s="10"/>
      <c r="G93" s="430"/>
      <c r="H93" s="439">
        <f t="shared" si="3"/>
        <v>0</v>
      </c>
    </row>
    <row r="94" spans="1:9" x14ac:dyDescent="0.2">
      <c r="A94" s="420">
        <v>54503</v>
      </c>
      <c r="B94" s="415" t="s">
        <v>77</v>
      </c>
      <c r="C94" s="608">
        <f>+'egresos 25% y F.P'!C61</f>
        <v>300</v>
      </c>
      <c r="D94" s="675">
        <f>+'egresos 25% y F.P'!G166</f>
        <v>200</v>
      </c>
      <c r="E94" s="9"/>
      <c r="F94" s="9"/>
      <c r="G94" s="429"/>
      <c r="H94" s="439">
        <f t="shared" si="3"/>
        <v>500</v>
      </c>
    </row>
    <row r="95" spans="1:9" hidden="1" x14ac:dyDescent="0.2">
      <c r="A95" s="420">
        <v>54504</v>
      </c>
      <c r="B95" s="415" t="s">
        <v>78</v>
      </c>
      <c r="C95" s="608"/>
      <c r="D95" s="675"/>
      <c r="E95" s="9"/>
      <c r="F95" s="9"/>
      <c r="G95" s="429"/>
      <c r="H95" s="439">
        <f t="shared" si="3"/>
        <v>0</v>
      </c>
    </row>
    <row r="96" spans="1:9" hidden="1" x14ac:dyDescent="0.2">
      <c r="A96" s="420">
        <v>54505</v>
      </c>
      <c r="B96" s="415" t="s">
        <v>79</v>
      </c>
      <c r="C96" s="608"/>
      <c r="D96" s="675"/>
      <c r="E96" s="10"/>
      <c r="F96" s="10"/>
      <c r="G96" s="430"/>
      <c r="H96" s="439">
        <f t="shared" si="3"/>
        <v>0</v>
      </c>
    </row>
    <row r="97" spans="1:12" hidden="1" x14ac:dyDescent="0.2">
      <c r="A97" s="420">
        <v>54507</v>
      </c>
      <c r="B97" s="415" t="s">
        <v>80</v>
      </c>
      <c r="C97" s="608"/>
      <c r="D97" s="675"/>
      <c r="E97" s="10"/>
      <c r="F97" s="10"/>
      <c r="G97" s="430"/>
      <c r="H97" s="439">
        <f t="shared" si="3"/>
        <v>0</v>
      </c>
    </row>
    <row r="98" spans="1:12" hidden="1" x14ac:dyDescent="0.2">
      <c r="A98" s="420">
        <v>54508</v>
      </c>
      <c r="B98" s="415" t="s">
        <v>81</v>
      </c>
      <c r="C98" s="608"/>
      <c r="D98" s="675"/>
      <c r="E98" s="9"/>
      <c r="F98" s="9"/>
      <c r="G98" s="429"/>
      <c r="H98" s="439">
        <f t="shared" si="3"/>
        <v>0</v>
      </c>
    </row>
    <row r="99" spans="1:12" ht="22.5" x14ac:dyDescent="0.2">
      <c r="A99" s="420">
        <v>54599</v>
      </c>
      <c r="B99" s="456" t="s">
        <v>82</v>
      </c>
      <c r="C99" s="608"/>
      <c r="D99" s="675"/>
      <c r="E99" s="18"/>
      <c r="F99" s="18"/>
      <c r="G99" s="432"/>
      <c r="H99" s="439">
        <f t="shared" si="3"/>
        <v>0</v>
      </c>
    </row>
    <row r="100" spans="1:12" x14ac:dyDescent="0.2">
      <c r="A100" s="420"/>
      <c r="B100" s="456"/>
      <c r="C100" s="611"/>
      <c r="D100" s="675"/>
      <c r="E100" s="18"/>
      <c r="F100" s="18"/>
      <c r="G100" s="432"/>
      <c r="H100" s="439"/>
    </row>
    <row r="101" spans="1:12" x14ac:dyDescent="0.2">
      <c r="A101" s="463">
        <v>55</v>
      </c>
      <c r="B101" s="455" t="s">
        <v>83</v>
      </c>
      <c r="C101" s="610">
        <f>C108+C106</f>
        <v>3161.52</v>
      </c>
      <c r="D101" s="674">
        <f>D108+D106</f>
        <v>150</v>
      </c>
      <c r="E101" s="11"/>
      <c r="F101" s="11"/>
      <c r="G101" s="433"/>
      <c r="H101" s="440">
        <f t="shared" si="3"/>
        <v>3311.52</v>
      </c>
      <c r="I101" s="19"/>
    </row>
    <row r="102" spans="1:12" ht="22.5" hidden="1" x14ac:dyDescent="0.2">
      <c r="A102" s="463">
        <v>553</v>
      </c>
      <c r="B102" s="453" t="s">
        <v>84</v>
      </c>
      <c r="C102" s="610">
        <f>SUM(C103:C105)</f>
        <v>0</v>
      </c>
      <c r="D102" s="674">
        <f>SUM(D103:D105)</f>
        <v>0</v>
      </c>
      <c r="E102" s="11"/>
      <c r="F102" s="11"/>
      <c r="G102" s="433"/>
      <c r="H102" s="440">
        <f t="shared" si="3"/>
        <v>0</v>
      </c>
    </row>
    <row r="103" spans="1:12" hidden="1" x14ac:dyDescent="0.2">
      <c r="A103" s="420">
        <v>55303</v>
      </c>
      <c r="B103" s="415" t="s">
        <v>85</v>
      </c>
      <c r="C103" s="611"/>
      <c r="D103" s="675"/>
      <c r="E103" s="11"/>
      <c r="F103" s="11"/>
      <c r="G103" s="433"/>
      <c r="H103" s="439">
        <f t="shared" si="3"/>
        <v>0</v>
      </c>
    </row>
    <row r="104" spans="1:12" hidden="1" x14ac:dyDescent="0.2">
      <c r="A104" s="420">
        <v>55304</v>
      </c>
      <c r="B104" s="415" t="s">
        <v>86</v>
      </c>
      <c r="C104" s="611"/>
      <c r="D104" s="675"/>
      <c r="E104" s="11"/>
      <c r="F104" s="11"/>
      <c r="G104" s="433"/>
      <c r="H104" s="439">
        <f t="shared" si="3"/>
        <v>0</v>
      </c>
    </row>
    <row r="105" spans="1:12" hidden="1" x14ac:dyDescent="0.2">
      <c r="A105" s="420">
        <v>55308</v>
      </c>
      <c r="B105" s="415" t="s">
        <v>87</v>
      </c>
      <c r="C105" s="611"/>
      <c r="D105" s="675"/>
      <c r="E105" s="11"/>
      <c r="F105" s="11"/>
      <c r="G105" s="433"/>
      <c r="H105" s="439">
        <f t="shared" si="3"/>
        <v>0</v>
      </c>
    </row>
    <row r="106" spans="1:12" s="241" customFormat="1" x14ac:dyDescent="0.2">
      <c r="A106" s="463">
        <v>555</v>
      </c>
      <c r="B106" s="455" t="s">
        <v>509</v>
      </c>
      <c r="C106" s="610">
        <f>C107</f>
        <v>115.44</v>
      </c>
      <c r="D106" s="674">
        <f>D107</f>
        <v>0</v>
      </c>
      <c r="E106" s="11">
        <f>E107</f>
        <v>0</v>
      </c>
      <c r="F106" s="11">
        <f>F107</f>
        <v>0</v>
      </c>
      <c r="G106" s="433">
        <f>+C106+D106+E106+F106</f>
        <v>115.44</v>
      </c>
      <c r="H106" s="440">
        <f>SUM(C106:C106)</f>
        <v>115.44</v>
      </c>
      <c r="J106" s="903"/>
      <c r="K106" s="903"/>
      <c r="L106" s="903"/>
    </row>
    <row r="107" spans="1:12" customFormat="1" x14ac:dyDescent="0.2">
      <c r="A107" s="420">
        <v>55508</v>
      </c>
      <c r="B107" s="415" t="s">
        <v>340</v>
      </c>
      <c r="C107" s="608">
        <f>+'egresos 25% y F.P'!G74</f>
        <v>115.44</v>
      </c>
      <c r="D107" s="677">
        <f>+'egresos 25% y F.P'!G179</f>
        <v>0</v>
      </c>
      <c r="E107" s="11"/>
      <c r="F107" s="11"/>
      <c r="G107" s="433">
        <f>+C107+D107+E107+F107</f>
        <v>115.44</v>
      </c>
      <c r="H107" s="439">
        <f>SUM(C107:C107)</f>
        <v>115.44</v>
      </c>
      <c r="J107" s="62"/>
      <c r="K107" s="62"/>
      <c r="L107" s="62"/>
    </row>
    <row r="108" spans="1:12" x14ac:dyDescent="0.2">
      <c r="A108" s="463">
        <v>556</v>
      </c>
      <c r="B108" s="455" t="s">
        <v>88</v>
      </c>
      <c r="C108" s="607">
        <f>SUM(C109:C111)</f>
        <v>3046.08</v>
      </c>
      <c r="D108" s="674">
        <f>SUM(D109:D111)</f>
        <v>150</v>
      </c>
      <c r="E108" s="11"/>
      <c r="F108" s="11"/>
      <c r="G108" s="433"/>
      <c r="H108" s="440">
        <f t="shared" ref="H108:H115" si="4">SUM(C108:G108)</f>
        <v>3196.08</v>
      </c>
    </row>
    <row r="109" spans="1:12" x14ac:dyDescent="0.2">
      <c r="A109" s="420">
        <v>55601</v>
      </c>
      <c r="B109" s="415" t="s">
        <v>89</v>
      </c>
      <c r="C109" s="608">
        <f>'egresos 25% y F.P'!G76</f>
        <v>169.52</v>
      </c>
      <c r="D109" s="675">
        <v>0</v>
      </c>
      <c r="E109" s="11"/>
      <c r="F109" s="11"/>
      <c r="G109" s="433"/>
      <c r="H109" s="439">
        <f t="shared" si="4"/>
        <v>169.52</v>
      </c>
    </row>
    <row r="110" spans="1:12" x14ac:dyDescent="0.2">
      <c r="A110" s="420">
        <v>55602</v>
      </c>
      <c r="B110" s="415" t="s">
        <v>90</v>
      </c>
      <c r="C110" s="608">
        <f>'egresos 25% y F.P'!G77</f>
        <v>2776.56</v>
      </c>
      <c r="D110" s="675">
        <v>0</v>
      </c>
      <c r="E110" s="11"/>
      <c r="F110" s="11"/>
      <c r="G110" s="433"/>
      <c r="H110" s="439">
        <f t="shared" si="4"/>
        <v>2776.56</v>
      </c>
      <c r="I110" s="6"/>
    </row>
    <row r="111" spans="1:12" x14ac:dyDescent="0.2">
      <c r="A111" s="420">
        <v>55603</v>
      </c>
      <c r="B111" s="415" t="s">
        <v>91</v>
      </c>
      <c r="C111" s="608">
        <f>+'egresos 25% y F.P'!G78</f>
        <v>100</v>
      </c>
      <c r="D111" s="675">
        <f>'egresos 25% y F.P'!G183</f>
        <v>150</v>
      </c>
      <c r="E111" s="11"/>
      <c r="F111" s="11"/>
      <c r="G111" s="433"/>
      <c r="H111" s="439">
        <f t="shared" si="4"/>
        <v>250</v>
      </c>
      <c r="I111" s="6"/>
    </row>
    <row r="112" spans="1:12" hidden="1" x14ac:dyDescent="0.2">
      <c r="A112" s="463">
        <v>557</v>
      </c>
      <c r="B112" s="455" t="s">
        <v>92</v>
      </c>
      <c r="C112" s="607">
        <f>SUM(C113:C115)</f>
        <v>0</v>
      </c>
      <c r="D112" s="674">
        <f>SUM(D113:D115)</f>
        <v>0</v>
      </c>
      <c r="E112" s="11"/>
      <c r="F112" s="11"/>
      <c r="G112" s="433"/>
      <c r="H112" s="440">
        <f t="shared" si="4"/>
        <v>0</v>
      </c>
    </row>
    <row r="113" spans="1:9" hidden="1" x14ac:dyDescent="0.2">
      <c r="A113" s="420">
        <v>55701</v>
      </c>
      <c r="B113" s="415" t="s">
        <v>93</v>
      </c>
      <c r="C113" s="608">
        <v>0</v>
      </c>
      <c r="D113" s="675">
        <v>0</v>
      </c>
      <c r="E113" s="11"/>
      <c r="F113" s="11"/>
      <c r="G113" s="433"/>
      <c r="H113" s="439">
        <f t="shared" si="4"/>
        <v>0</v>
      </c>
    </row>
    <row r="114" spans="1:9" hidden="1" x14ac:dyDescent="0.2">
      <c r="A114" s="420">
        <v>55702</v>
      </c>
      <c r="B114" s="415" t="s">
        <v>94</v>
      </c>
      <c r="C114" s="608">
        <v>0</v>
      </c>
      <c r="D114" s="675">
        <v>0</v>
      </c>
      <c r="E114" s="11"/>
      <c r="F114" s="11"/>
      <c r="G114" s="433"/>
      <c r="H114" s="439">
        <f t="shared" si="4"/>
        <v>0</v>
      </c>
    </row>
    <row r="115" spans="1:9" hidden="1" x14ac:dyDescent="0.2">
      <c r="A115" s="420">
        <v>55799</v>
      </c>
      <c r="B115" s="415" t="s">
        <v>95</v>
      </c>
      <c r="C115" s="608">
        <v>0</v>
      </c>
      <c r="D115" s="675">
        <v>0</v>
      </c>
      <c r="E115" s="11"/>
      <c r="F115" s="11"/>
      <c r="G115" s="433"/>
      <c r="H115" s="439">
        <f t="shared" si="4"/>
        <v>0</v>
      </c>
      <c r="I115" s="6"/>
    </row>
    <row r="116" spans="1:9" hidden="1" x14ac:dyDescent="0.2">
      <c r="A116" s="420"/>
      <c r="B116" s="415"/>
      <c r="C116" s="608"/>
      <c r="D116" s="675"/>
      <c r="E116" s="11"/>
      <c r="F116" s="11"/>
      <c r="G116" s="433"/>
      <c r="H116" s="439"/>
    </row>
    <row r="117" spans="1:9" x14ac:dyDescent="0.2">
      <c r="A117" s="420"/>
      <c r="B117" s="415"/>
      <c r="C117" s="608"/>
      <c r="D117" s="675"/>
      <c r="E117" s="11"/>
      <c r="F117" s="11"/>
      <c r="G117" s="433"/>
      <c r="H117" s="439"/>
    </row>
    <row r="118" spans="1:9" x14ac:dyDescent="0.2">
      <c r="A118" s="463">
        <v>56</v>
      </c>
      <c r="B118" s="455" t="s">
        <v>96</v>
      </c>
      <c r="C118" s="607">
        <f>C119+C122</f>
        <v>17875.001791666669</v>
      </c>
      <c r="D118" s="674">
        <f>D119+D122</f>
        <v>2904.7229083333332</v>
      </c>
      <c r="E118" s="11"/>
      <c r="F118" s="11"/>
      <c r="G118" s="433"/>
      <c r="H118" s="440">
        <f t="shared" ref="H118:H125" si="5">SUM(C118:G118)</f>
        <v>20779.724700000002</v>
      </c>
      <c r="I118" s="6"/>
    </row>
    <row r="119" spans="1:9" ht="22.5" x14ac:dyDescent="0.2">
      <c r="A119" s="463">
        <v>562</v>
      </c>
      <c r="B119" s="453" t="s">
        <v>97</v>
      </c>
      <c r="C119" s="607">
        <f>SUM(C120:C121)</f>
        <v>14875.001791666667</v>
      </c>
      <c r="D119" s="674">
        <f>SUM(D120:D121)</f>
        <v>1904.7229083333334</v>
      </c>
      <c r="E119" s="11"/>
      <c r="F119" s="11"/>
      <c r="G119" s="433"/>
      <c r="H119" s="440">
        <f t="shared" si="5"/>
        <v>16779.724700000002</v>
      </c>
    </row>
    <row r="120" spans="1:9" x14ac:dyDescent="0.2">
      <c r="A120" s="420">
        <v>56201</v>
      </c>
      <c r="B120" s="415" t="s">
        <v>531</v>
      </c>
      <c r="C120" s="608">
        <v>0</v>
      </c>
      <c r="D120" s="675">
        <v>0</v>
      </c>
      <c r="E120" s="11"/>
      <c r="F120" s="11"/>
      <c r="G120" s="433"/>
      <c r="H120" s="439">
        <f t="shared" si="5"/>
        <v>0</v>
      </c>
    </row>
    <row r="121" spans="1:9" ht="22.5" x14ac:dyDescent="0.2">
      <c r="A121" s="420">
        <v>56201937</v>
      </c>
      <c r="B121" s="458" t="s">
        <v>511</v>
      </c>
      <c r="C121" s="608">
        <f>'egresos 25% y F.P'!G88</f>
        <v>14875.001791666667</v>
      </c>
      <c r="D121" s="675">
        <f>+'egresos 25% y F.P'!C192</f>
        <v>1904.7229083333334</v>
      </c>
      <c r="E121" s="11"/>
      <c r="F121" s="11"/>
      <c r="G121" s="433"/>
      <c r="H121" s="439">
        <f t="shared" si="5"/>
        <v>16779.724700000002</v>
      </c>
    </row>
    <row r="122" spans="1:9" ht="22.5" x14ac:dyDescent="0.2">
      <c r="A122" s="463">
        <v>563</v>
      </c>
      <c r="B122" s="453" t="s">
        <v>99</v>
      </c>
      <c r="C122" s="607">
        <f>SUM(C123:C124)</f>
        <v>3000</v>
      </c>
      <c r="D122" s="674">
        <f>SUM(D123:D124)</f>
        <v>1000</v>
      </c>
      <c r="E122" s="11"/>
      <c r="F122" s="11"/>
      <c r="G122" s="433"/>
      <c r="H122" s="440">
        <f t="shared" si="5"/>
        <v>4000</v>
      </c>
    </row>
    <row r="123" spans="1:9" x14ac:dyDescent="0.2">
      <c r="A123" s="420">
        <v>56303</v>
      </c>
      <c r="B123" s="415" t="s">
        <v>98</v>
      </c>
      <c r="C123" s="608">
        <v>0</v>
      </c>
      <c r="D123" s="675">
        <v>0</v>
      </c>
      <c r="E123" s="11"/>
      <c r="F123" s="11"/>
      <c r="G123" s="433"/>
      <c r="H123" s="439">
        <f t="shared" si="5"/>
        <v>0</v>
      </c>
    </row>
    <row r="124" spans="1:9" x14ac:dyDescent="0.2">
      <c r="A124" s="420">
        <v>56304</v>
      </c>
      <c r="B124" s="415" t="s">
        <v>100</v>
      </c>
      <c r="C124" s="608">
        <f>'egresos 25% y F.P'!G91</f>
        <v>3000</v>
      </c>
      <c r="D124" s="675">
        <f>'egresos 25% y F.P'!G195</f>
        <v>1000</v>
      </c>
      <c r="E124" s="11"/>
      <c r="F124" s="11"/>
      <c r="G124" s="433"/>
      <c r="H124" s="439">
        <f t="shared" si="5"/>
        <v>4000</v>
      </c>
    </row>
    <row r="125" spans="1:9" hidden="1" x14ac:dyDescent="0.2">
      <c r="A125" s="422" t="s">
        <v>162</v>
      </c>
      <c r="B125" s="416" t="s">
        <v>163</v>
      </c>
      <c r="C125" s="607">
        <f>C126</f>
        <v>0</v>
      </c>
      <c r="D125" s="674">
        <f>D126</f>
        <v>0</v>
      </c>
      <c r="E125" s="11"/>
      <c r="F125" s="11"/>
      <c r="G125" s="433"/>
      <c r="H125" s="440">
        <f t="shared" si="5"/>
        <v>0</v>
      </c>
    </row>
    <row r="126" spans="1:9" hidden="1" x14ac:dyDescent="0.2">
      <c r="A126" s="422" t="s">
        <v>256</v>
      </c>
      <c r="B126" s="459" t="s">
        <v>200</v>
      </c>
      <c r="C126" s="607">
        <f>C127</f>
        <v>0</v>
      </c>
      <c r="D126" s="674">
        <f>D127</f>
        <v>0</v>
      </c>
      <c r="E126" s="11"/>
      <c r="F126" s="11"/>
      <c r="G126" s="433"/>
      <c r="H126" s="440">
        <f>H127</f>
        <v>0</v>
      </c>
    </row>
    <row r="127" spans="1:9" ht="22.5" hidden="1" x14ac:dyDescent="0.2">
      <c r="A127" s="464" t="s">
        <v>257</v>
      </c>
      <c r="B127" s="456" t="s">
        <v>258</v>
      </c>
      <c r="C127" s="608">
        <f>'egresos 25% y F.P'!G98</f>
        <v>0</v>
      </c>
      <c r="D127" s="677">
        <f>'egresos 25% y F.P'!G202</f>
        <v>0</v>
      </c>
      <c r="E127" s="54"/>
      <c r="F127" s="54"/>
      <c r="G127" s="434"/>
      <c r="H127" s="443">
        <f>SUM(C127:C127)</f>
        <v>0</v>
      </c>
    </row>
    <row r="128" spans="1:9" hidden="1" x14ac:dyDescent="0.2">
      <c r="A128" s="422"/>
      <c r="B128" s="460"/>
      <c r="C128" s="612"/>
      <c r="D128" s="677"/>
      <c r="E128" s="54"/>
      <c r="F128" s="54"/>
      <c r="G128" s="434"/>
      <c r="H128" s="443"/>
    </row>
    <row r="129" spans="1:8" ht="12.75" hidden="1" customHeight="1" x14ac:dyDescent="0.2">
      <c r="A129" s="422" t="s">
        <v>164</v>
      </c>
      <c r="B129" s="416" t="s">
        <v>165</v>
      </c>
      <c r="C129" s="607"/>
      <c r="D129" s="674"/>
      <c r="E129" s="11"/>
      <c r="F129" s="11"/>
      <c r="G129" s="433"/>
      <c r="H129" s="440">
        <f t="shared" ref="H129:H140" si="6">SUM(C129:G129)</f>
        <v>0</v>
      </c>
    </row>
    <row r="130" spans="1:8" ht="12.75" hidden="1" customHeight="1" x14ac:dyDescent="0.2">
      <c r="A130" s="464" t="s">
        <v>166</v>
      </c>
      <c r="B130" s="460" t="s">
        <v>167</v>
      </c>
      <c r="C130" s="608"/>
      <c r="D130" s="675"/>
      <c r="E130" s="11"/>
      <c r="F130" s="11"/>
      <c r="G130" s="433"/>
      <c r="H130" s="439">
        <f t="shared" si="6"/>
        <v>0</v>
      </c>
    </row>
    <row r="131" spans="1:8" ht="12.75" hidden="1" customHeight="1" x14ac:dyDescent="0.2">
      <c r="A131" s="464" t="s">
        <v>168</v>
      </c>
      <c r="B131" s="460" t="s">
        <v>169</v>
      </c>
      <c r="C131" s="608"/>
      <c r="D131" s="675"/>
      <c r="E131" s="11"/>
      <c r="F131" s="11"/>
      <c r="G131" s="433"/>
      <c r="H131" s="439">
        <f t="shared" si="6"/>
        <v>0</v>
      </c>
    </row>
    <row r="132" spans="1:8" ht="12.75" hidden="1" customHeight="1" x14ac:dyDescent="0.2">
      <c r="A132" s="464" t="s">
        <v>170</v>
      </c>
      <c r="B132" s="460" t="s">
        <v>171</v>
      </c>
      <c r="C132" s="608"/>
      <c r="D132" s="675"/>
      <c r="E132" s="11"/>
      <c r="F132" s="11"/>
      <c r="G132" s="433"/>
      <c r="H132" s="439">
        <f t="shared" si="6"/>
        <v>0</v>
      </c>
    </row>
    <row r="133" spans="1:8" ht="12.75" hidden="1" customHeight="1" x14ac:dyDescent="0.2">
      <c r="A133" s="464" t="s">
        <v>172</v>
      </c>
      <c r="B133" s="460" t="s">
        <v>173</v>
      </c>
      <c r="C133" s="608"/>
      <c r="D133" s="675"/>
      <c r="E133" s="11"/>
      <c r="F133" s="11"/>
      <c r="G133" s="433"/>
      <c r="H133" s="439">
        <f t="shared" si="6"/>
        <v>0</v>
      </c>
    </row>
    <row r="134" spans="1:8" ht="12.75" hidden="1" customHeight="1" x14ac:dyDescent="0.2">
      <c r="A134" s="464" t="s">
        <v>174</v>
      </c>
      <c r="B134" s="460" t="s">
        <v>175</v>
      </c>
      <c r="C134" s="608"/>
      <c r="D134" s="675"/>
      <c r="E134" s="11"/>
      <c r="F134" s="11"/>
      <c r="G134" s="433"/>
      <c r="H134" s="439">
        <f t="shared" si="6"/>
        <v>0</v>
      </c>
    </row>
    <row r="135" spans="1:8" ht="12.75" hidden="1" customHeight="1" x14ac:dyDescent="0.2">
      <c r="A135" s="464" t="s">
        <v>176</v>
      </c>
      <c r="B135" s="460" t="s">
        <v>177</v>
      </c>
      <c r="C135" s="608"/>
      <c r="D135" s="675"/>
      <c r="E135" s="11"/>
      <c r="F135" s="11"/>
      <c r="G135" s="433"/>
      <c r="H135" s="439">
        <f t="shared" si="6"/>
        <v>0</v>
      </c>
    </row>
    <row r="136" spans="1:8" ht="12.75" hidden="1" customHeight="1" x14ac:dyDescent="0.2">
      <c r="A136" s="464" t="s">
        <v>178</v>
      </c>
      <c r="B136" s="460" t="s">
        <v>179</v>
      </c>
      <c r="C136" s="608"/>
      <c r="D136" s="675"/>
      <c r="E136" s="11"/>
      <c r="F136" s="11"/>
      <c r="G136" s="433"/>
      <c r="H136" s="439">
        <f t="shared" si="6"/>
        <v>0</v>
      </c>
    </row>
    <row r="137" spans="1:8" ht="12.75" hidden="1" customHeight="1" x14ac:dyDescent="0.2">
      <c r="A137" s="464" t="s">
        <v>180</v>
      </c>
      <c r="B137" s="460" t="s">
        <v>181</v>
      </c>
      <c r="C137" s="608"/>
      <c r="D137" s="675"/>
      <c r="E137" s="11"/>
      <c r="F137" s="11"/>
      <c r="G137" s="433"/>
      <c r="H137" s="439">
        <f t="shared" si="6"/>
        <v>0</v>
      </c>
    </row>
    <row r="138" spans="1:8" ht="12.75" customHeight="1" x14ac:dyDescent="0.2">
      <c r="A138" s="463">
        <v>72</v>
      </c>
      <c r="B138" s="455" t="s">
        <v>13</v>
      </c>
      <c r="C138" s="607">
        <f>C139</f>
        <v>4481.8</v>
      </c>
      <c r="D138" s="674">
        <f>D139</f>
        <v>15863.87</v>
      </c>
      <c r="E138" s="11"/>
      <c r="F138" s="11"/>
      <c r="G138" s="433"/>
      <c r="H138" s="440">
        <f t="shared" si="6"/>
        <v>20345.670000000002</v>
      </c>
    </row>
    <row r="139" spans="1:8" ht="22.5" customHeight="1" x14ac:dyDescent="0.2">
      <c r="A139" s="463">
        <v>721</v>
      </c>
      <c r="B139" s="453" t="s">
        <v>182</v>
      </c>
      <c r="C139" s="607">
        <f>C140</f>
        <v>4481.8</v>
      </c>
      <c r="D139" s="674">
        <f>D140</f>
        <v>15863.87</v>
      </c>
      <c r="E139" s="11"/>
      <c r="F139" s="11"/>
      <c r="G139" s="433"/>
      <c r="H139" s="440">
        <f t="shared" si="6"/>
        <v>20345.670000000002</v>
      </c>
    </row>
    <row r="140" spans="1:8" ht="22.5" customHeight="1" thickBot="1" x14ac:dyDescent="0.25">
      <c r="A140" s="420">
        <v>72101</v>
      </c>
      <c r="B140" s="456" t="s">
        <v>182</v>
      </c>
      <c r="C140" s="608">
        <f>'egresos 25% y F.P'!G93</f>
        <v>4481.8</v>
      </c>
      <c r="D140" s="675">
        <f>'egresos 25% y F.P'!G198</f>
        <v>15863.87</v>
      </c>
      <c r="E140" s="11"/>
      <c r="F140" s="11"/>
      <c r="G140" s="433"/>
      <c r="H140" s="439">
        <f t="shared" si="6"/>
        <v>20345.670000000002</v>
      </c>
    </row>
    <row r="141" spans="1:8" hidden="1" x14ac:dyDescent="0.2">
      <c r="A141" s="420"/>
      <c r="B141" s="415"/>
      <c r="C141" s="608"/>
      <c r="D141" s="675"/>
      <c r="E141" s="11"/>
      <c r="F141" s="11"/>
      <c r="G141" s="433"/>
      <c r="H141" s="439"/>
    </row>
    <row r="142" spans="1:8" hidden="1" x14ac:dyDescent="0.2">
      <c r="A142" s="463">
        <v>99</v>
      </c>
      <c r="B142" s="455" t="s">
        <v>183</v>
      </c>
      <c r="C142" s="607"/>
      <c r="D142" s="674"/>
      <c r="E142" s="11"/>
      <c r="F142" s="11"/>
      <c r="G142" s="433"/>
      <c r="H142" s="440">
        <f>SUM(C142:G142)</f>
        <v>0</v>
      </c>
    </row>
    <row r="143" spans="1:8" ht="22.5" hidden="1" x14ac:dyDescent="0.2">
      <c r="A143" s="463">
        <v>991</v>
      </c>
      <c r="B143" s="453" t="s">
        <v>184</v>
      </c>
      <c r="C143" s="613"/>
      <c r="D143" s="674"/>
      <c r="E143" s="11"/>
      <c r="F143" s="11"/>
      <c r="G143" s="433"/>
      <c r="H143" s="440">
        <f>SUM(C143:G143)</f>
        <v>0</v>
      </c>
    </row>
    <row r="144" spans="1:8" ht="23.25" hidden="1" thickBot="1" x14ac:dyDescent="0.25">
      <c r="A144" s="466">
        <v>99101</v>
      </c>
      <c r="B144" s="461" t="s">
        <v>184</v>
      </c>
      <c r="C144" s="614"/>
      <c r="D144" s="678"/>
      <c r="E144" s="87"/>
      <c r="F144" s="87"/>
      <c r="G144" s="435"/>
      <c r="H144" s="444">
        <f>SUM(C144:G144)</f>
        <v>0</v>
      </c>
    </row>
    <row r="145" spans="1:9" ht="13.5" thickBot="1" x14ac:dyDescent="0.25">
      <c r="A145" s="467"/>
      <c r="B145" s="357" t="s">
        <v>185</v>
      </c>
      <c r="C145" s="615">
        <f t="shared" ref="C145:G145" si="7">+C142+C138+C125+C118+C101+C46+C12</f>
        <v>360353.41269166663</v>
      </c>
      <c r="D145" s="199">
        <f>+D142+D138+D125+D118+D101+D46+D12</f>
        <v>304849.60340833332</v>
      </c>
      <c r="E145" s="88">
        <f t="shared" si="7"/>
        <v>0</v>
      </c>
      <c r="F145" s="88">
        <f t="shared" si="7"/>
        <v>0</v>
      </c>
      <c r="G145" s="436">
        <f t="shared" si="7"/>
        <v>0</v>
      </c>
      <c r="H145" s="445">
        <f>+H142+H138+H125+H118+H101+H46+H12</f>
        <v>665203.01609999989</v>
      </c>
    </row>
    <row r="146" spans="1:9" x14ac:dyDescent="0.2">
      <c r="A146" s="1020"/>
      <c r="B146" s="1020"/>
      <c r="C146" s="1021"/>
      <c r="D146" s="1022"/>
      <c r="E146" s="594"/>
      <c r="F146" s="594"/>
      <c r="G146" s="594"/>
      <c r="H146" s="594"/>
      <c r="I146" s="594"/>
    </row>
    <row r="147" spans="1:9" x14ac:dyDescent="0.2">
      <c r="A147" s="1020"/>
      <c r="B147" s="1023" t="s">
        <v>700</v>
      </c>
      <c r="C147" s="1021">
        <f>'ING. REALES'!C71</f>
        <v>360353.41</v>
      </c>
      <c r="D147" s="1022">
        <f>'ING. REALES'!G71</f>
        <v>304849.60399999993</v>
      </c>
      <c r="E147" s="594"/>
      <c r="F147" s="594"/>
      <c r="G147" s="594"/>
      <c r="H147" s="595"/>
      <c r="I147" s="594"/>
    </row>
    <row r="148" spans="1:9" x14ac:dyDescent="0.2">
      <c r="A148" s="1020"/>
      <c r="B148" s="1020" t="s">
        <v>701</v>
      </c>
      <c r="C148" s="1021">
        <f>C147-C145</f>
        <v>-2.6916666538454592E-3</v>
      </c>
      <c r="D148" s="1021">
        <f>D147-D145</f>
        <v>5.9166661230847239E-4</v>
      </c>
      <c r="E148" s="594"/>
      <c r="F148" s="594"/>
      <c r="G148" s="594"/>
      <c r="H148" s="596"/>
      <c r="I148" s="594"/>
    </row>
    <row r="149" spans="1:9" x14ac:dyDescent="0.2">
      <c r="A149" s="1020"/>
      <c r="B149" s="1020"/>
      <c r="C149" s="1021"/>
      <c r="D149" s="1022"/>
      <c r="E149" s="594"/>
      <c r="F149" s="594"/>
      <c r="G149" s="594"/>
      <c r="H149" s="594"/>
      <c r="I149" s="594"/>
    </row>
    <row r="150" spans="1:9" x14ac:dyDescent="0.2">
      <c r="B150" s="594"/>
      <c r="C150" s="616"/>
      <c r="D150" s="595"/>
      <c r="E150" s="594"/>
      <c r="F150" s="594"/>
      <c r="G150" s="594"/>
      <c r="H150" s="594"/>
      <c r="I150" s="594"/>
    </row>
    <row r="151" spans="1:9" x14ac:dyDescent="0.2">
      <c r="B151" s="594"/>
      <c r="C151" s="616"/>
      <c r="D151" s="595"/>
      <c r="E151" s="594"/>
      <c r="F151" s="594"/>
      <c r="G151" s="594"/>
      <c r="H151" s="594"/>
      <c r="I151" s="594"/>
    </row>
    <row r="152" spans="1:9" x14ac:dyDescent="0.2">
      <c r="B152" s="594"/>
      <c r="C152" s="616"/>
      <c r="D152" s="595"/>
      <c r="E152" s="594"/>
      <c r="F152" s="594"/>
      <c r="G152" s="594"/>
      <c r="H152" s="594"/>
      <c r="I152" s="594"/>
    </row>
    <row r="153" spans="1:9" x14ac:dyDescent="0.2">
      <c r="B153" s="594"/>
      <c r="C153" s="616"/>
      <c r="D153" s="595"/>
      <c r="E153" s="594"/>
      <c r="F153" s="594"/>
      <c r="G153" s="594"/>
      <c r="H153" s="594"/>
      <c r="I153" s="594"/>
    </row>
    <row r="154" spans="1:9" x14ac:dyDescent="0.2">
      <c r="B154" s="594"/>
      <c r="C154" s="616"/>
      <c r="D154" s="595"/>
      <c r="E154" s="594"/>
      <c r="F154" s="594"/>
      <c r="G154" s="594"/>
      <c r="H154" s="594"/>
      <c r="I154" s="594"/>
    </row>
    <row r="155" spans="1:9" x14ac:dyDescent="0.2">
      <c r="B155" s="594"/>
      <c r="C155" s="616"/>
      <c r="D155" s="595"/>
      <c r="E155" s="594"/>
      <c r="F155" s="594"/>
      <c r="G155" s="594"/>
      <c r="H155" s="594"/>
      <c r="I155" s="594"/>
    </row>
  </sheetData>
  <mergeCells count="6">
    <mergeCell ref="A10:B10"/>
    <mergeCell ref="H10:H11"/>
    <mergeCell ref="C10:D10"/>
    <mergeCell ref="A1:H1"/>
    <mergeCell ref="A2:H2"/>
    <mergeCell ref="A3:H3"/>
  </mergeCells>
  <phoneticPr fontId="6" type="noConversion"/>
  <printOptions horizontalCentered="1"/>
  <pageMargins left="0.74803149606299213" right="0.74803149606299213" top="0.55118110236220474" bottom="0.74803149606299213" header="0" footer="0"/>
  <pageSetup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2"/>
  </sheetPr>
  <dimension ref="A1:L97"/>
  <sheetViews>
    <sheetView showGridLines="0" topLeftCell="A61" zoomScale="115" zoomScaleNormal="115" workbookViewId="0">
      <selection activeCell="D22" sqref="D22"/>
    </sheetView>
  </sheetViews>
  <sheetFormatPr baseColWidth="10" defaultRowHeight="12.75" x14ac:dyDescent="0.2"/>
  <cols>
    <col min="1" max="1" width="8.28515625" style="919" customWidth="1"/>
    <col min="2" max="2" width="10.7109375" style="260" customWidth="1"/>
    <col min="3" max="3" width="53.140625" style="202" customWidth="1"/>
    <col min="4" max="4" width="15.28515625" style="174" customWidth="1"/>
    <col min="5" max="6" width="18.42578125" style="174" hidden="1" customWidth="1"/>
    <col min="7" max="9" width="15.28515625" style="174" customWidth="1"/>
    <col min="10" max="10" width="15.28515625" customWidth="1"/>
    <col min="11" max="11" width="12.28515625" bestFit="1" customWidth="1"/>
  </cols>
  <sheetData>
    <row r="1" spans="1:10" ht="15.75" x14ac:dyDescent="0.25">
      <c r="A1" s="1123" t="s">
        <v>187</v>
      </c>
      <c r="B1" s="1124"/>
      <c r="C1" s="1124"/>
      <c r="D1" s="1124"/>
      <c r="E1" s="1124"/>
      <c r="F1" s="1124"/>
      <c r="G1" s="1124"/>
      <c r="H1" s="1124"/>
      <c r="I1" s="1124"/>
      <c r="J1" s="1124"/>
    </row>
    <row r="2" spans="1:10" x14ac:dyDescent="0.2">
      <c r="A2" s="1125" t="s">
        <v>632</v>
      </c>
      <c r="B2" s="1126"/>
      <c r="C2" s="1126"/>
      <c r="D2" s="1126"/>
      <c r="E2" s="1126"/>
      <c r="F2" s="1126"/>
      <c r="G2" s="1126"/>
      <c r="H2" s="1126"/>
      <c r="I2" s="1126"/>
      <c r="J2" s="1126"/>
    </row>
    <row r="3" spans="1:10" ht="9.75" customHeight="1" x14ac:dyDescent="0.3">
      <c r="A3" s="270"/>
      <c r="B3" s="271"/>
      <c r="C3" s="271"/>
      <c r="D3" s="271"/>
      <c r="E3" s="271"/>
      <c r="F3" s="271"/>
      <c r="G3" s="271"/>
      <c r="H3" s="271"/>
      <c r="I3" s="271"/>
      <c r="J3" s="271"/>
    </row>
    <row r="4" spans="1:10" ht="18" customHeight="1" x14ac:dyDescent="0.3">
      <c r="A4" s="1112" t="s">
        <v>454</v>
      </c>
      <c r="B4" s="1113"/>
      <c r="C4" s="1113"/>
      <c r="D4" s="1113"/>
      <c r="E4" s="1113"/>
      <c r="F4" s="1113"/>
      <c r="G4" s="1113"/>
      <c r="H4" s="1113"/>
      <c r="I4" s="1113"/>
      <c r="J4" s="1113"/>
    </row>
    <row r="5" spans="1:10" ht="18" customHeight="1" x14ac:dyDescent="0.3">
      <c r="A5" s="1112" t="s">
        <v>682</v>
      </c>
      <c r="B5" s="1113"/>
      <c r="C5" s="1113"/>
      <c r="D5" s="1113"/>
      <c r="E5" s="1113"/>
      <c r="F5" s="1113"/>
      <c r="G5" s="1113"/>
      <c r="H5" s="1113"/>
      <c r="I5" s="1113"/>
      <c r="J5" s="1113"/>
    </row>
    <row r="6" spans="1:10" ht="18" customHeight="1" x14ac:dyDescent="0.3">
      <c r="A6" s="1112" t="s">
        <v>328</v>
      </c>
      <c r="B6" s="1113"/>
      <c r="C6" s="1113"/>
      <c r="D6" s="1113"/>
      <c r="E6" s="1113"/>
      <c r="F6" s="1113"/>
      <c r="G6" s="1113"/>
      <c r="H6" s="1113"/>
      <c r="I6" s="1113"/>
      <c r="J6" s="1113"/>
    </row>
    <row r="7" spans="1:10" ht="18" customHeight="1" x14ac:dyDescent="0.3">
      <c r="A7" s="1112" t="s">
        <v>329</v>
      </c>
      <c r="B7" s="1113"/>
      <c r="C7" s="1113"/>
      <c r="D7" s="1113"/>
      <c r="E7" s="1113"/>
      <c r="F7" s="1113"/>
      <c r="G7" s="1113"/>
      <c r="H7" s="1113"/>
      <c r="I7" s="1113"/>
      <c r="J7" s="1113"/>
    </row>
    <row r="8" spans="1:10" ht="18" customHeight="1" x14ac:dyDescent="0.3">
      <c r="A8" s="1112" t="s">
        <v>330</v>
      </c>
      <c r="B8" s="1113"/>
      <c r="C8" s="1113"/>
      <c r="D8" s="1113"/>
      <c r="E8" s="1113"/>
      <c r="F8" s="1113"/>
      <c r="G8" s="1113"/>
      <c r="H8" s="1113"/>
      <c r="I8" s="1113"/>
      <c r="J8" s="1113"/>
    </row>
    <row r="9" spans="1:10" ht="10.5" customHeight="1" thickBot="1" x14ac:dyDescent="0.35">
      <c r="A9" s="905"/>
      <c r="B9" s="269"/>
      <c r="C9" s="269"/>
      <c r="D9" s="269"/>
      <c r="E9" s="269"/>
      <c r="F9" s="269"/>
      <c r="G9" s="269"/>
      <c r="H9" s="269"/>
      <c r="I9" s="269"/>
      <c r="J9" s="269"/>
    </row>
    <row r="10" spans="1:10" ht="13.5" customHeight="1" thickBot="1" x14ac:dyDescent="0.25">
      <c r="A10" s="1114" t="s">
        <v>593</v>
      </c>
      <c r="B10" s="1116" t="s">
        <v>594</v>
      </c>
      <c r="C10" s="1118" t="s">
        <v>616</v>
      </c>
      <c r="D10" s="1121" t="s">
        <v>617</v>
      </c>
      <c r="E10" s="1122"/>
      <c r="F10" s="1122"/>
      <c r="G10" s="1122"/>
      <c r="H10" s="1122"/>
      <c r="I10" s="1055"/>
      <c r="J10" s="1119" t="s">
        <v>618</v>
      </c>
    </row>
    <row r="11" spans="1:10" ht="21.75" customHeight="1" thickBot="1" x14ac:dyDescent="0.25">
      <c r="A11" s="1115"/>
      <c r="B11" s="1117"/>
      <c r="C11" s="1115"/>
      <c r="D11" s="954" t="s">
        <v>192</v>
      </c>
      <c r="E11" s="955" t="s">
        <v>1</v>
      </c>
      <c r="F11" s="955" t="s">
        <v>2</v>
      </c>
      <c r="G11" s="955" t="s">
        <v>444</v>
      </c>
      <c r="H11" s="1019" t="s">
        <v>121</v>
      </c>
      <c r="I11" s="1018" t="s">
        <v>3</v>
      </c>
      <c r="J11" s="1120"/>
    </row>
    <row r="12" spans="1:10" hidden="1" x14ac:dyDescent="0.2">
      <c r="A12" s="943" t="s">
        <v>484</v>
      </c>
      <c r="B12" s="956"/>
      <c r="C12" s="944"/>
      <c r="D12" s="945"/>
      <c r="E12" s="946"/>
      <c r="F12" s="946"/>
      <c r="G12" s="946"/>
      <c r="H12" s="946"/>
      <c r="I12" s="947"/>
      <c r="J12" s="932"/>
    </row>
    <row r="13" spans="1:10" x14ac:dyDescent="0.2">
      <c r="A13" s="968">
        <v>61</v>
      </c>
      <c r="B13" s="958"/>
      <c r="C13" s="318" t="s">
        <v>519</v>
      </c>
      <c r="D13" s="469">
        <f>D14</f>
        <v>39000</v>
      </c>
      <c r="E13" s="930"/>
      <c r="F13" s="930"/>
      <c r="G13" s="911">
        <f t="shared" ref="G13:I13" si="0">G14</f>
        <v>0</v>
      </c>
      <c r="H13" s="911">
        <f t="shared" si="0"/>
        <v>0</v>
      </c>
      <c r="I13" s="912">
        <f t="shared" si="0"/>
        <v>0</v>
      </c>
      <c r="J13" s="23">
        <f>SUM(D13:I13)</f>
        <v>39000</v>
      </c>
    </row>
    <row r="14" spans="1:10" x14ac:dyDescent="0.2">
      <c r="A14" s="968">
        <v>611</v>
      </c>
      <c r="B14" s="958"/>
      <c r="C14" s="317" t="s">
        <v>527</v>
      </c>
      <c r="D14" s="469">
        <f>SUM(D15:D15)</f>
        <v>39000</v>
      </c>
      <c r="E14" s="911">
        <f t="shared" ref="E14:F14" si="1">SUM(E15:E15)</f>
        <v>0</v>
      </c>
      <c r="F14" s="911">
        <f t="shared" si="1"/>
        <v>0</v>
      </c>
      <c r="G14" s="911">
        <f>SUM(G15:G15)</f>
        <v>0</v>
      </c>
      <c r="H14" s="911">
        <f>SUM(H15:H15)</f>
        <v>0</v>
      </c>
      <c r="I14" s="912">
        <f>SUM(I15:I15)</f>
        <v>0</v>
      </c>
      <c r="J14" s="23">
        <f>SUM(D14:I14)</f>
        <v>39000</v>
      </c>
    </row>
    <row r="15" spans="1:10" x14ac:dyDescent="0.2">
      <c r="A15" s="969">
        <v>61105</v>
      </c>
      <c r="B15" s="959"/>
      <c r="C15" s="319" t="s">
        <v>634</v>
      </c>
      <c r="D15" s="910">
        <f>25000+14000</f>
        <v>39000</v>
      </c>
      <c r="E15" s="930"/>
      <c r="F15" s="930"/>
      <c r="G15" s="930">
        <v>0</v>
      </c>
      <c r="H15" s="930">
        <v>0</v>
      </c>
      <c r="I15" s="931">
        <v>0</v>
      </c>
      <c r="J15" s="932">
        <f>SUM(D15:I15)</f>
        <v>39000</v>
      </c>
    </row>
    <row r="16" spans="1:10" ht="12" customHeight="1" x14ac:dyDescent="0.2">
      <c r="A16" s="970" t="s">
        <v>484</v>
      </c>
      <c r="B16" s="958"/>
      <c r="C16" s="319"/>
      <c r="D16" s="910"/>
      <c r="E16" s="930"/>
      <c r="F16" s="930"/>
      <c r="G16" s="930"/>
      <c r="H16" s="930"/>
      <c r="I16" s="931"/>
      <c r="J16" s="932"/>
    </row>
    <row r="17" spans="1:10" x14ac:dyDescent="0.2">
      <c r="A17" s="971">
        <v>615</v>
      </c>
      <c r="B17" s="958"/>
      <c r="C17" s="317" t="s">
        <v>520</v>
      </c>
      <c r="D17" s="470">
        <f>+D21</f>
        <v>58208.39</v>
      </c>
      <c r="E17" s="913">
        <f t="shared" ref="E17:J17" si="2">SUM(E18:E21)</f>
        <v>0</v>
      </c>
      <c r="F17" s="913">
        <f t="shared" si="2"/>
        <v>0</v>
      </c>
      <c r="G17" s="913">
        <f t="shared" si="2"/>
        <v>0</v>
      </c>
      <c r="H17" s="913">
        <f t="shared" si="2"/>
        <v>0</v>
      </c>
      <c r="I17" s="914">
        <f t="shared" si="2"/>
        <v>0</v>
      </c>
      <c r="J17" s="23">
        <f t="shared" si="2"/>
        <v>58208.39</v>
      </c>
    </row>
    <row r="18" spans="1:10" x14ac:dyDescent="0.2">
      <c r="A18" s="917">
        <v>61501</v>
      </c>
      <c r="B18" s="546"/>
      <c r="C18" s="481" t="s">
        <v>521</v>
      </c>
      <c r="D18" s="939">
        <v>0</v>
      </c>
      <c r="E18" s="940">
        <v>0</v>
      </c>
      <c r="F18" s="940">
        <v>0</v>
      </c>
      <c r="G18" s="940">
        <v>0</v>
      </c>
      <c r="H18" s="940">
        <v>0</v>
      </c>
      <c r="I18" s="941">
        <v>0</v>
      </c>
      <c r="J18" s="932">
        <f>SUM(D18:H18)</f>
        <v>0</v>
      </c>
    </row>
    <row r="19" spans="1:10" x14ac:dyDescent="0.2">
      <c r="A19" s="917">
        <v>61502</v>
      </c>
      <c r="B19" s="546"/>
      <c r="C19" s="481" t="s">
        <v>522</v>
      </c>
      <c r="D19" s="939">
        <v>0</v>
      </c>
      <c r="E19" s="940">
        <v>0</v>
      </c>
      <c r="F19" s="940">
        <v>0</v>
      </c>
      <c r="G19" s="940">
        <v>0</v>
      </c>
      <c r="H19" s="940">
        <v>0</v>
      </c>
      <c r="I19" s="941">
        <v>0</v>
      </c>
      <c r="J19" s="932">
        <f>SUM(D19:H19)</f>
        <v>0</v>
      </c>
    </row>
    <row r="20" spans="1:10" x14ac:dyDescent="0.2">
      <c r="A20" s="917">
        <v>61503</v>
      </c>
      <c r="B20" s="546"/>
      <c r="C20" s="481" t="s">
        <v>523</v>
      </c>
      <c r="D20" s="939">
        <v>0</v>
      </c>
      <c r="E20" s="940">
        <v>0</v>
      </c>
      <c r="F20" s="940">
        <v>0</v>
      </c>
      <c r="G20" s="940">
        <v>0</v>
      </c>
      <c r="H20" s="940">
        <v>0</v>
      </c>
      <c r="I20" s="941">
        <v>0</v>
      </c>
      <c r="J20" s="932">
        <f>SUM(D20:H20)</f>
        <v>0</v>
      </c>
    </row>
    <row r="21" spans="1:10" x14ac:dyDescent="0.2">
      <c r="A21" s="917">
        <v>61599</v>
      </c>
      <c r="B21" s="959" t="s">
        <v>475</v>
      </c>
      <c r="C21" s="949" t="s">
        <v>524</v>
      </c>
      <c r="D21" s="939">
        <f>65730.75-7522.36</f>
        <v>58208.39</v>
      </c>
      <c r="E21" s="940">
        <v>0</v>
      </c>
      <c r="F21" s="940">
        <v>0</v>
      </c>
      <c r="G21" s="940">
        <v>0</v>
      </c>
      <c r="H21" s="940">
        <v>0</v>
      </c>
      <c r="I21" s="941">
        <v>0</v>
      </c>
      <c r="J21" s="932">
        <f>SUM(D21:H21)</f>
        <v>58208.39</v>
      </c>
    </row>
    <row r="22" spans="1:10" ht="9.75" customHeight="1" x14ac:dyDescent="0.2">
      <c r="A22" s="970" t="s">
        <v>484</v>
      </c>
      <c r="B22" s="958"/>
      <c r="C22" s="319"/>
      <c r="D22" s="910"/>
      <c r="E22" s="930"/>
      <c r="F22" s="930"/>
      <c r="G22" s="930"/>
      <c r="H22" s="930"/>
      <c r="I22" s="931"/>
      <c r="J22" s="932"/>
    </row>
    <row r="23" spans="1:10" hidden="1" x14ac:dyDescent="0.2">
      <c r="A23" s="972" t="s">
        <v>484</v>
      </c>
      <c r="B23" s="960"/>
      <c r="C23" s="318"/>
      <c r="D23" s="469"/>
      <c r="E23" s="930"/>
      <c r="F23" s="930"/>
      <c r="G23" s="911"/>
      <c r="H23" s="911"/>
      <c r="I23" s="912"/>
      <c r="J23" s="23"/>
    </row>
    <row r="24" spans="1:10" s="241" customFormat="1" x14ac:dyDescent="0.2">
      <c r="A24" s="972" t="s">
        <v>484</v>
      </c>
      <c r="B24" s="959" t="s">
        <v>476</v>
      </c>
      <c r="C24" s="318" t="s">
        <v>514</v>
      </c>
      <c r="D24" s="469">
        <v>8749.75</v>
      </c>
      <c r="E24" s="911"/>
      <c r="F24" s="911"/>
      <c r="G24" s="911">
        <v>0</v>
      </c>
      <c r="H24" s="911">
        <v>0</v>
      </c>
      <c r="I24" s="912">
        <v>0</v>
      </c>
      <c r="J24" s="23">
        <f>+D24</f>
        <v>8749.75</v>
      </c>
    </row>
    <row r="25" spans="1:10" s="706" customFormat="1" x14ac:dyDescent="0.2">
      <c r="A25" s="969">
        <v>61202</v>
      </c>
      <c r="B25" s="958"/>
      <c r="C25" s="319" t="s">
        <v>194</v>
      </c>
      <c r="D25" s="910">
        <v>8749.75</v>
      </c>
      <c r="E25" s="930"/>
      <c r="F25" s="930"/>
      <c r="G25" s="930">
        <v>0</v>
      </c>
      <c r="H25" s="930">
        <v>0</v>
      </c>
      <c r="I25" s="931">
        <v>0</v>
      </c>
      <c r="J25" s="932">
        <f>+D25</f>
        <v>8749.75</v>
      </c>
    </row>
    <row r="26" spans="1:10" x14ac:dyDescent="0.2">
      <c r="A26" s="972" t="s">
        <v>484</v>
      </c>
      <c r="B26" s="960"/>
      <c r="C26" s="318"/>
      <c r="D26" s="469"/>
      <c r="E26" s="930"/>
      <c r="F26" s="930"/>
      <c r="G26" s="911"/>
      <c r="H26" s="911"/>
      <c r="I26" s="912"/>
      <c r="J26" s="23"/>
    </row>
    <row r="27" spans="1:10" s="241" customFormat="1" x14ac:dyDescent="0.2">
      <c r="A27" s="972" t="s">
        <v>484</v>
      </c>
      <c r="B27" s="959" t="s">
        <v>736</v>
      </c>
      <c r="C27" s="318" t="s">
        <v>737</v>
      </c>
      <c r="D27" s="469">
        <f>SUM(D28:D30)</f>
        <v>20140.09</v>
      </c>
      <c r="E27" s="911"/>
      <c r="F27" s="911"/>
      <c r="G27" s="911">
        <f t="shared" ref="G27:I27" si="3">SUM(G28:G29)</f>
        <v>0</v>
      </c>
      <c r="H27" s="911">
        <f t="shared" si="3"/>
        <v>0</v>
      </c>
      <c r="I27" s="912">
        <f t="shared" si="3"/>
        <v>0</v>
      </c>
      <c r="J27" s="23">
        <f>SUM(D27:H27)</f>
        <v>20140.09</v>
      </c>
    </row>
    <row r="28" spans="1:10" x14ac:dyDescent="0.2">
      <c r="A28" s="969">
        <v>61101</v>
      </c>
      <c r="B28" s="958"/>
      <c r="C28" s="319" t="s">
        <v>633</v>
      </c>
      <c r="D28" s="910">
        <v>5140.09</v>
      </c>
      <c r="E28" s="930"/>
      <c r="F28" s="930"/>
      <c r="G28" s="930">
        <v>0</v>
      </c>
      <c r="H28" s="930">
        <v>0</v>
      </c>
      <c r="I28" s="931">
        <v>0</v>
      </c>
      <c r="J28" s="932">
        <f>SUM(D28:H28)</f>
        <v>5140.09</v>
      </c>
    </row>
    <row r="29" spans="1:10" x14ac:dyDescent="0.2">
      <c r="A29" s="969">
        <v>61104</v>
      </c>
      <c r="B29" s="958"/>
      <c r="C29" s="319" t="s">
        <v>481</v>
      </c>
      <c r="D29" s="910">
        <v>5000</v>
      </c>
      <c r="E29" s="930"/>
      <c r="F29" s="930"/>
      <c r="G29" s="930">
        <v>0</v>
      </c>
      <c r="H29" s="930">
        <v>0</v>
      </c>
      <c r="I29" s="931">
        <v>0</v>
      </c>
      <c r="J29" s="932">
        <f>SUM(D29:H29)</f>
        <v>5000</v>
      </c>
    </row>
    <row r="30" spans="1:10" x14ac:dyDescent="0.2">
      <c r="A30" s="969">
        <v>61199</v>
      </c>
      <c r="B30" s="958"/>
      <c r="C30" s="319" t="s">
        <v>738</v>
      </c>
      <c r="D30" s="910">
        <v>10000</v>
      </c>
      <c r="E30" s="930"/>
      <c r="F30" s="930"/>
      <c r="G30" s="930">
        <v>0</v>
      </c>
      <c r="H30" s="930">
        <v>0</v>
      </c>
      <c r="I30" s="931">
        <v>0</v>
      </c>
      <c r="J30" s="932">
        <f>SUM(D30:H30)</f>
        <v>10000</v>
      </c>
    </row>
    <row r="31" spans="1:10" x14ac:dyDescent="0.2">
      <c r="A31" s="972" t="s">
        <v>484</v>
      </c>
      <c r="B31" s="960"/>
      <c r="C31" s="318"/>
      <c r="D31" s="469"/>
      <c r="E31" s="930"/>
      <c r="F31" s="930"/>
      <c r="G31" s="911"/>
      <c r="H31" s="911"/>
      <c r="I31" s="912"/>
      <c r="J31" s="23"/>
    </row>
    <row r="32" spans="1:10" s="241" customFormat="1" x14ac:dyDescent="0.2">
      <c r="A32" s="972" t="s">
        <v>484</v>
      </c>
      <c r="B32" s="959" t="s">
        <v>475</v>
      </c>
      <c r="C32" s="318" t="s">
        <v>717</v>
      </c>
      <c r="D32" s="469">
        <f>SUM(D33)</f>
        <v>3000</v>
      </c>
      <c r="E32" s="911"/>
      <c r="F32" s="911"/>
      <c r="G32" s="911">
        <f t="shared" ref="G32:I32" si="4">SUM(G33)</f>
        <v>0</v>
      </c>
      <c r="H32" s="911">
        <f t="shared" si="4"/>
        <v>0</v>
      </c>
      <c r="I32" s="912">
        <f t="shared" si="4"/>
        <v>0</v>
      </c>
      <c r="J32" s="23">
        <f t="shared" ref="J32:J47" si="5">SUM(D32:I32)</f>
        <v>3000</v>
      </c>
    </row>
    <row r="33" spans="1:10" x14ac:dyDescent="0.2">
      <c r="A33" s="969">
        <v>54110</v>
      </c>
      <c r="B33" s="961"/>
      <c r="C33" s="319" t="s">
        <v>735</v>
      </c>
      <c r="D33" s="910">
        <v>3000</v>
      </c>
      <c r="E33" s="930"/>
      <c r="F33" s="930"/>
      <c r="G33" s="930"/>
      <c r="H33" s="930"/>
      <c r="I33" s="931"/>
      <c r="J33" s="932">
        <f t="shared" si="5"/>
        <v>3000</v>
      </c>
    </row>
    <row r="34" spans="1:10" x14ac:dyDescent="0.2">
      <c r="A34" s="970" t="s">
        <v>484</v>
      </c>
      <c r="B34" s="961"/>
      <c r="C34" s="319"/>
      <c r="D34" s="910"/>
      <c r="E34" s="930"/>
      <c r="F34" s="930"/>
      <c r="G34" s="930"/>
      <c r="H34" s="930"/>
      <c r="I34" s="931"/>
      <c r="J34" s="932"/>
    </row>
    <row r="35" spans="1:10" s="241" customFormat="1" x14ac:dyDescent="0.2">
      <c r="A35" s="972" t="s">
        <v>484</v>
      </c>
      <c r="B35" s="959" t="s">
        <v>515</v>
      </c>
      <c r="C35" s="318" t="s">
        <v>516</v>
      </c>
      <c r="D35" s="469">
        <v>42878.73</v>
      </c>
      <c r="E35" s="911"/>
      <c r="F35" s="911"/>
      <c r="G35" s="911">
        <v>0</v>
      </c>
      <c r="H35" s="911">
        <v>0</v>
      </c>
      <c r="I35" s="912">
        <v>0</v>
      </c>
      <c r="J35" s="23">
        <f t="shared" si="5"/>
        <v>42878.73</v>
      </c>
    </row>
    <row r="36" spans="1:10" x14ac:dyDescent="0.2">
      <c r="A36" s="969">
        <v>61602</v>
      </c>
      <c r="B36" s="961"/>
      <c r="C36" s="319" t="s">
        <v>480</v>
      </c>
      <c r="D36" s="910">
        <v>42878.73</v>
      </c>
      <c r="E36" s="930"/>
      <c r="F36" s="930"/>
      <c r="G36" s="930"/>
      <c r="H36" s="930"/>
      <c r="I36" s="931"/>
      <c r="J36" s="932">
        <f t="shared" ref="J36" si="6">SUM(D36:I36)</f>
        <v>42878.73</v>
      </c>
    </row>
    <row r="37" spans="1:10" x14ac:dyDescent="0.2">
      <c r="A37" s="970" t="s">
        <v>484</v>
      </c>
      <c r="B37" s="961"/>
      <c r="C37" s="319"/>
      <c r="D37" s="910"/>
      <c r="E37" s="930"/>
      <c r="F37" s="930"/>
      <c r="G37" s="930"/>
      <c r="H37" s="930"/>
      <c r="I37" s="931"/>
      <c r="J37" s="932"/>
    </row>
    <row r="38" spans="1:10" s="241" customFormat="1" ht="27" customHeight="1" x14ac:dyDescent="0.2">
      <c r="A38" s="972" t="s">
        <v>484</v>
      </c>
      <c r="B38" s="959" t="s">
        <v>482</v>
      </c>
      <c r="C38" s="318" t="s">
        <v>714</v>
      </c>
      <c r="D38" s="469">
        <v>10568.47</v>
      </c>
      <c r="E38" s="911"/>
      <c r="F38" s="911"/>
      <c r="G38" s="911">
        <v>0</v>
      </c>
      <c r="H38" s="911">
        <v>0</v>
      </c>
      <c r="I38" s="912">
        <v>0</v>
      </c>
      <c r="J38" s="23">
        <f>SUM(D38:I38)</f>
        <v>10568.47</v>
      </c>
    </row>
    <row r="39" spans="1:10" s="706" customFormat="1" ht="27" customHeight="1" x14ac:dyDescent="0.2">
      <c r="A39" s="969">
        <v>54108</v>
      </c>
      <c r="B39" s="961"/>
      <c r="C39" s="319" t="s">
        <v>734</v>
      </c>
      <c r="D39" s="910">
        <v>10568.47</v>
      </c>
      <c r="E39" s="930"/>
      <c r="F39" s="930"/>
      <c r="G39" s="930">
        <v>0</v>
      </c>
      <c r="H39" s="930">
        <v>0</v>
      </c>
      <c r="I39" s="931">
        <v>0</v>
      </c>
      <c r="J39" s="932">
        <f>SUM(D39:I39)</f>
        <v>10568.47</v>
      </c>
    </row>
    <row r="40" spans="1:10" s="241" customFormat="1" x14ac:dyDescent="0.2">
      <c r="A40" s="972" t="s">
        <v>484</v>
      </c>
      <c r="B40" s="959"/>
      <c r="C40" s="318"/>
      <c r="D40" s="469"/>
      <c r="E40" s="911"/>
      <c r="F40" s="911"/>
      <c r="G40" s="911"/>
      <c r="H40" s="911"/>
      <c r="I40" s="912"/>
      <c r="J40" s="23"/>
    </row>
    <row r="41" spans="1:10" s="241" customFormat="1" ht="25.5" x14ac:dyDescent="0.2">
      <c r="A41" s="972" t="s">
        <v>484</v>
      </c>
      <c r="B41" s="959" t="s">
        <v>475</v>
      </c>
      <c r="C41" s="318" t="s">
        <v>747</v>
      </c>
      <c r="D41" s="469">
        <v>21138</v>
      </c>
      <c r="E41" s="911"/>
      <c r="F41" s="911"/>
      <c r="G41" s="911">
        <v>0</v>
      </c>
      <c r="H41" s="911">
        <v>0</v>
      </c>
      <c r="I41" s="912">
        <v>0</v>
      </c>
      <c r="J41" s="23">
        <f t="shared" si="5"/>
        <v>21138</v>
      </c>
    </row>
    <row r="42" spans="1:10" x14ac:dyDescent="0.2">
      <c r="A42" s="969">
        <v>61602</v>
      </c>
      <c r="B42" s="961"/>
      <c r="C42" s="319" t="s">
        <v>480</v>
      </c>
      <c r="D42" s="910">
        <v>21138</v>
      </c>
      <c r="E42" s="930"/>
      <c r="F42" s="930"/>
      <c r="G42" s="930">
        <v>0</v>
      </c>
      <c r="H42" s="930">
        <v>0</v>
      </c>
      <c r="I42" s="931">
        <v>0</v>
      </c>
      <c r="J42" s="932">
        <f t="shared" si="5"/>
        <v>21138</v>
      </c>
    </row>
    <row r="43" spans="1:10" x14ac:dyDescent="0.2">
      <c r="A43" s="1029" t="s">
        <v>484</v>
      </c>
      <c r="B43" s="1030"/>
      <c r="C43" s="1024"/>
      <c r="D43" s="1025"/>
      <c r="E43" s="1026"/>
      <c r="F43" s="1026"/>
      <c r="G43" s="1026"/>
      <c r="H43" s="1026"/>
      <c r="I43" s="1027"/>
      <c r="J43" s="1028"/>
    </row>
    <row r="44" spans="1:10" s="241" customFormat="1" x14ac:dyDescent="0.2">
      <c r="A44" s="972" t="s">
        <v>484</v>
      </c>
      <c r="B44" s="959" t="s">
        <v>475</v>
      </c>
      <c r="C44" s="318" t="s">
        <v>635</v>
      </c>
      <c r="D44" s="469">
        <v>6063.15</v>
      </c>
      <c r="E44" s="911"/>
      <c r="F44" s="911"/>
      <c r="G44" s="911">
        <v>0</v>
      </c>
      <c r="H44" s="911">
        <v>0</v>
      </c>
      <c r="I44" s="912">
        <v>0</v>
      </c>
      <c r="J44" s="23">
        <f t="shared" ref="J44" si="7">SUM(D44:I44)</f>
        <v>6063.15</v>
      </c>
    </row>
    <row r="45" spans="1:10" x14ac:dyDescent="0.2">
      <c r="A45" s="917">
        <v>51202</v>
      </c>
      <c r="B45" s="546"/>
      <c r="C45" s="922" t="s">
        <v>733</v>
      </c>
      <c r="D45" s="973">
        <v>6063.15</v>
      </c>
      <c r="E45" s="951"/>
      <c r="F45" s="951">
        <v>0</v>
      </c>
      <c r="G45" s="951">
        <v>0</v>
      </c>
      <c r="H45" s="974">
        <v>0</v>
      </c>
      <c r="I45" s="921">
        <v>0</v>
      </c>
      <c r="J45" s="932">
        <v>6063.15</v>
      </c>
    </row>
    <row r="46" spans="1:10" x14ac:dyDescent="0.2">
      <c r="A46" s="970" t="s">
        <v>484</v>
      </c>
      <c r="B46" s="961"/>
      <c r="C46" s="319"/>
      <c r="D46" s="910"/>
      <c r="E46" s="930"/>
      <c r="F46" s="930"/>
      <c r="G46" s="930"/>
      <c r="H46" s="930"/>
      <c r="I46" s="931"/>
      <c r="J46" s="932"/>
    </row>
    <row r="47" spans="1:10" s="241" customFormat="1" x14ac:dyDescent="0.2">
      <c r="A47" s="972" t="s">
        <v>484</v>
      </c>
      <c r="B47" s="959" t="s">
        <v>475</v>
      </c>
      <c r="C47" s="318" t="s">
        <v>715</v>
      </c>
      <c r="D47" s="469">
        <v>12000</v>
      </c>
      <c r="E47" s="911"/>
      <c r="F47" s="911"/>
      <c r="G47" s="911">
        <v>0</v>
      </c>
      <c r="H47" s="911">
        <v>0</v>
      </c>
      <c r="I47" s="912">
        <v>0</v>
      </c>
      <c r="J47" s="23">
        <f t="shared" si="5"/>
        <v>12000</v>
      </c>
    </row>
    <row r="48" spans="1:10" x14ac:dyDescent="0.2">
      <c r="A48" s="969">
        <v>61602</v>
      </c>
      <c r="B48" s="961"/>
      <c r="C48" s="319" t="s">
        <v>480</v>
      </c>
      <c r="D48" s="910">
        <v>12000</v>
      </c>
      <c r="E48" s="930"/>
      <c r="F48" s="930"/>
      <c r="G48" s="930"/>
      <c r="H48" s="930"/>
      <c r="I48" s="931"/>
      <c r="J48" s="932">
        <f t="shared" ref="J48" si="8">SUM(D48:I48)</f>
        <v>12000</v>
      </c>
    </row>
    <row r="49" spans="1:12" x14ac:dyDescent="0.2">
      <c r="A49" s="970" t="s">
        <v>484</v>
      </c>
      <c r="B49" s="958"/>
      <c r="C49" s="319"/>
      <c r="D49" s="910"/>
      <c r="E49" s="930"/>
      <c r="F49" s="930"/>
      <c r="G49" s="930"/>
      <c r="H49" s="930"/>
      <c r="I49" s="931"/>
      <c r="J49" s="932"/>
    </row>
    <row r="50" spans="1:12" s="241" customFormat="1" x14ac:dyDescent="0.2">
      <c r="A50" s="972" t="s">
        <v>484</v>
      </c>
      <c r="B50" s="962" t="s">
        <v>479</v>
      </c>
      <c r="C50" s="318" t="s">
        <v>713</v>
      </c>
      <c r="D50" s="469">
        <f>SUM(D51)</f>
        <v>33700</v>
      </c>
      <c r="E50" s="911"/>
      <c r="F50" s="911"/>
      <c r="G50" s="911">
        <f t="shared" ref="G50:I50" si="9">SUM(G51)</f>
        <v>0</v>
      </c>
      <c r="H50" s="911">
        <f t="shared" si="9"/>
        <v>0</v>
      </c>
      <c r="I50" s="912">
        <f t="shared" si="9"/>
        <v>0</v>
      </c>
      <c r="J50" s="23">
        <f>SUM(D50:I50)</f>
        <v>33700</v>
      </c>
    </row>
    <row r="51" spans="1:12" s="706" customFormat="1" x14ac:dyDescent="0.2">
      <c r="A51" s="969">
        <v>61603</v>
      </c>
      <c r="B51" s="958"/>
      <c r="C51" s="319" t="s">
        <v>473</v>
      </c>
      <c r="D51" s="910">
        <v>33700</v>
      </c>
      <c r="E51" s="930"/>
      <c r="F51" s="930"/>
      <c r="G51" s="930">
        <v>0</v>
      </c>
      <c r="H51" s="930">
        <v>0</v>
      </c>
      <c r="I51" s="931">
        <v>0</v>
      </c>
      <c r="J51" s="932">
        <f>SUM(D51:I51)</f>
        <v>33700</v>
      </c>
      <c r="L51" s="933"/>
    </row>
    <row r="52" spans="1:12" x14ac:dyDescent="0.2">
      <c r="A52" s="970" t="s">
        <v>484</v>
      </c>
      <c r="B52" s="963"/>
      <c r="C52" s="318"/>
      <c r="D52" s="469"/>
      <c r="E52" s="930"/>
      <c r="F52" s="930"/>
      <c r="G52" s="911"/>
      <c r="H52" s="911"/>
      <c r="I52" s="912"/>
      <c r="J52" s="23"/>
    </row>
    <row r="53" spans="1:12" s="241" customFormat="1" ht="25.5" x14ac:dyDescent="0.2">
      <c r="A53" s="972" t="s">
        <v>484</v>
      </c>
      <c r="B53" s="962" t="s">
        <v>512</v>
      </c>
      <c r="C53" s="318" t="s">
        <v>748</v>
      </c>
      <c r="D53" s="469">
        <f>SUM(D54:D57)</f>
        <v>191795.36</v>
      </c>
      <c r="E53" s="911"/>
      <c r="F53" s="911"/>
      <c r="G53" s="911">
        <v>0</v>
      </c>
      <c r="H53" s="911">
        <v>0</v>
      </c>
      <c r="I53" s="912">
        <v>0</v>
      </c>
      <c r="J53" s="23">
        <f>SUM(D53:I53)</f>
        <v>191795.36</v>
      </c>
    </row>
    <row r="54" spans="1:12" x14ac:dyDescent="0.2">
      <c r="A54" s="969">
        <v>54105</v>
      </c>
      <c r="B54" s="963"/>
      <c r="C54" s="319" t="s">
        <v>730</v>
      </c>
      <c r="D54" s="910">
        <v>140.94999999999999</v>
      </c>
      <c r="E54" s="930"/>
      <c r="F54" s="930"/>
      <c r="G54" s="930">
        <v>0</v>
      </c>
      <c r="H54" s="930">
        <v>0</v>
      </c>
      <c r="I54" s="931">
        <v>0</v>
      </c>
      <c r="J54" s="932">
        <f t="shared" ref="J54" si="10">SUM(D54:I54)</f>
        <v>140.94999999999999</v>
      </c>
    </row>
    <row r="55" spans="1:12" x14ac:dyDescent="0.2">
      <c r="A55" s="969">
        <v>51999</v>
      </c>
      <c r="B55" s="963"/>
      <c r="C55" s="319" t="s">
        <v>729</v>
      </c>
      <c r="D55" s="910">
        <v>28920</v>
      </c>
      <c r="E55" s="930"/>
      <c r="F55" s="930"/>
      <c r="G55" s="930">
        <v>0</v>
      </c>
      <c r="H55" s="930">
        <v>0</v>
      </c>
      <c r="I55" s="931">
        <v>0</v>
      </c>
      <c r="J55" s="932">
        <f t="shared" ref="J55" si="11">SUM(D55:I55)</f>
        <v>28920</v>
      </c>
    </row>
    <row r="56" spans="1:12" x14ac:dyDescent="0.2">
      <c r="A56" s="969">
        <v>56304</v>
      </c>
      <c r="B56" s="963"/>
      <c r="C56" s="319" t="s">
        <v>728</v>
      </c>
      <c r="D56" s="910">
        <f>67400</f>
        <v>67400</v>
      </c>
      <c r="E56" s="930"/>
      <c r="F56" s="930"/>
      <c r="G56" s="930">
        <v>0</v>
      </c>
      <c r="H56" s="930">
        <v>0</v>
      </c>
      <c r="I56" s="931">
        <v>0</v>
      </c>
      <c r="J56" s="932">
        <f t="shared" ref="J56" si="12">SUM(D56:I56)</f>
        <v>67400</v>
      </c>
    </row>
    <row r="57" spans="1:12" x14ac:dyDescent="0.2">
      <c r="A57" s="969">
        <v>56305</v>
      </c>
      <c r="B57" s="963"/>
      <c r="C57" s="319" t="s">
        <v>727</v>
      </c>
      <c r="D57" s="910">
        <f>62305.56+33028.85</f>
        <v>95334.41</v>
      </c>
      <c r="E57" s="930"/>
      <c r="F57" s="930"/>
      <c r="G57" s="930">
        <v>0</v>
      </c>
      <c r="H57" s="930">
        <v>0</v>
      </c>
      <c r="I57" s="931">
        <v>0</v>
      </c>
      <c r="J57" s="932">
        <f t="shared" ref="J57:J58" si="13">SUM(D57:I57)</f>
        <v>95334.41</v>
      </c>
    </row>
    <row r="58" spans="1:12" x14ac:dyDescent="0.2">
      <c r="A58" s="970" t="s">
        <v>484</v>
      </c>
      <c r="B58" s="963"/>
      <c r="C58" s="319"/>
      <c r="D58" s="910">
        <v>0</v>
      </c>
      <c r="E58" s="930"/>
      <c r="F58" s="930"/>
      <c r="G58" s="930">
        <v>0</v>
      </c>
      <c r="H58" s="930">
        <v>0</v>
      </c>
      <c r="I58" s="931">
        <v>0</v>
      </c>
      <c r="J58" s="932">
        <f t="shared" si="13"/>
        <v>0</v>
      </c>
    </row>
    <row r="59" spans="1:12" s="241" customFormat="1" x14ac:dyDescent="0.2">
      <c r="A59" s="972" t="s">
        <v>484</v>
      </c>
      <c r="B59" s="962" t="s">
        <v>513</v>
      </c>
      <c r="C59" s="318" t="s">
        <v>711</v>
      </c>
      <c r="D59" s="469">
        <f>SUM(D60:D63)</f>
        <v>16630</v>
      </c>
      <c r="E59" s="911"/>
      <c r="F59" s="911"/>
      <c r="G59" s="911">
        <f>SUM(G60:G63)</f>
        <v>0</v>
      </c>
      <c r="H59" s="911">
        <v>0</v>
      </c>
      <c r="I59" s="912">
        <v>0</v>
      </c>
      <c r="J59" s="23">
        <f t="shared" ref="J59:J72" si="14">SUM(D59:I59)</f>
        <v>16630</v>
      </c>
    </row>
    <row r="60" spans="1:12" x14ac:dyDescent="0.2">
      <c r="A60" s="969">
        <v>51999</v>
      </c>
      <c r="B60" s="963"/>
      <c r="C60" s="319" t="s">
        <v>729</v>
      </c>
      <c r="D60" s="910">
        <f>80+35+50+50+35+35+35+35+35+35</f>
        <v>425</v>
      </c>
      <c r="E60" s="930"/>
      <c r="F60" s="930"/>
      <c r="G60" s="930">
        <v>0</v>
      </c>
      <c r="H60" s="930">
        <v>0</v>
      </c>
      <c r="I60" s="931">
        <v>0</v>
      </c>
      <c r="J60" s="932">
        <f t="shared" ref="J60" si="15">SUM(D60:I60)</f>
        <v>425</v>
      </c>
    </row>
    <row r="61" spans="1:12" x14ac:dyDescent="0.2">
      <c r="A61" s="969">
        <v>54101</v>
      </c>
      <c r="B61" s="963"/>
      <c r="C61" s="319" t="s">
        <v>731</v>
      </c>
      <c r="D61" s="910">
        <f>40+135+60+300+300+300+15+15+15+15+15+15</f>
        <v>1225</v>
      </c>
      <c r="E61" s="930"/>
      <c r="F61" s="930"/>
      <c r="G61" s="930">
        <v>0</v>
      </c>
      <c r="H61" s="930">
        <v>0</v>
      </c>
      <c r="I61" s="931">
        <v>0</v>
      </c>
      <c r="J61" s="932">
        <f t="shared" ref="J61:J64" si="16">SUM(D61:I61)</f>
        <v>1225</v>
      </c>
    </row>
    <row r="62" spans="1:12" x14ac:dyDescent="0.2">
      <c r="A62" s="969">
        <v>54116</v>
      </c>
      <c r="B62" s="963"/>
      <c r="C62" s="319" t="s">
        <v>732</v>
      </c>
      <c r="D62" s="910">
        <f>130</f>
        <v>130</v>
      </c>
      <c r="E62" s="930"/>
      <c r="F62" s="930"/>
      <c r="G62" s="930">
        <v>0</v>
      </c>
      <c r="H62" s="930">
        <v>0</v>
      </c>
      <c r="I62" s="931">
        <v>0</v>
      </c>
      <c r="J62" s="932">
        <f t="shared" ref="J62" si="17">SUM(D62:I62)</f>
        <v>130</v>
      </c>
    </row>
    <row r="63" spans="1:12" x14ac:dyDescent="0.2">
      <c r="A63" s="969">
        <v>56304</v>
      </c>
      <c r="B63" s="963"/>
      <c r="C63" s="319" t="s">
        <v>728</v>
      </c>
      <c r="D63" s="910">
        <f>1500+750+2250+750+2250+750+2250+225+500+225+500+225+500+225+500+225+500+225+500</f>
        <v>14850</v>
      </c>
      <c r="E63" s="930"/>
      <c r="F63" s="930"/>
      <c r="G63" s="930">
        <v>0</v>
      </c>
      <c r="H63" s="930">
        <v>0</v>
      </c>
      <c r="I63" s="931">
        <v>0</v>
      </c>
      <c r="J63" s="932">
        <f t="shared" ref="J63" si="18">SUM(D63:I63)</f>
        <v>14850</v>
      </c>
    </row>
    <row r="64" spans="1:12" x14ac:dyDescent="0.2">
      <c r="A64" s="970" t="s">
        <v>484</v>
      </c>
      <c r="B64" s="963"/>
      <c r="C64" s="319"/>
      <c r="D64" s="910">
        <v>0</v>
      </c>
      <c r="E64" s="930"/>
      <c r="F64" s="930"/>
      <c r="G64" s="930">
        <v>0</v>
      </c>
      <c r="H64" s="930">
        <v>0</v>
      </c>
      <c r="I64" s="931">
        <v>0</v>
      </c>
      <c r="J64" s="932">
        <f t="shared" si="16"/>
        <v>0</v>
      </c>
    </row>
    <row r="65" spans="1:11" s="241" customFormat="1" x14ac:dyDescent="0.2">
      <c r="A65" s="972" t="s">
        <v>484</v>
      </c>
      <c r="B65" s="962" t="s">
        <v>739</v>
      </c>
      <c r="C65" s="318" t="s">
        <v>716</v>
      </c>
      <c r="D65" s="469">
        <f>SUM(D66)</f>
        <v>29204.35</v>
      </c>
      <c r="E65" s="911"/>
      <c r="F65" s="911"/>
      <c r="G65" s="911">
        <f t="shared" ref="G65:I65" si="19">SUM(G66)</f>
        <v>0</v>
      </c>
      <c r="H65" s="911">
        <f t="shared" si="19"/>
        <v>0</v>
      </c>
      <c r="I65" s="912">
        <f t="shared" si="19"/>
        <v>0</v>
      </c>
      <c r="J65" s="23">
        <f t="shared" ref="J65:J66" si="20">SUM(D65:I65)</f>
        <v>29204.35</v>
      </c>
      <c r="K65" s="934"/>
    </row>
    <row r="66" spans="1:11" x14ac:dyDescent="0.2">
      <c r="A66" s="969">
        <v>61603</v>
      </c>
      <c r="B66" s="958"/>
      <c r="C66" s="319" t="s">
        <v>473</v>
      </c>
      <c r="D66" s="910">
        <v>29204.35</v>
      </c>
      <c r="E66" s="930"/>
      <c r="F66" s="930"/>
      <c r="G66" s="930">
        <v>0</v>
      </c>
      <c r="H66" s="930">
        <v>0</v>
      </c>
      <c r="I66" s="931">
        <v>0</v>
      </c>
      <c r="J66" s="932">
        <f t="shared" si="20"/>
        <v>29204.35</v>
      </c>
      <c r="K66" s="3"/>
    </row>
    <row r="67" spans="1:11" x14ac:dyDescent="0.2">
      <c r="A67" s="970" t="s">
        <v>484</v>
      </c>
      <c r="B67" s="963"/>
      <c r="C67" s="318"/>
      <c r="D67" s="910"/>
      <c r="E67" s="930"/>
      <c r="F67" s="930"/>
      <c r="G67" s="930"/>
      <c r="H67" s="930"/>
      <c r="I67" s="931"/>
      <c r="J67" s="932"/>
      <c r="K67" s="3"/>
    </row>
    <row r="68" spans="1:11" s="241" customFormat="1" x14ac:dyDescent="0.2">
      <c r="A68" s="972" t="s">
        <v>484</v>
      </c>
      <c r="B68" s="959" t="s">
        <v>474</v>
      </c>
      <c r="C68" s="318" t="s">
        <v>742</v>
      </c>
      <c r="D68" s="469">
        <f>SUM(D69)</f>
        <v>21698.52</v>
      </c>
      <c r="E68" s="911"/>
      <c r="F68" s="911"/>
      <c r="G68" s="911">
        <f t="shared" ref="G68:I68" si="21">SUM(G69)</f>
        <v>0</v>
      </c>
      <c r="H68" s="911">
        <f t="shared" si="21"/>
        <v>0</v>
      </c>
      <c r="I68" s="912">
        <f t="shared" si="21"/>
        <v>0</v>
      </c>
      <c r="J68" s="23">
        <f t="shared" si="14"/>
        <v>21698.52</v>
      </c>
    </row>
    <row r="69" spans="1:11" x14ac:dyDescent="0.2">
      <c r="A69" s="969">
        <v>61603</v>
      </c>
      <c r="B69" s="958"/>
      <c r="C69" s="319" t="s">
        <v>473</v>
      </c>
      <c r="D69" s="910">
        <v>21698.52</v>
      </c>
      <c r="E69" s="930"/>
      <c r="F69" s="930"/>
      <c r="G69" s="930">
        <v>0</v>
      </c>
      <c r="H69" s="930">
        <v>0</v>
      </c>
      <c r="I69" s="931">
        <v>0</v>
      </c>
      <c r="J69" s="932">
        <f t="shared" si="14"/>
        <v>21698.52</v>
      </c>
    </row>
    <row r="70" spans="1:11" x14ac:dyDescent="0.2">
      <c r="A70" s="970" t="s">
        <v>484</v>
      </c>
      <c r="B70" s="961"/>
      <c r="C70" s="319"/>
      <c r="D70" s="910"/>
      <c r="E70" s="930"/>
      <c r="F70" s="930"/>
      <c r="G70" s="930"/>
      <c r="H70" s="930"/>
      <c r="I70" s="931"/>
      <c r="J70" s="932"/>
    </row>
    <row r="71" spans="1:11" s="241" customFormat="1" x14ac:dyDescent="0.2">
      <c r="A71" s="972" t="s">
        <v>484</v>
      </c>
      <c r="B71" s="959" t="s">
        <v>475</v>
      </c>
      <c r="C71" s="318" t="s">
        <v>743</v>
      </c>
      <c r="D71" s="469">
        <f>SUM(D72)</f>
        <v>0</v>
      </c>
      <c r="E71" s="911"/>
      <c r="F71" s="911"/>
      <c r="G71" s="911">
        <f t="shared" ref="G71" si="22">SUM(G72)</f>
        <v>0</v>
      </c>
      <c r="H71" s="911">
        <f t="shared" ref="H71" si="23">SUM(H72)</f>
        <v>0</v>
      </c>
      <c r="I71" s="912">
        <f t="shared" ref="I71" si="24">SUM(I72)</f>
        <v>23906.229999999996</v>
      </c>
      <c r="J71" s="23">
        <f t="shared" si="14"/>
        <v>23906.229999999996</v>
      </c>
    </row>
    <row r="72" spans="1:11" x14ac:dyDescent="0.2">
      <c r="A72" s="969">
        <v>61603</v>
      </c>
      <c r="B72" s="958"/>
      <c r="C72" s="319" t="s">
        <v>473</v>
      </c>
      <c r="D72" s="910">
        <v>0</v>
      </c>
      <c r="E72" s="930">
        <v>0</v>
      </c>
      <c r="F72" s="930">
        <v>0</v>
      </c>
      <c r="G72" s="930">
        <v>0</v>
      </c>
      <c r="H72" s="930">
        <v>0</v>
      </c>
      <c r="I72" s="931">
        <f>49343.34-25437.11</f>
        <v>23906.229999999996</v>
      </c>
      <c r="J72" s="932">
        <f t="shared" si="14"/>
        <v>23906.229999999996</v>
      </c>
    </row>
    <row r="73" spans="1:11" x14ac:dyDescent="0.2">
      <c r="A73" s="1029" t="s">
        <v>484</v>
      </c>
      <c r="B73" s="1030"/>
      <c r="C73" s="1024"/>
      <c r="D73" s="1025"/>
      <c r="E73" s="1026"/>
      <c r="F73" s="1026"/>
      <c r="G73" s="1026"/>
      <c r="H73" s="1026"/>
      <c r="I73" s="1027"/>
      <c r="J73" s="1028"/>
    </row>
    <row r="74" spans="1:11" s="241" customFormat="1" ht="20.25" customHeight="1" x14ac:dyDescent="0.2">
      <c r="A74" s="972" t="s">
        <v>484</v>
      </c>
      <c r="B74" s="959" t="s">
        <v>475</v>
      </c>
      <c r="C74" s="318" t="s">
        <v>744</v>
      </c>
      <c r="D74" s="935">
        <f>SUM(D75)</f>
        <v>571.11</v>
      </c>
      <c r="E74" s="936">
        <v>0</v>
      </c>
      <c r="F74" s="936">
        <v>0</v>
      </c>
      <c r="G74" s="936">
        <f t="shared" ref="G74:I74" si="25">SUM(G75)</f>
        <v>0</v>
      </c>
      <c r="H74" s="936">
        <f t="shared" si="25"/>
        <v>0</v>
      </c>
      <c r="I74" s="937">
        <f t="shared" si="25"/>
        <v>0</v>
      </c>
      <c r="J74" s="938">
        <f t="shared" ref="J74" si="26">SUM(D74:I74)</f>
        <v>571.11</v>
      </c>
    </row>
    <row r="75" spans="1:11" x14ac:dyDescent="0.2">
      <c r="A75" s="969">
        <v>61603</v>
      </c>
      <c r="B75" s="958"/>
      <c r="C75" s="319" t="s">
        <v>473</v>
      </c>
      <c r="D75" s="910">
        <v>571.11</v>
      </c>
      <c r="E75" s="930">
        <v>0</v>
      </c>
      <c r="F75" s="930">
        <v>0</v>
      </c>
      <c r="G75" s="930">
        <v>0</v>
      </c>
      <c r="H75" s="930">
        <v>0</v>
      </c>
      <c r="I75" s="931">
        <v>0</v>
      </c>
      <c r="J75" s="932">
        <f t="shared" ref="J75" si="27">SUM(D75:I75)</f>
        <v>571.11</v>
      </c>
    </row>
    <row r="76" spans="1:11" x14ac:dyDescent="0.2">
      <c r="A76" s="970" t="s">
        <v>484</v>
      </c>
      <c r="B76" s="959"/>
      <c r="C76" s="318"/>
      <c r="D76" s="910"/>
      <c r="E76" s="930"/>
      <c r="F76" s="930"/>
      <c r="G76" s="930"/>
      <c r="H76" s="930"/>
      <c r="I76" s="912"/>
      <c r="J76" s="23"/>
    </row>
    <row r="77" spans="1:11" s="241" customFormat="1" ht="25.5" x14ac:dyDescent="0.2">
      <c r="A77" s="972" t="s">
        <v>484</v>
      </c>
      <c r="B77" s="959" t="s">
        <v>477</v>
      </c>
      <c r="C77" s="318" t="s">
        <v>745</v>
      </c>
      <c r="D77" s="935">
        <f>SUM(D78)</f>
        <v>13575.22</v>
      </c>
      <c r="E77" s="936"/>
      <c r="F77" s="936"/>
      <c r="G77" s="936">
        <v>0</v>
      </c>
      <c r="H77" s="936">
        <v>0</v>
      </c>
      <c r="I77" s="937">
        <v>0</v>
      </c>
      <c r="J77" s="938">
        <f>SUM(D77:I77)</f>
        <v>13575.22</v>
      </c>
    </row>
    <row r="78" spans="1:11" s="706" customFormat="1" x14ac:dyDescent="0.2">
      <c r="A78" s="969">
        <v>61604</v>
      </c>
      <c r="B78" s="958"/>
      <c r="C78" s="319" t="s">
        <v>478</v>
      </c>
      <c r="D78" s="910">
        <v>13575.22</v>
      </c>
      <c r="E78" s="930"/>
      <c r="F78" s="930"/>
      <c r="G78" s="930">
        <v>0</v>
      </c>
      <c r="H78" s="930">
        <v>0</v>
      </c>
      <c r="I78" s="931">
        <v>0</v>
      </c>
      <c r="J78" s="932">
        <f>SUM(D78:I78)</f>
        <v>13575.22</v>
      </c>
    </row>
    <row r="79" spans="1:11" s="2" customFormat="1" x14ac:dyDescent="0.2">
      <c r="A79" s="970" t="s">
        <v>484</v>
      </c>
      <c r="B79" s="958"/>
      <c r="C79" s="319"/>
      <c r="D79" s="910"/>
      <c r="E79" s="930"/>
      <c r="F79" s="930"/>
      <c r="G79" s="930"/>
      <c r="H79" s="930"/>
      <c r="I79" s="931"/>
      <c r="J79" s="952"/>
    </row>
    <row r="80" spans="1:11" s="241" customFormat="1" ht="25.5" x14ac:dyDescent="0.2">
      <c r="A80" s="972" t="s">
        <v>484</v>
      </c>
      <c r="B80" s="959" t="s">
        <v>475</v>
      </c>
      <c r="C80" s="318" t="s">
        <v>723</v>
      </c>
      <c r="D80" s="469">
        <f>SUM(D81)</f>
        <v>20000</v>
      </c>
      <c r="E80" s="911"/>
      <c r="F80" s="911"/>
      <c r="G80" s="911">
        <f t="shared" ref="G80:I80" si="28">SUM(G81)</f>
        <v>0</v>
      </c>
      <c r="H80" s="911">
        <f t="shared" si="28"/>
        <v>0</v>
      </c>
      <c r="I80" s="912">
        <f t="shared" si="28"/>
        <v>0</v>
      </c>
      <c r="J80" s="23">
        <f>SUM(D80:I80)</f>
        <v>20000</v>
      </c>
    </row>
    <row r="81" spans="1:12" s="706" customFormat="1" x14ac:dyDescent="0.2">
      <c r="A81" s="969">
        <v>61606</v>
      </c>
      <c r="B81" s="958"/>
      <c r="C81" s="319" t="s">
        <v>740</v>
      </c>
      <c r="D81" s="910">
        <v>20000</v>
      </c>
      <c r="E81" s="930"/>
      <c r="F81" s="930"/>
      <c r="G81" s="930">
        <v>0</v>
      </c>
      <c r="H81" s="930">
        <v>0</v>
      </c>
      <c r="I81" s="931">
        <v>0</v>
      </c>
      <c r="J81" s="932">
        <f>SUM(D81:I81)</f>
        <v>20000</v>
      </c>
      <c r="L81" s="933"/>
    </row>
    <row r="82" spans="1:12" x14ac:dyDescent="0.2">
      <c r="A82" s="970" t="s">
        <v>484</v>
      </c>
      <c r="B82" s="958"/>
      <c r="C82" s="319"/>
      <c r="D82" s="910"/>
      <c r="E82" s="930"/>
      <c r="F82" s="930"/>
      <c r="G82" s="930"/>
      <c r="H82" s="930"/>
      <c r="I82" s="931"/>
      <c r="J82" s="932"/>
    </row>
    <row r="83" spans="1:12" s="241" customFormat="1" ht="25.5" x14ac:dyDescent="0.2">
      <c r="A83" s="975" t="s">
        <v>484</v>
      </c>
      <c r="B83" s="959" t="s">
        <v>475</v>
      </c>
      <c r="C83" s="318" t="s">
        <v>749</v>
      </c>
      <c r="D83" s="470">
        <f>SUM(D84)</f>
        <v>20000</v>
      </c>
      <c r="E83" s="913"/>
      <c r="F83" s="913"/>
      <c r="G83" s="913">
        <f t="shared" ref="G83" si="29">SUM(G84)</f>
        <v>0</v>
      </c>
      <c r="H83" s="913">
        <f t="shared" ref="H83" si="30">SUM(H84)</f>
        <v>0</v>
      </c>
      <c r="I83" s="914">
        <f t="shared" ref="I83" si="31">SUM(I84)</f>
        <v>0</v>
      </c>
      <c r="J83" s="23">
        <f>SUM(D83:I83)</f>
        <v>20000</v>
      </c>
    </row>
    <row r="84" spans="1:12" s="706" customFormat="1" x14ac:dyDescent="0.2">
      <c r="A84" s="969">
        <v>61699</v>
      </c>
      <c r="B84" s="958"/>
      <c r="C84" s="319" t="s">
        <v>483</v>
      </c>
      <c r="D84" s="939">
        <v>20000</v>
      </c>
      <c r="E84" s="940"/>
      <c r="F84" s="940"/>
      <c r="G84" s="940"/>
      <c r="H84" s="940"/>
      <c r="I84" s="941"/>
      <c r="J84" s="932">
        <f>SUM(D84:I84)</f>
        <v>20000</v>
      </c>
    </row>
    <row r="85" spans="1:12" x14ac:dyDescent="0.2">
      <c r="A85" s="976" t="s">
        <v>484</v>
      </c>
      <c r="B85" s="961"/>
      <c r="C85" s="915"/>
      <c r="D85" s="939"/>
      <c r="E85" s="940"/>
      <c r="F85" s="940"/>
      <c r="G85" s="940"/>
      <c r="H85" s="940"/>
      <c r="I85" s="941"/>
      <c r="J85" s="932"/>
    </row>
    <row r="86" spans="1:12" s="241" customFormat="1" x14ac:dyDescent="0.2">
      <c r="A86" s="975" t="s">
        <v>484</v>
      </c>
      <c r="B86" s="959" t="s">
        <v>475</v>
      </c>
      <c r="C86" s="71" t="s">
        <v>712</v>
      </c>
      <c r="D86" s="470">
        <f>SUM(D87)</f>
        <v>2000</v>
      </c>
      <c r="E86" s="913"/>
      <c r="F86" s="913"/>
      <c r="G86" s="913">
        <f t="shared" ref="G86" si="32">SUM(G87)</f>
        <v>0</v>
      </c>
      <c r="H86" s="913">
        <f t="shared" ref="H86" si="33">SUM(H87)</f>
        <v>0</v>
      </c>
      <c r="I86" s="914">
        <f t="shared" ref="I86" si="34">SUM(I87)</f>
        <v>0</v>
      </c>
      <c r="J86" s="23">
        <f>SUM(D86:I86)</f>
        <v>2000</v>
      </c>
    </row>
    <row r="87" spans="1:12" x14ac:dyDescent="0.2">
      <c r="A87" s="969">
        <v>61699</v>
      </c>
      <c r="B87" s="958"/>
      <c r="C87" s="319" t="s">
        <v>483</v>
      </c>
      <c r="D87" s="939">
        <v>2000</v>
      </c>
      <c r="E87" s="940"/>
      <c r="F87" s="940"/>
      <c r="G87" s="940">
        <v>0</v>
      </c>
      <c r="H87" s="940">
        <v>0</v>
      </c>
      <c r="I87" s="941">
        <v>0</v>
      </c>
      <c r="J87" s="932">
        <f>SUM(D87:I87)</f>
        <v>2000</v>
      </c>
    </row>
    <row r="88" spans="1:12" x14ac:dyDescent="0.2">
      <c r="A88" s="976" t="s">
        <v>484</v>
      </c>
      <c r="B88" s="961"/>
      <c r="C88" s="915"/>
      <c r="D88" s="939"/>
      <c r="E88" s="940"/>
      <c r="F88" s="940"/>
      <c r="G88" s="940"/>
      <c r="H88" s="940"/>
      <c r="I88" s="941"/>
      <c r="J88" s="932"/>
    </row>
    <row r="89" spans="1:12" s="241" customFormat="1" x14ac:dyDescent="0.2">
      <c r="A89" s="975" t="s">
        <v>484</v>
      </c>
      <c r="B89" s="959" t="s">
        <v>475</v>
      </c>
      <c r="C89" s="71" t="s">
        <v>639</v>
      </c>
      <c r="D89" s="470">
        <f>SUM(D90)</f>
        <v>92522.86</v>
      </c>
      <c r="E89" s="913"/>
      <c r="F89" s="913"/>
      <c r="G89" s="913">
        <f t="shared" ref="G89" si="35">SUM(G90)</f>
        <v>0</v>
      </c>
      <c r="H89" s="913">
        <f t="shared" ref="H89" si="36">SUM(H90)</f>
        <v>0</v>
      </c>
      <c r="I89" s="914">
        <f t="shared" ref="I89" si="37">SUM(I90)</f>
        <v>0</v>
      </c>
      <c r="J89" s="23">
        <f>SUM(D89:I89)</f>
        <v>92522.86</v>
      </c>
    </row>
    <row r="90" spans="1:12" x14ac:dyDescent="0.2">
      <c r="A90" s="969">
        <v>61699</v>
      </c>
      <c r="B90" s="958"/>
      <c r="C90" s="319" t="s">
        <v>483</v>
      </c>
      <c r="D90" s="939">
        <f>85000.5+7522.36</f>
        <v>92522.86</v>
      </c>
      <c r="E90" s="940"/>
      <c r="F90" s="940"/>
      <c r="G90" s="940">
        <v>0</v>
      </c>
      <c r="H90" s="940">
        <v>0</v>
      </c>
      <c r="I90" s="941">
        <v>0</v>
      </c>
      <c r="J90" s="932">
        <f>SUM(D90:I90)</f>
        <v>92522.86</v>
      </c>
    </row>
    <row r="91" spans="1:12" ht="13.5" thickBot="1" x14ac:dyDescent="0.25">
      <c r="A91" s="943" t="s">
        <v>484</v>
      </c>
      <c r="B91" s="957"/>
      <c r="C91" s="944"/>
      <c r="D91" s="953"/>
      <c r="E91" s="948"/>
      <c r="F91" s="948"/>
      <c r="G91" s="948"/>
      <c r="H91" s="948"/>
      <c r="I91" s="950"/>
      <c r="J91" s="932"/>
    </row>
    <row r="92" spans="1:12" s="1" customFormat="1" ht="13.5" thickBot="1" x14ac:dyDescent="0.25">
      <c r="A92" s="918"/>
      <c r="B92" s="964"/>
      <c r="C92" s="472" t="s">
        <v>619</v>
      </c>
      <c r="D92" s="473">
        <f>D14+D17+D24+D27+D32+D35+D38+D41+D44+D47+D50+D53+D59+D65+D68+D71+D74+D77+D80+D83+D86+D89</f>
        <v>663443.99999999988</v>
      </c>
      <c r="E92" s="474">
        <f>SUM(E14:E91)</f>
        <v>0</v>
      </c>
      <c r="F92" s="474">
        <f>SUM(F14:F91)</f>
        <v>0</v>
      </c>
      <c r="G92" s="474">
        <f t="shared" ref="G92:H92" si="38">G14+G17+G24+G27+G32+G35+G38+G41+G44+G47+G50+G53+G59+G65+G68+G71+G74+G77+G80+G83+G86+G89</f>
        <v>0</v>
      </c>
      <c r="H92" s="474">
        <f t="shared" si="38"/>
        <v>0</v>
      </c>
      <c r="I92" s="475">
        <f>I14+I17+I24+I27+I32+I35+I38+I41+I44+I47+I50+I53+I59+I65+I68+I71+I74+I77+I80+I83+I86+I89</f>
        <v>23906.229999999996</v>
      </c>
      <c r="J92" s="476">
        <f>J14+J17+J24+J27+J32+J35+J38+J41+J44+J47+J50+J53+J59+J65+J68+J71+J74+J77+J80+J83+J86+J89</f>
        <v>687350.22999999986</v>
      </c>
    </row>
    <row r="93" spans="1:12" x14ac:dyDescent="0.2">
      <c r="D93" s="183"/>
      <c r="H93" s="183"/>
      <c r="I93" s="183"/>
      <c r="J93" s="3"/>
    </row>
    <row r="94" spans="1:12" x14ac:dyDescent="0.2">
      <c r="G94" s="171"/>
      <c r="H94" s="183"/>
      <c r="I94" s="183"/>
      <c r="J94" s="3"/>
    </row>
    <row r="95" spans="1:12" x14ac:dyDescent="0.2">
      <c r="D95" s="171"/>
      <c r="G95" s="183"/>
      <c r="H95" s="183"/>
      <c r="I95" s="942"/>
    </row>
    <row r="96" spans="1:12" x14ac:dyDescent="0.2">
      <c r="G96" s="183"/>
      <c r="H96" s="183"/>
    </row>
    <row r="97" spans="7:8" x14ac:dyDescent="0.2">
      <c r="G97" s="171"/>
      <c r="H97" s="183"/>
    </row>
  </sheetData>
  <autoFilter ref="A10:J92">
    <filterColumn colId="3" showButton="0"/>
    <filterColumn colId="4" showButton="0"/>
    <filterColumn colId="5" showButton="0"/>
    <filterColumn colId="6" showButton="0"/>
    <filterColumn colId="7" showButton="0"/>
  </autoFilter>
  <mergeCells count="12">
    <mergeCell ref="A1:J1"/>
    <mergeCell ref="A2:J2"/>
    <mergeCell ref="A4:J4"/>
    <mergeCell ref="A5:J5"/>
    <mergeCell ref="A6:J6"/>
    <mergeCell ref="A7:J7"/>
    <mergeCell ref="A8:J8"/>
    <mergeCell ref="A10:A11"/>
    <mergeCell ref="B10:B11"/>
    <mergeCell ref="C10:C11"/>
    <mergeCell ref="J10:J11"/>
    <mergeCell ref="D10:I10"/>
  </mergeCells>
  <phoneticPr fontId="6" type="noConversion"/>
  <printOptions horizontalCentered="1"/>
  <pageMargins left="0.27559055118110237" right="0.23622047244094491" top="0.82677165354330717" bottom="0.82677165354330717" header="0" footer="0"/>
  <pageSetup scale="8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9</vt:i4>
      </vt:variant>
    </vt:vector>
  </HeadingPairs>
  <TitlesOfParts>
    <vt:vector size="27" baseType="lpstr">
      <vt:lpstr>ESTRUCTURA PRESP.</vt:lpstr>
      <vt:lpstr>ING. REALES</vt:lpstr>
      <vt:lpstr>DISTRIBUCIÓN</vt:lpstr>
      <vt:lpstr>PLLA MUNICIPAL HONORARIOS</vt:lpstr>
      <vt:lpstr>PLLA MUNICIPAL LEY SAL</vt:lpstr>
      <vt:lpstr>PLLA DIETAS</vt:lpstr>
      <vt:lpstr>egresos 25% y F.P</vt:lpstr>
      <vt:lpstr>AG1</vt:lpstr>
      <vt:lpstr>AG3</vt:lpstr>
      <vt:lpstr>AG4</vt:lpstr>
      <vt:lpstr>AG5</vt:lpstr>
      <vt:lpstr>CONSOLIDADO</vt:lpstr>
      <vt:lpstr>PRESUP.DE EGRESOS</vt:lpstr>
      <vt:lpstr>RESUMEN1</vt:lpstr>
      <vt:lpstr>RESUMEN2</vt:lpstr>
      <vt:lpstr>RESUMEN3</vt:lpstr>
      <vt:lpstr>RESUMEN4</vt:lpstr>
      <vt:lpstr>Hoja2</vt:lpstr>
      <vt:lpstr>'egresos 25% y F.P'!Área_de_impresión</vt:lpstr>
      <vt:lpstr>'ESTRUCTURA PRESP.'!Área_de_impresión</vt:lpstr>
      <vt:lpstr>'AG1'!Títulos_a_imprimir</vt:lpstr>
      <vt:lpstr>'AG3'!Títulos_a_imprimir</vt:lpstr>
      <vt:lpstr>'AG4'!Títulos_a_imprimir</vt:lpstr>
      <vt:lpstr>CONSOLIDADO!Títulos_a_imprimir</vt:lpstr>
      <vt:lpstr>DISTRIBUCIÓN!Títulos_a_imprimir</vt:lpstr>
      <vt:lpstr>'ING. REALES'!Títulos_a_imprimir</vt:lpstr>
      <vt:lpstr>'PRESUP.DE EGRESOS'!Títulos_a_imprimir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Carmen</dc:creator>
  <cp:lastModifiedBy>USUARIO</cp:lastModifiedBy>
  <cp:lastPrinted>2016-05-23T20:04:12Z</cp:lastPrinted>
  <dcterms:created xsi:type="dcterms:W3CDTF">2009-03-12T16:54:49Z</dcterms:created>
  <dcterms:modified xsi:type="dcterms:W3CDTF">2021-08-10T17:17:55Z</dcterms:modified>
</cp:coreProperties>
</file>