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PRESUPUESTOS MUNICIPAL\PRESUPUESTO 2014. DEFINITIVO\"/>
    </mc:Choice>
  </mc:AlternateContent>
  <bookViews>
    <workbookView xWindow="480" yWindow="180" windowWidth="7995" windowHeight="5775" tabRatio="929" firstSheet="4" activeTab="15"/>
  </bookViews>
  <sheets>
    <sheet name="ESTRUCTURA PRESP." sheetId="15" r:id="rId1"/>
    <sheet name="ING. REALES" sheetId="18" r:id="rId2"/>
    <sheet name="PLLA MUNICIPAL HONORARIOS" sheetId="20" r:id="rId3"/>
    <sheet name="PLLA MUNICIPAL LEY SAL" sheetId="22" r:id="rId4"/>
    <sheet name="PLLA DIETAS" sheetId="21" r:id="rId5"/>
    <sheet name="egresos 25% y F.P" sheetId="4" r:id="rId6"/>
    <sheet name="AG1" sheetId="5" r:id="rId7"/>
    <sheet name="AG3" sheetId="6" r:id="rId8"/>
    <sheet name="AG4" sheetId="7" r:id="rId9"/>
    <sheet name="AG5" sheetId="8" r:id="rId10"/>
    <sheet name="CONSOLIDADO" sheetId="9" r:id="rId11"/>
    <sheet name="PRESUP.DE EGRESOS" sheetId="10" r:id="rId12"/>
    <sheet name="RESUMEN1" sheetId="11" r:id="rId13"/>
    <sheet name="RESUMEN2" sheetId="12" r:id="rId14"/>
    <sheet name="RESUMEN3" sheetId="13" r:id="rId15"/>
    <sheet name="RESUMEN4" sheetId="14" r:id="rId16"/>
  </sheets>
  <definedNames>
    <definedName name="_xlnm._FilterDatabase" localSheetId="7" hidden="1">'AG3'!$A$12:$J$63</definedName>
    <definedName name="_xlnm._FilterDatabase" localSheetId="8" hidden="1">'AG4'!$A$10:$I$47</definedName>
    <definedName name="_xlnm._FilterDatabase" localSheetId="5" hidden="1">'egresos 25% y F.P'!$A$111:$G$198</definedName>
    <definedName name="_xlnm.Print_Area" localSheetId="0">'ESTRUCTURA PRESP.'!$B$1:$E$22</definedName>
    <definedName name="_xlnm.Print_Titles" localSheetId="6">'AG1'!$3:$13</definedName>
    <definedName name="_xlnm.Print_Titles" localSheetId="7">'AG3'!$3:$13</definedName>
    <definedName name="_xlnm.Print_Titles" localSheetId="10">CONSOLIDADO!$2:$9</definedName>
    <definedName name="_xlnm.Print_Titles" localSheetId="1">'ING. REALES'!$1:$7</definedName>
    <definedName name="_xlnm.Print_Titles" localSheetId="11">'PRESUP.DE EGRESOS'!$1:$7</definedName>
  </definedNames>
  <calcPr calcId="171027"/>
</workbook>
</file>

<file path=xl/calcChain.xml><?xml version="1.0" encoding="utf-8"?>
<calcChain xmlns="http://schemas.openxmlformats.org/spreadsheetml/2006/main">
  <c r="D32" i="6" l="1"/>
  <c r="D42" i="6" l="1"/>
  <c r="F32" i="4" l="1"/>
  <c r="F16" i="7"/>
  <c r="D31" i="6"/>
  <c r="D43" i="7"/>
  <c r="D61" i="6"/>
  <c r="D22" i="6"/>
  <c r="D16" i="6"/>
  <c r="D25" i="6"/>
  <c r="D21" i="6"/>
  <c r="D15" i="6" l="1"/>
  <c r="D63" i="6"/>
  <c r="I52" i="6"/>
  <c r="J48" i="6"/>
  <c r="J37" i="6"/>
  <c r="J40" i="6"/>
  <c r="D67" i="18" l="1"/>
  <c r="F69" i="18" l="1"/>
  <c r="F68" i="18" s="1"/>
  <c r="E68" i="18"/>
  <c r="D68" i="18"/>
  <c r="C67" i="18" l="1"/>
  <c r="I67" i="18"/>
  <c r="G67" i="18"/>
  <c r="P98" i="9" l="1"/>
  <c r="L97" i="9"/>
  <c r="L98" i="9"/>
  <c r="H19" i="8"/>
  <c r="H20" i="8"/>
  <c r="H21" i="8"/>
  <c r="C19" i="8"/>
  <c r="Q97" i="9" s="1"/>
  <c r="C17" i="8" l="1"/>
  <c r="R97" i="9"/>
  <c r="AG97" i="9" s="1"/>
  <c r="C98" i="10" s="1"/>
  <c r="Q96" i="9"/>
  <c r="R98" i="9"/>
  <c r="C62" i="9"/>
  <c r="F36" i="4"/>
  <c r="F34" i="4"/>
  <c r="F33" i="4"/>
  <c r="K67" i="9" s="1"/>
  <c r="C34" i="4"/>
  <c r="C33" i="4"/>
  <c r="C32" i="4"/>
  <c r="C87" i="4"/>
  <c r="G73" i="4"/>
  <c r="G72" i="4" s="1"/>
  <c r="F72" i="4"/>
  <c r="D72" i="4"/>
  <c r="E72" i="4"/>
  <c r="E67" i="4" s="1"/>
  <c r="C72" i="4"/>
  <c r="F51" i="4"/>
  <c r="F17" i="4"/>
  <c r="F121" i="4"/>
  <c r="F140" i="4"/>
  <c r="C138" i="4"/>
  <c r="F138" i="4"/>
  <c r="F137" i="4" l="1"/>
  <c r="F67" i="9" s="1"/>
  <c r="C137" i="4"/>
  <c r="C136" i="4"/>
  <c r="C191" i="4" l="1"/>
  <c r="F156" i="4" l="1"/>
  <c r="C46" i="9"/>
  <c r="G48" i="22"/>
  <c r="F85" i="9" l="1"/>
  <c r="D86" i="5"/>
  <c r="F17" i="9"/>
  <c r="K17" i="9" s="1"/>
  <c r="G49" i="18" l="1"/>
  <c r="G41" i="18"/>
  <c r="G31" i="18"/>
  <c r="G69" i="18" l="1"/>
  <c r="E67" i="18"/>
  <c r="F67" i="18" s="1"/>
  <c r="J67" i="18" l="1"/>
  <c r="J66" i="18" s="1"/>
  <c r="F66" i="18"/>
  <c r="F65" i="18" s="1"/>
  <c r="G68" i="18"/>
  <c r="J69" i="18"/>
  <c r="G36" i="18"/>
  <c r="G35" i="18" s="1"/>
  <c r="G34" i="18" s="1"/>
  <c r="G30" i="18"/>
  <c r="G15" i="18"/>
  <c r="I69" i="22" l="1"/>
  <c r="I67" i="22"/>
  <c r="G66" i="22"/>
  <c r="G65" i="22"/>
  <c r="H65" i="22" s="1"/>
  <c r="G64" i="22"/>
  <c r="I64" i="22" s="1"/>
  <c r="G63" i="22"/>
  <c r="H63" i="22" s="1"/>
  <c r="G62" i="22"/>
  <c r="I62" i="22" s="1"/>
  <c r="G61" i="22"/>
  <c r="H61" i="22" s="1"/>
  <c r="G60" i="22"/>
  <c r="H60" i="22" s="1"/>
  <c r="G59" i="22"/>
  <c r="G58" i="22"/>
  <c r="G57" i="22"/>
  <c r="I57" i="22" s="1"/>
  <c r="G49" i="22"/>
  <c r="H49" i="22" s="1"/>
  <c r="G47" i="22"/>
  <c r="H47" i="22" s="1"/>
  <c r="G46" i="22"/>
  <c r="H46" i="22" s="1"/>
  <c r="G20" i="22"/>
  <c r="H20" i="22" s="1"/>
  <c r="G19" i="22"/>
  <c r="H19" i="22" s="1"/>
  <c r="G18" i="22"/>
  <c r="I18" i="22" s="1"/>
  <c r="G17" i="22"/>
  <c r="I17" i="22" s="1"/>
  <c r="G16" i="22"/>
  <c r="I16" i="22" s="1"/>
  <c r="G15" i="22"/>
  <c r="G13" i="22"/>
  <c r="H13" i="22" s="1"/>
  <c r="G12" i="22"/>
  <c r="H12" i="22" s="1"/>
  <c r="G11" i="22"/>
  <c r="H11" i="22" s="1"/>
  <c r="G10" i="22"/>
  <c r="H10" i="22" s="1"/>
  <c r="G9" i="22"/>
  <c r="H9" i="22" s="1"/>
  <c r="I58" i="22"/>
  <c r="I59" i="22"/>
  <c r="I60" i="22"/>
  <c r="I65" i="22"/>
  <c r="I66" i="22"/>
  <c r="I68" i="22"/>
  <c r="H58" i="22"/>
  <c r="H59" i="22"/>
  <c r="H66" i="22"/>
  <c r="H68" i="22"/>
  <c r="H69" i="22"/>
  <c r="J69" i="22" s="1"/>
  <c r="M70" i="22"/>
  <c r="L69" i="22"/>
  <c r="L68" i="22"/>
  <c r="D70" i="22"/>
  <c r="L62" i="22"/>
  <c r="I47" i="22"/>
  <c r="I48" i="22"/>
  <c r="I49" i="22"/>
  <c r="I15" i="22"/>
  <c r="H48" i="22"/>
  <c r="G50" i="22"/>
  <c r="I50" i="22" s="1"/>
  <c r="H17" i="22"/>
  <c r="H15" i="22"/>
  <c r="I7" i="20"/>
  <c r="G14" i="18"/>
  <c r="G13" i="18"/>
  <c r="G12" i="18"/>
  <c r="G11" i="18"/>
  <c r="G10" i="18"/>
  <c r="G28" i="18"/>
  <c r="G27" i="18"/>
  <c r="G22" i="18"/>
  <c r="G21" i="18"/>
  <c r="D61" i="18"/>
  <c r="C53" i="18"/>
  <c r="I20" i="22" l="1"/>
  <c r="H18" i="22"/>
  <c r="H50" i="22"/>
  <c r="H16" i="22"/>
  <c r="G25" i="18"/>
  <c r="G18" i="18" s="1"/>
  <c r="G17" i="18" s="1"/>
  <c r="G9" i="18"/>
  <c r="G8" i="18" s="1"/>
  <c r="N69" i="22"/>
  <c r="J68" i="22"/>
  <c r="O68" i="22" s="1"/>
  <c r="L67" i="22"/>
  <c r="H67" i="22"/>
  <c r="J67" i="22" s="1"/>
  <c r="H64" i="22"/>
  <c r="I63" i="22"/>
  <c r="H62" i="22"/>
  <c r="J62" i="22" s="1"/>
  <c r="N62" i="22" s="1"/>
  <c r="I61" i="22"/>
  <c r="H57" i="22"/>
  <c r="G70" i="22"/>
  <c r="I46" i="22"/>
  <c r="I51" i="22" s="1"/>
  <c r="E14" i="9" s="1"/>
  <c r="J14" i="9" s="1"/>
  <c r="I19" i="22"/>
  <c r="O69" i="22"/>
  <c r="I70" i="22" l="1"/>
  <c r="O62" i="22"/>
  <c r="N68" i="22"/>
  <c r="O67" i="22"/>
  <c r="N67" i="22"/>
  <c r="H70" i="22"/>
  <c r="J23" i="6" l="1"/>
  <c r="J26" i="20"/>
  <c r="H26" i="20"/>
  <c r="J9" i="20"/>
  <c r="H9" i="20"/>
  <c r="F135" i="4"/>
  <c r="P99" i="9"/>
  <c r="M133" i="9"/>
  <c r="M127" i="9"/>
  <c r="J61" i="6"/>
  <c r="J58" i="6"/>
  <c r="J55" i="6"/>
  <c r="I42" i="6"/>
  <c r="J47" i="6"/>
  <c r="J49" i="6"/>
  <c r="J50" i="6"/>
  <c r="J51" i="6"/>
  <c r="J52" i="6"/>
  <c r="J46" i="6"/>
  <c r="J43" i="6"/>
  <c r="J34" i="6"/>
  <c r="J35" i="6"/>
  <c r="J36" i="6"/>
  <c r="J38" i="6"/>
  <c r="J39" i="6"/>
  <c r="J33" i="6"/>
  <c r="I25" i="6"/>
  <c r="D60" i="6"/>
  <c r="J60" i="6" s="1"/>
  <c r="D57" i="6"/>
  <c r="J57" i="6" s="1"/>
  <c r="D54" i="6"/>
  <c r="J54" i="6" s="1"/>
  <c r="N142" i="9"/>
  <c r="S94" i="9"/>
  <c r="AG94" i="9" s="1"/>
  <c r="C95" i="10" s="1"/>
  <c r="I16" i="7"/>
  <c r="F14" i="7"/>
  <c r="F13" i="7" s="1"/>
  <c r="I13" i="7" s="1"/>
  <c r="W140" i="9"/>
  <c r="W121" i="9" s="1"/>
  <c r="W163" i="9" s="1"/>
  <c r="G19" i="14" s="1"/>
  <c r="G17" i="14" s="1"/>
  <c r="G16" i="14" s="1"/>
  <c r="O122" i="9"/>
  <c r="N122" i="9"/>
  <c r="E72" i="9"/>
  <c r="E71" i="9" s="1"/>
  <c r="D72" i="9"/>
  <c r="G32" i="4"/>
  <c r="C67" i="5" s="1"/>
  <c r="C103" i="9"/>
  <c r="G103" i="9" s="1"/>
  <c r="AG103" i="9" s="1"/>
  <c r="C104" i="10" s="1"/>
  <c r="D103" i="10" s="1"/>
  <c r="F86" i="9"/>
  <c r="J18" i="6"/>
  <c r="I45" i="7"/>
  <c r="I26" i="7"/>
  <c r="J19" i="6"/>
  <c r="D40" i="7"/>
  <c r="O147" i="9" s="1"/>
  <c r="R147" i="9" s="1"/>
  <c r="O148" i="9"/>
  <c r="H119" i="9"/>
  <c r="G87" i="4"/>
  <c r="C120" i="5" s="1"/>
  <c r="J12" i="18"/>
  <c r="J11" i="18"/>
  <c r="D10" i="21"/>
  <c r="C183" i="4"/>
  <c r="E183" i="4"/>
  <c r="F183" i="4"/>
  <c r="F106" i="5"/>
  <c r="E106" i="5"/>
  <c r="G178" i="4"/>
  <c r="D107" i="5" s="1"/>
  <c r="G107" i="5" s="1"/>
  <c r="D177" i="4"/>
  <c r="E177" i="4"/>
  <c r="E172" i="4" s="1"/>
  <c r="F177" i="4"/>
  <c r="F172" i="4" s="1"/>
  <c r="C177" i="4"/>
  <c r="G77" i="4"/>
  <c r="C111" i="5" s="1"/>
  <c r="C108" i="5" s="1"/>
  <c r="C101" i="5" s="1"/>
  <c r="G54" i="4"/>
  <c r="H12" i="21"/>
  <c r="H14" i="21"/>
  <c r="H15" i="21"/>
  <c r="H18" i="21"/>
  <c r="H9" i="21"/>
  <c r="C27" i="5"/>
  <c r="L58" i="22"/>
  <c r="K58" i="22"/>
  <c r="L59" i="22"/>
  <c r="J59" i="22"/>
  <c r="J48" i="22"/>
  <c r="L48" i="22"/>
  <c r="L49" i="22"/>
  <c r="J22" i="18"/>
  <c r="J25" i="18"/>
  <c r="C19" i="21"/>
  <c r="C20" i="21" s="1"/>
  <c r="G25" i="7"/>
  <c r="U141" i="9" s="1"/>
  <c r="I31" i="6"/>
  <c r="V11" i="9"/>
  <c r="V12" i="9"/>
  <c r="V13" i="9"/>
  <c r="V14" i="9"/>
  <c r="V15" i="9"/>
  <c r="AG15" i="9" s="1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4" i="9"/>
  <c r="V35" i="9"/>
  <c r="V36" i="9"/>
  <c r="V37" i="9"/>
  <c r="V38" i="9"/>
  <c r="V39" i="9"/>
  <c r="V40" i="9"/>
  <c r="V41" i="9"/>
  <c r="V42" i="9"/>
  <c r="V43" i="9"/>
  <c r="V44" i="9"/>
  <c r="V45" i="9"/>
  <c r="V46" i="9"/>
  <c r="V47" i="9"/>
  <c r="V48" i="9"/>
  <c r="V49" i="9"/>
  <c r="V50" i="9"/>
  <c r="V51" i="9"/>
  <c r="V52" i="9"/>
  <c r="V53" i="9"/>
  <c r="V54" i="9"/>
  <c r="V55" i="9"/>
  <c r="V56" i="9"/>
  <c r="V57" i="9"/>
  <c r="V58" i="9"/>
  <c r="V59" i="9"/>
  <c r="V60" i="9"/>
  <c r="V61" i="9"/>
  <c r="V62" i="9"/>
  <c r="V63" i="9"/>
  <c r="V64" i="9"/>
  <c r="V65" i="9"/>
  <c r="V66" i="9"/>
  <c r="V67" i="9"/>
  <c r="V69" i="9"/>
  <c r="V70" i="9"/>
  <c r="V71" i="9"/>
  <c r="V72" i="9"/>
  <c r="V73" i="9"/>
  <c r="V74" i="9"/>
  <c r="V75" i="9"/>
  <c r="V76" i="9"/>
  <c r="V77" i="9"/>
  <c r="V78" i="9"/>
  <c r="V79" i="9"/>
  <c r="V80" i="9"/>
  <c r="V81" i="9"/>
  <c r="V82" i="9"/>
  <c r="V83" i="9"/>
  <c r="V84" i="9"/>
  <c r="V85" i="9"/>
  <c r="V86" i="9"/>
  <c r="V87" i="9"/>
  <c r="V88" i="9"/>
  <c r="V89" i="9"/>
  <c r="V90" i="9"/>
  <c r="V91" i="9"/>
  <c r="V92" i="9"/>
  <c r="V93" i="9"/>
  <c r="V95" i="9"/>
  <c r="V96" i="9"/>
  <c r="V98" i="9"/>
  <c r="AG98" i="9" s="1"/>
  <c r="AG101" i="9"/>
  <c r="V104" i="9"/>
  <c r="V105" i="9"/>
  <c r="V106" i="9"/>
  <c r="V107" i="9"/>
  <c r="V108" i="9"/>
  <c r="V109" i="9"/>
  <c r="V110" i="9"/>
  <c r="V111" i="9"/>
  <c r="V112" i="9"/>
  <c r="V113" i="9"/>
  <c r="V114" i="9"/>
  <c r="V115" i="9"/>
  <c r="V116" i="9"/>
  <c r="V117" i="9"/>
  <c r="V118" i="9"/>
  <c r="V119" i="9"/>
  <c r="V120" i="9"/>
  <c r="V122" i="9"/>
  <c r="V123" i="9"/>
  <c r="V124" i="9"/>
  <c r="V125" i="9"/>
  <c r="V126" i="9"/>
  <c r="V127" i="9"/>
  <c r="V128" i="9"/>
  <c r="V129" i="9"/>
  <c r="V130" i="9"/>
  <c r="V131" i="9"/>
  <c r="V132" i="9"/>
  <c r="V133" i="9"/>
  <c r="V134" i="9"/>
  <c r="V135" i="9"/>
  <c r="V136" i="9"/>
  <c r="V137" i="9"/>
  <c r="V138" i="9"/>
  <c r="V139" i="9"/>
  <c r="V142" i="9"/>
  <c r="V144" i="9"/>
  <c r="V145" i="9"/>
  <c r="V146" i="9"/>
  <c r="V147" i="9"/>
  <c r="V148" i="9"/>
  <c r="V149" i="9"/>
  <c r="V150" i="9"/>
  <c r="V151" i="9"/>
  <c r="V152" i="9"/>
  <c r="V153" i="9"/>
  <c r="V10" i="9"/>
  <c r="R75" i="9"/>
  <c r="R152" i="9"/>
  <c r="R149" i="9"/>
  <c r="R124" i="9"/>
  <c r="R125" i="9"/>
  <c r="R128" i="9"/>
  <c r="R129" i="9"/>
  <c r="R114" i="9"/>
  <c r="R115" i="9"/>
  <c r="R116" i="9"/>
  <c r="R118" i="9"/>
  <c r="R119" i="9"/>
  <c r="R89" i="9"/>
  <c r="R90" i="9"/>
  <c r="R91" i="9"/>
  <c r="R92" i="9"/>
  <c r="R93" i="9"/>
  <c r="R74" i="9"/>
  <c r="R76" i="9"/>
  <c r="R77" i="9"/>
  <c r="R78" i="9"/>
  <c r="R79" i="9"/>
  <c r="R80" i="9"/>
  <c r="R81" i="9"/>
  <c r="R82" i="9"/>
  <c r="R83" i="9"/>
  <c r="R84" i="9"/>
  <c r="R85" i="9"/>
  <c r="R86" i="9"/>
  <c r="R87" i="9"/>
  <c r="R88" i="9"/>
  <c r="R72" i="9"/>
  <c r="R47" i="9"/>
  <c r="R50" i="9"/>
  <c r="R51" i="9"/>
  <c r="R57" i="9"/>
  <c r="R58" i="9"/>
  <c r="R59" i="9"/>
  <c r="R60" i="9"/>
  <c r="R61" i="9"/>
  <c r="R63" i="9"/>
  <c r="R64" i="9"/>
  <c r="R65" i="9"/>
  <c r="R66" i="9"/>
  <c r="R67" i="9"/>
  <c r="R68" i="9"/>
  <c r="R69" i="9"/>
  <c r="R70" i="9"/>
  <c r="R46" i="9"/>
  <c r="R41" i="9"/>
  <c r="R40" i="9"/>
  <c r="R33" i="9"/>
  <c r="R32" i="9"/>
  <c r="R30" i="9"/>
  <c r="R29" i="9"/>
  <c r="R27" i="9"/>
  <c r="R26" i="9"/>
  <c r="R24" i="9"/>
  <c r="R12" i="9"/>
  <c r="R13" i="9"/>
  <c r="R14" i="9"/>
  <c r="R15" i="9"/>
  <c r="R16" i="9"/>
  <c r="R17" i="9"/>
  <c r="R146" i="9"/>
  <c r="N144" i="9"/>
  <c r="R144" i="9" s="1"/>
  <c r="M139" i="9"/>
  <c r="R139" i="9" s="1"/>
  <c r="N131" i="9"/>
  <c r="R127" i="9"/>
  <c r="M126" i="9"/>
  <c r="R123" i="9"/>
  <c r="R62" i="9"/>
  <c r="R55" i="9"/>
  <c r="R54" i="9"/>
  <c r="R53" i="9"/>
  <c r="R49" i="9"/>
  <c r="R48" i="9"/>
  <c r="J22" i="6"/>
  <c r="J17" i="6"/>
  <c r="J29" i="6"/>
  <c r="J28" i="6"/>
  <c r="J27" i="6"/>
  <c r="J26" i="6"/>
  <c r="H25" i="6"/>
  <c r="G25" i="6"/>
  <c r="F25" i="6"/>
  <c r="E25" i="6"/>
  <c r="R71" i="9"/>
  <c r="Q153" i="9"/>
  <c r="Q151" i="9" s="1"/>
  <c r="Q150" i="9" s="1"/>
  <c r="R100" i="9"/>
  <c r="R105" i="9"/>
  <c r="R106" i="9"/>
  <c r="R108" i="9"/>
  <c r="R109" i="9"/>
  <c r="R110" i="9"/>
  <c r="R111" i="9"/>
  <c r="R112" i="9"/>
  <c r="C53" i="9"/>
  <c r="D53" i="9"/>
  <c r="E53" i="9"/>
  <c r="F53" i="9"/>
  <c r="F49" i="9"/>
  <c r="D11" i="21"/>
  <c r="D12" i="21"/>
  <c r="D13" i="21"/>
  <c r="D14" i="21"/>
  <c r="D15" i="21"/>
  <c r="D16" i="21"/>
  <c r="D17" i="21"/>
  <c r="D18" i="21"/>
  <c r="D9" i="21"/>
  <c r="C47" i="18"/>
  <c r="J10" i="18"/>
  <c r="P153" i="9"/>
  <c r="P151" i="9" s="1"/>
  <c r="H93" i="9"/>
  <c r="H92" i="9" s="1"/>
  <c r="L15" i="9"/>
  <c r="F72" i="9"/>
  <c r="E49" i="9"/>
  <c r="D49" i="9"/>
  <c r="C93" i="9"/>
  <c r="C92" i="9" s="1"/>
  <c r="C49" i="9"/>
  <c r="D120" i="5"/>
  <c r="D118" i="5" s="1"/>
  <c r="C95" i="5"/>
  <c r="C93" i="5" s="1"/>
  <c r="C37" i="4"/>
  <c r="C31" i="4"/>
  <c r="C11" i="4"/>
  <c r="C58" i="4"/>
  <c r="C53" i="4"/>
  <c r="C10" i="4" s="1"/>
  <c r="G12" i="4"/>
  <c r="C49" i="5" s="1"/>
  <c r="G14" i="22"/>
  <c r="L50" i="22"/>
  <c r="L65" i="22"/>
  <c r="L66" i="22"/>
  <c r="J65" i="22"/>
  <c r="C37" i="5"/>
  <c r="C33" i="9"/>
  <c r="G33" i="9" s="1"/>
  <c r="G32" i="9" s="1"/>
  <c r="G47" i="18"/>
  <c r="H24" i="8"/>
  <c r="Q107" i="9"/>
  <c r="Q104" i="9" s="1"/>
  <c r="I48" i="9"/>
  <c r="J20" i="18"/>
  <c r="D21" i="22"/>
  <c r="J11" i="22"/>
  <c r="I11" i="22"/>
  <c r="I14" i="22" s="1"/>
  <c r="I77" i="22" s="1"/>
  <c r="L11" i="22"/>
  <c r="L13" i="22"/>
  <c r="J13" i="22"/>
  <c r="I13" i="22"/>
  <c r="D14" i="22"/>
  <c r="F53" i="18"/>
  <c r="J53" i="18" s="1"/>
  <c r="J52" i="18" s="1"/>
  <c r="G93" i="4"/>
  <c r="G46" i="9"/>
  <c r="C48" i="9"/>
  <c r="C54" i="9"/>
  <c r="C57" i="9"/>
  <c r="C58" i="9"/>
  <c r="C61" i="9"/>
  <c r="C64" i="9"/>
  <c r="C66" i="9"/>
  <c r="C67" i="9"/>
  <c r="G67" i="9" s="1"/>
  <c r="C68" i="9"/>
  <c r="C72" i="9"/>
  <c r="C73" i="9"/>
  <c r="C75" i="9"/>
  <c r="G75" i="9" s="1"/>
  <c r="C76" i="9"/>
  <c r="G76" i="9" s="1"/>
  <c r="C77" i="9"/>
  <c r="G77" i="9" s="1"/>
  <c r="C78" i="9"/>
  <c r="G78" i="9" s="1"/>
  <c r="C79" i="9"/>
  <c r="G79" i="9" s="1"/>
  <c r="C80" i="9"/>
  <c r="G80" i="9" s="1"/>
  <c r="C81" i="9"/>
  <c r="G81" i="9" s="1"/>
  <c r="C82" i="9"/>
  <c r="G82" i="9" s="1"/>
  <c r="C83" i="9"/>
  <c r="G83" i="9" s="1"/>
  <c r="C85" i="9"/>
  <c r="G85" i="9" s="1"/>
  <c r="C86" i="9"/>
  <c r="C88" i="9"/>
  <c r="C90" i="9"/>
  <c r="C91" i="9"/>
  <c r="D48" i="9"/>
  <c r="D54" i="9"/>
  <c r="D57" i="9"/>
  <c r="D58" i="9"/>
  <c r="D61" i="9"/>
  <c r="D64" i="9"/>
  <c r="D68" i="9"/>
  <c r="D65" i="9" s="1"/>
  <c r="D76" i="9"/>
  <c r="D88" i="9"/>
  <c r="D90" i="9"/>
  <c r="D91" i="9"/>
  <c r="E48" i="9"/>
  <c r="E54" i="9"/>
  <c r="E57" i="9"/>
  <c r="E58" i="9"/>
  <c r="E61" i="9"/>
  <c r="E64" i="9"/>
  <c r="E68" i="9"/>
  <c r="E65" i="9" s="1"/>
  <c r="E88" i="9"/>
  <c r="E90" i="9"/>
  <c r="E91" i="9"/>
  <c r="F48" i="9"/>
  <c r="F51" i="9"/>
  <c r="G51" i="9" s="1"/>
  <c r="F54" i="9"/>
  <c r="F57" i="9"/>
  <c r="F58" i="9"/>
  <c r="F61" i="9"/>
  <c r="F64" i="9"/>
  <c r="F68" i="9"/>
  <c r="F70" i="9"/>
  <c r="G70" i="9" s="1"/>
  <c r="F73" i="9"/>
  <c r="F88" i="9"/>
  <c r="F90" i="9"/>
  <c r="F91" i="9"/>
  <c r="H46" i="9"/>
  <c r="H48" i="9"/>
  <c r="H49" i="9"/>
  <c r="H50" i="9"/>
  <c r="H51" i="9"/>
  <c r="L51" i="9" s="1"/>
  <c r="H52" i="9"/>
  <c r="H53" i="9"/>
  <c r="H54" i="9"/>
  <c r="H55" i="9"/>
  <c r="H56" i="9"/>
  <c r="H57" i="9"/>
  <c r="H58" i="9"/>
  <c r="H59" i="9"/>
  <c r="H60" i="9"/>
  <c r="H61" i="9"/>
  <c r="H62" i="9"/>
  <c r="H64" i="9"/>
  <c r="H66" i="9"/>
  <c r="H65" i="9" s="1"/>
  <c r="H67" i="9"/>
  <c r="L67" i="9" s="1"/>
  <c r="H68" i="9"/>
  <c r="H72" i="9"/>
  <c r="H73" i="9"/>
  <c r="H75" i="9"/>
  <c r="H76" i="9"/>
  <c r="H77" i="9"/>
  <c r="H78" i="9"/>
  <c r="H79" i="9"/>
  <c r="H80" i="9"/>
  <c r="H81" i="9"/>
  <c r="H82" i="9"/>
  <c r="H83" i="9"/>
  <c r="H84" i="9"/>
  <c r="H85" i="9"/>
  <c r="H86" i="9"/>
  <c r="H88" i="9"/>
  <c r="H90" i="9"/>
  <c r="H91" i="9"/>
  <c r="I46" i="9"/>
  <c r="I47" i="9"/>
  <c r="I49" i="9"/>
  <c r="I50" i="9"/>
  <c r="I51" i="9"/>
  <c r="I52" i="9"/>
  <c r="I53" i="9"/>
  <c r="I54" i="9"/>
  <c r="L54" i="9" s="1"/>
  <c r="I55" i="9"/>
  <c r="I56" i="9"/>
  <c r="I57" i="9"/>
  <c r="I58" i="9"/>
  <c r="I59" i="9"/>
  <c r="I60" i="9"/>
  <c r="I61" i="9"/>
  <c r="I62" i="9"/>
  <c r="I63" i="9"/>
  <c r="I64" i="9"/>
  <c r="I72" i="9"/>
  <c r="I73" i="9"/>
  <c r="I75" i="9"/>
  <c r="I76" i="9"/>
  <c r="I77" i="9"/>
  <c r="I78" i="9"/>
  <c r="I79" i="9"/>
  <c r="I80" i="9"/>
  <c r="I81" i="9"/>
  <c r="I82" i="9"/>
  <c r="I83" i="9"/>
  <c r="I84" i="9"/>
  <c r="I85" i="9"/>
  <c r="I86" i="9"/>
  <c r="I88" i="9"/>
  <c r="I90" i="9"/>
  <c r="I87" i="9" s="1"/>
  <c r="I65" i="9"/>
  <c r="J46" i="9"/>
  <c r="J47" i="9"/>
  <c r="L47" i="9" s="1"/>
  <c r="AG47" i="9" s="1"/>
  <c r="J48" i="9"/>
  <c r="J49" i="9"/>
  <c r="J50" i="9"/>
  <c r="J51" i="9"/>
  <c r="J52" i="9"/>
  <c r="J53" i="9"/>
  <c r="J54" i="9"/>
  <c r="J55" i="9"/>
  <c r="L55" i="9" s="1"/>
  <c r="AG55" i="9" s="1"/>
  <c r="C52" i="10" s="1"/>
  <c r="J56" i="9"/>
  <c r="J57" i="9"/>
  <c r="J58" i="9"/>
  <c r="J59" i="9"/>
  <c r="J60" i="9"/>
  <c r="J61" i="9"/>
  <c r="J62" i="9"/>
  <c r="J64" i="9"/>
  <c r="J72" i="9"/>
  <c r="J73" i="9"/>
  <c r="J75" i="9"/>
  <c r="J76" i="9"/>
  <c r="J77" i="9"/>
  <c r="J78" i="9"/>
  <c r="J79" i="9"/>
  <c r="J80" i="9"/>
  <c r="J81" i="9"/>
  <c r="J82" i="9"/>
  <c r="J83" i="9"/>
  <c r="J84" i="9"/>
  <c r="J85" i="9"/>
  <c r="J86" i="9"/>
  <c r="J88" i="9"/>
  <c r="J90" i="9"/>
  <c r="J65" i="9"/>
  <c r="K46" i="9"/>
  <c r="K47" i="9"/>
  <c r="K48" i="9"/>
  <c r="K49" i="9"/>
  <c r="K50" i="9"/>
  <c r="K51" i="9"/>
  <c r="K52" i="9"/>
  <c r="K53" i="9"/>
  <c r="K54" i="9"/>
  <c r="K55" i="9"/>
  <c r="K56" i="9"/>
  <c r="V68" i="9"/>
  <c r="K57" i="9"/>
  <c r="K58" i="9"/>
  <c r="K59" i="9"/>
  <c r="K60" i="9"/>
  <c r="K61" i="9"/>
  <c r="K62" i="9"/>
  <c r="K64" i="9"/>
  <c r="K68" i="9"/>
  <c r="K70" i="9"/>
  <c r="L70" i="9" s="1"/>
  <c r="K72" i="9"/>
  <c r="K73" i="9"/>
  <c r="K75" i="9"/>
  <c r="K76" i="9"/>
  <c r="K77" i="9"/>
  <c r="K78" i="9"/>
  <c r="K79" i="9"/>
  <c r="K80" i="9"/>
  <c r="K81" i="9"/>
  <c r="K82" i="9"/>
  <c r="K83" i="9"/>
  <c r="K84" i="9"/>
  <c r="K85" i="9"/>
  <c r="K86" i="9"/>
  <c r="K88" i="9"/>
  <c r="K90" i="9"/>
  <c r="H107" i="9"/>
  <c r="H104" i="9" s="1"/>
  <c r="I107" i="9"/>
  <c r="I104" i="9" s="1"/>
  <c r="I108" i="9"/>
  <c r="I96" i="9"/>
  <c r="J107" i="9"/>
  <c r="J104" i="9" s="1"/>
  <c r="D107" i="9"/>
  <c r="G107" i="9" s="1"/>
  <c r="D108" i="9"/>
  <c r="D96" i="9"/>
  <c r="F104" i="9"/>
  <c r="I114" i="9"/>
  <c r="I117" i="9"/>
  <c r="C115" i="9"/>
  <c r="C114" i="9" s="1"/>
  <c r="C119" i="9"/>
  <c r="C117" i="9" s="1"/>
  <c r="D114" i="9"/>
  <c r="D117" i="9"/>
  <c r="L142" i="9"/>
  <c r="G140" i="9"/>
  <c r="G121" i="9" s="1"/>
  <c r="L19" i="9"/>
  <c r="L20" i="9"/>
  <c r="L36" i="9"/>
  <c r="L38" i="9"/>
  <c r="C18" i="9"/>
  <c r="C23" i="9"/>
  <c r="C35" i="9"/>
  <c r="C38" i="9"/>
  <c r="D18" i="9"/>
  <c r="D32" i="9"/>
  <c r="D35" i="9"/>
  <c r="D38" i="9"/>
  <c r="D40" i="9"/>
  <c r="D29" i="9"/>
  <c r="D26" i="9"/>
  <c r="E18" i="9"/>
  <c r="E32" i="9"/>
  <c r="E35" i="9"/>
  <c r="E38" i="9"/>
  <c r="E29" i="9"/>
  <c r="E26" i="9"/>
  <c r="F18" i="9"/>
  <c r="F32" i="9"/>
  <c r="F35" i="9"/>
  <c r="F38" i="9"/>
  <c r="F29" i="9"/>
  <c r="F26" i="9"/>
  <c r="F29" i="7"/>
  <c r="F31" i="7"/>
  <c r="F33" i="7"/>
  <c r="F35" i="7"/>
  <c r="F38" i="7"/>
  <c r="I27" i="7"/>
  <c r="I30" i="7"/>
  <c r="I29" i="7" s="1"/>
  <c r="I32" i="7"/>
  <c r="I31" i="7" s="1"/>
  <c r="I34" i="7"/>
  <c r="I33" i="7" s="1"/>
  <c r="D35" i="7"/>
  <c r="E35" i="7"/>
  <c r="G35" i="7"/>
  <c r="H35" i="7"/>
  <c r="I39" i="7"/>
  <c r="I38" i="7" s="1"/>
  <c r="I42" i="7"/>
  <c r="I44" i="7"/>
  <c r="I43" i="7" s="1"/>
  <c r="G34" i="4"/>
  <c r="C69" i="5" s="1"/>
  <c r="G33" i="4"/>
  <c r="C68" i="5" s="1"/>
  <c r="G36" i="4"/>
  <c r="C71" i="5" s="1"/>
  <c r="G19" i="4"/>
  <c r="C54" i="5" s="1"/>
  <c r="G20" i="4"/>
  <c r="C55" i="5" s="1"/>
  <c r="G14" i="4"/>
  <c r="C50" i="5" s="1"/>
  <c r="G15" i="4"/>
  <c r="C51" i="5" s="1"/>
  <c r="G17" i="4"/>
  <c r="C52" i="5" s="1"/>
  <c r="G23" i="4"/>
  <c r="C58" i="5" s="1"/>
  <c r="G24" i="4"/>
  <c r="C59" i="5" s="1"/>
  <c r="G25" i="4"/>
  <c r="C60" i="5" s="1"/>
  <c r="G27" i="4"/>
  <c r="C62" i="5" s="1"/>
  <c r="G28" i="4"/>
  <c r="C63" i="5" s="1"/>
  <c r="G29" i="4"/>
  <c r="C64" i="5" s="1"/>
  <c r="H64" i="5" s="1"/>
  <c r="G30" i="4"/>
  <c r="C65" i="5" s="1"/>
  <c r="G38" i="4"/>
  <c r="C73" i="5" s="1"/>
  <c r="G39" i="4"/>
  <c r="C74" i="5" s="1"/>
  <c r="G40" i="4"/>
  <c r="C75" i="5" s="1"/>
  <c r="G41" i="4"/>
  <c r="C76" i="5" s="1"/>
  <c r="G42" i="4"/>
  <c r="C77" i="5" s="1"/>
  <c r="G44" i="4"/>
  <c r="C79" i="5" s="1"/>
  <c r="G49" i="4"/>
  <c r="C84" i="5" s="1"/>
  <c r="G50" i="4"/>
  <c r="C85" i="5" s="1"/>
  <c r="H85" i="5" s="1"/>
  <c r="G51" i="4"/>
  <c r="C86" i="5" s="1"/>
  <c r="G52" i="4"/>
  <c r="C87" i="5" s="1"/>
  <c r="C89" i="5"/>
  <c r="G55" i="4"/>
  <c r="C90" i="5" s="1"/>
  <c r="G56" i="4"/>
  <c r="C91" i="5" s="1"/>
  <c r="G57" i="4"/>
  <c r="C92" i="5" s="1"/>
  <c r="H98" i="5"/>
  <c r="G90" i="4"/>
  <c r="C123" i="5" s="1"/>
  <c r="H110" i="5"/>
  <c r="F23" i="9"/>
  <c r="C39" i="5"/>
  <c r="C42" i="5"/>
  <c r="G137" i="4"/>
  <c r="D68" i="5" s="1"/>
  <c r="G138" i="4"/>
  <c r="D69" i="5" s="1"/>
  <c r="G140" i="4"/>
  <c r="D71" i="5" s="1"/>
  <c r="G154" i="4"/>
  <c r="D84" i="5" s="1"/>
  <c r="G143" i="4"/>
  <c r="D74" i="5" s="1"/>
  <c r="G145" i="4"/>
  <c r="D76" i="5" s="1"/>
  <c r="G146" i="4"/>
  <c r="D77" i="5" s="1"/>
  <c r="G157" i="4"/>
  <c r="D87" i="5" s="1"/>
  <c r="G123" i="4"/>
  <c r="D54" i="5" s="1"/>
  <c r="G127" i="4"/>
  <c r="D58" i="5" s="1"/>
  <c r="G116" i="4"/>
  <c r="G118" i="4"/>
  <c r="D50" i="5" s="1"/>
  <c r="G119" i="4"/>
  <c r="D51" i="5" s="1"/>
  <c r="G121" i="4"/>
  <c r="D52" i="5" s="1"/>
  <c r="G124" i="4"/>
  <c r="D55" i="5" s="1"/>
  <c r="G128" i="4"/>
  <c r="D59" i="5" s="1"/>
  <c r="G129" i="4"/>
  <c r="D60" i="5" s="1"/>
  <c r="H60" i="5" s="1"/>
  <c r="G131" i="4"/>
  <c r="D62" i="5" s="1"/>
  <c r="G132" i="4"/>
  <c r="D63" i="5" s="1"/>
  <c r="G134" i="4"/>
  <c r="D65" i="5" s="1"/>
  <c r="G159" i="4"/>
  <c r="D89" i="5" s="1"/>
  <c r="G160" i="4"/>
  <c r="D90" i="5" s="1"/>
  <c r="G161" i="4"/>
  <c r="D91" i="5" s="1"/>
  <c r="G162" i="4"/>
  <c r="D92" i="5" s="1"/>
  <c r="H94" i="5"/>
  <c r="H99" i="5"/>
  <c r="G197" i="4"/>
  <c r="D126" i="5" s="1"/>
  <c r="G191" i="4"/>
  <c r="G194" i="4"/>
  <c r="D123" i="5" s="1"/>
  <c r="D121" i="5" s="1"/>
  <c r="G182" i="4"/>
  <c r="D111" i="5" s="1"/>
  <c r="H103" i="5"/>
  <c r="H113" i="5"/>
  <c r="H114" i="5"/>
  <c r="H28" i="5"/>
  <c r="D27" i="5"/>
  <c r="D39" i="5"/>
  <c r="D42" i="5"/>
  <c r="H141" i="5"/>
  <c r="H137" i="5"/>
  <c r="G74" i="9"/>
  <c r="G84" i="9"/>
  <c r="C104" i="9"/>
  <c r="G111" i="9"/>
  <c r="G13" i="9"/>
  <c r="J47" i="22"/>
  <c r="N47" i="22" s="1"/>
  <c r="L47" i="22"/>
  <c r="C192" i="4"/>
  <c r="G192" i="4" s="1"/>
  <c r="C189" i="4"/>
  <c r="D179" i="4"/>
  <c r="D172" i="4" s="1"/>
  <c r="D183" i="4"/>
  <c r="C179" i="4"/>
  <c r="G139" i="4"/>
  <c r="C158" i="4"/>
  <c r="D158" i="4"/>
  <c r="E158" i="4"/>
  <c r="F158" i="4"/>
  <c r="G142" i="4"/>
  <c r="D73" i="5" s="1"/>
  <c r="G144" i="4"/>
  <c r="D75" i="5" s="1"/>
  <c r="G147" i="4"/>
  <c r="G148" i="4"/>
  <c r="G149" i="4"/>
  <c r="D80" i="5" s="1"/>
  <c r="H80" i="5" s="1"/>
  <c r="G150" i="4"/>
  <c r="D81" i="5" s="1"/>
  <c r="H81" i="5" s="1"/>
  <c r="G151" i="4"/>
  <c r="D82" i="5" s="1"/>
  <c r="H82" i="5" s="1"/>
  <c r="G152" i="4"/>
  <c r="D83" i="5" s="1"/>
  <c r="H83" i="5" s="1"/>
  <c r="G153" i="4"/>
  <c r="D79" i="5" s="1"/>
  <c r="G155" i="4"/>
  <c r="G156" i="4"/>
  <c r="D31" i="4"/>
  <c r="E31" i="4"/>
  <c r="G43" i="4"/>
  <c r="G45" i="4"/>
  <c r="G46" i="4"/>
  <c r="G47" i="4"/>
  <c r="G48" i="4"/>
  <c r="D11" i="4"/>
  <c r="F11" i="4"/>
  <c r="E11" i="4"/>
  <c r="G59" i="4"/>
  <c r="G60" i="4"/>
  <c r="G58" i="4" s="1"/>
  <c r="G61" i="4"/>
  <c r="G62" i="4"/>
  <c r="G63" i="4"/>
  <c r="G64" i="4"/>
  <c r="G65" i="4"/>
  <c r="C102" i="5"/>
  <c r="H105" i="5"/>
  <c r="C112" i="5"/>
  <c r="H23" i="22"/>
  <c r="I23" i="22"/>
  <c r="L23" i="22"/>
  <c r="H24" i="22"/>
  <c r="J24" i="22" s="1"/>
  <c r="I24" i="22"/>
  <c r="L24" i="22"/>
  <c r="N24" i="22" s="1"/>
  <c r="H25" i="22"/>
  <c r="I25" i="22"/>
  <c r="L25" i="22"/>
  <c r="N25" i="22" s="1"/>
  <c r="H26" i="22"/>
  <c r="J26" i="22" s="1"/>
  <c r="I26" i="22"/>
  <c r="I29" i="22" s="1"/>
  <c r="L26" i="22"/>
  <c r="N26" i="22" s="1"/>
  <c r="H27" i="22"/>
  <c r="J27" i="22" s="1"/>
  <c r="I27" i="22"/>
  <c r="L27" i="22"/>
  <c r="N27" i="22" s="1"/>
  <c r="H28" i="22"/>
  <c r="I28" i="22"/>
  <c r="L28" i="22"/>
  <c r="N28" i="22" s="1"/>
  <c r="J15" i="22"/>
  <c r="L15" i="22"/>
  <c r="J16" i="22"/>
  <c r="L16" i="22"/>
  <c r="N16" i="22" s="1"/>
  <c r="J17" i="22"/>
  <c r="O17" i="22" s="1"/>
  <c r="L17" i="22"/>
  <c r="J18" i="22"/>
  <c r="L18" i="22"/>
  <c r="O18" i="22" s="1"/>
  <c r="J19" i="22"/>
  <c r="O19" i="22" s="1"/>
  <c r="L19" i="22"/>
  <c r="J20" i="22"/>
  <c r="L20" i="22"/>
  <c r="L21" i="22" s="1"/>
  <c r="J9" i="22"/>
  <c r="I9" i="22"/>
  <c r="L9" i="22"/>
  <c r="I10" i="22"/>
  <c r="L10" i="22"/>
  <c r="N10" i="22" s="1"/>
  <c r="J12" i="22"/>
  <c r="I12" i="22"/>
  <c r="L12" i="22"/>
  <c r="O12" i="22" s="1"/>
  <c r="J60" i="22"/>
  <c r="O60" i="22" s="1"/>
  <c r="L60" i="22"/>
  <c r="J61" i="22"/>
  <c r="L61" i="22"/>
  <c r="J63" i="22"/>
  <c r="J64" i="22"/>
  <c r="L64" i="22"/>
  <c r="L46" i="22"/>
  <c r="L51" i="22" s="1"/>
  <c r="J50" i="22"/>
  <c r="I52" i="18"/>
  <c r="I51" i="18" s="1"/>
  <c r="I47" i="18" s="1"/>
  <c r="H52" i="18"/>
  <c r="H51" i="18" s="1"/>
  <c r="H47" i="18" s="1"/>
  <c r="E52" i="18"/>
  <c r="E51" i="18" s="1"/>
  <c r="E47" i="18" s="1"/>
  <c r="D52" i="18"/>
  <c r="D51" i="18" s="1"/>
  <c r="D47" i="18" s="1"/>
  <c r="F61" i="18"/>
  <c r="J61" i="18" s="1"/>
  <c r="H9" i="18"/>
  <c r="H8" i="18"/>
  <c r="H18" i="18"/>
  <c r="H31" i="18"/>
  <c r="H34" i="18"/>
  <c r="H39" i="18"/>
  <c r="H38" i="18" s="1"/>
  <c r="H60" i="18"/>
  <c r="H59" i="18" s="1"/>
  <c r="H63" i="18"/>
  <c r="H62" i="18" s="1"/>
  <c r="H66" i="18"/>
  <c r="H65" i="18" s="1"/>
  <c r="H68" i="18"/>
  <c r="H49" i="18"/>
  <c r="H41" i="18"/>
  <c r="F113" i="9"/>
  <c r="G50" i="9"/>
  <c r="G52" i="9"/>
  <c r="G55" i="9"/>
  <c r="G56" i="9"/>
  <c r="G59" i="9"/>
  <c r="G60" i="9"/>
  <c r="G62" i="9"/>
  <c r="G63" i="9"/>
  <c r="G47" i="9"/>
  <c r="I68" i="18"/>
  <c r="J68" i="18" s="1"/>
  <c r="J65" i="18" s="1"/>
  <c r="G39" i="18"/>
  <c r="I9" i="18"/>
  <c r="I8" i="18" s="1"/>
  <c r="I18" i="18"/>
  <c r="I17" i="18" s="1"/>
  <c r="I31" i="18"/>
  <c r="I34" i="18"/>
  <c r="J34" i="18" s="1"/>
  <c r="D15" i="11" s="1"/>
  <c r="I39" i="18"/>
  <c r="J39" i="18"/>
  <c r="G52" i="18"/>
  <c r="G51" i="18" s="1"/>
  <c r="I60" i="18"/>
  <c r="I59" i="18" s="1"/>
  <c r="G60" i="18"/>
  <c r="G59" i="18" s="1"/>
  <c r="C66" i="18"/>
  <c r="C18" i="18"/>
  <c r="C31" i="18"/>
  <c r="C39" i="18"/>
  <c r="C38" i="18" s="1"/>
  <c r="C9" i="18"/>
  <c r="C8" i="18" s="1"/>
  <c r="C34" i="18"/>
  <c r="C60" i="18"/>
  <c r="C59" i="18" s="1"/>
  <c r="C63" i="18"/>
  <c r="C62" i="18"/>
  <c r="D60" i="18"/>
  <c r="D59" i="18" s="1"/>
  <c r="D18" i="18"/>
  <c r="D31" i="18"/>
  <c r="D39" i="18"/>
  <c r="D38" i="18" s="1"/>
  <c r="D9" i="18"/>
  <c r="D8" i="18" s="1"/>
  <c r="D34" i="18"/>
  <c r="D63" i="18"/>
  <c r="D62" i="18" s="1"/>
  <c r="E96" i="9"/>
  <c r="E104" i="9"/>
  <c r="E113" i="9"/>
  <c r="H18" i="9"/>
  <c r="H23" i="9"/>
  <c r="H35" i="9"/>
  <c r="H38" i="9"/>
  <c r="H121" i="9"/>
  <c r="I18" i="9"/>
  <c r="I26" i="9"/>
  <c r="I29" i="9"/>
  <c r="I32" i="9"/>
  <c r="I35" i="9"/>
  <c r="I40" i="9"/>
  <c r="I38" i="9" s="1"/>
  <c r="I121" i="9"/>
  <c r="L109" i="9"/>
  <c r="AG109" i="9" s="1"/>
  <c r="J18" i="9"/>
  <c r="J26" i="9"/>
  <c r="J29" i="9"/>
  <c r="J32" i="9"/>
  <c r="J35" i="9"/>
  <c r="L116" i="9"/>
  <c r="J121" i="9"/>
  <c r="K107" i="9"/>
  <c r="K104" i="9" s="1"/>
  <c r="K18" i="9"/>
  <c r="K23" i="9"/>
  <c r="K26" i="9"/>
  <c r="K29" i="9"/>
  <c r="K32" i="9"/>
  <c r="K35" i="9"/>
  <c r="K114" i="9"/>
  <c r="K117" i="9"/>
  <c r="I66" i="18"/>
  <c r="I65" i="18" s="1"/>
  <c r="I63" i="18"/>
  <c r="G15" i="9"/>
  <c r="G19" i="9"/>
  <c r="G18" i="9" s="1"/>
  <c r="G36" i="9"/>
  <c r="G35" i="9" s="1"/>
  <c r="G38" i="9"/>
  <c r="G63" i="18"/>
  <c r="G62" i="18" s="1"/>
  <c r="J62" i="18" s="1"/>
  <c r="D23" i="11" s="1"/>
  <c r="L133" i="9"/>
  <c r="L126" i="9"/>
  <c r="G106" i="9"/>
  <c r="L63" i="9"/>
  <c r="L69" i="9"/>
  <c r="G69" i="9"/>
  <c r="L74" i="9"/>
  <c r="L89" i="9"/>
  <c r="G89" i="9"/>
  <c r="AG89" i="9" s="1"/>
  <c r="C90" i="10" s="1"/>
  <c r="I91" i="9"/>
  <c r="J91" i="9"/>
  <c r="R19" i="9"/>
  <c r="D35" i="10"/>
  <c r="L150" i="9"/>
  <c r="F92" i="4"/>
  <c r="F91" i="4" s="1"/>
  <c r="E92" i="4"/>
  <c r="E91" i="4" s="1"/>
  <c r="D92" i="4"/>
  <c r="D91" i="4" s="1"/>
  <c r="K91" i="9"/>
  <c r="F196" i="4"/>
  <c r="F195" i="4" s="1"/>
  <c r="E196" i="4"/>
  <c r="E195" i="4" s="1"/>
  <c r="D196" i="4"/>
  <c r="D195" i="4" s="1"/>
  <c r="C196" i="4"/>
  <c r="C195" i="4" s="1"/>
  <c r="D29" i="7"/>
  <c r="D31" i="7"/>
  <c r="D33" i="7"/>
  <c r="C26" i="8"/>
  <c r="C25" i="8" s="1"/>
  <c r="G29" i="7"/>
  <c r="G31" i="7"/>
  <c r="G33" i="7"/>
  <c r="G38" i="7"/>
  <c r="G40" i="7"/>
  <c r="G43" i="7"/>
  <c r="G19" i="7"/>
  <c r="I36" i="7"/>
  <c r="F163" i="4"/>
  <c r="C163" i="4"/>
  <c r="F74" i="4"/>
  <c r="F67" i="4" s="1"/>
  <c r="C74" i="4"/>
  <c r="C67" i="4" s="1"/>
  <c r="D74" i="4"/>
  <c r="C92" i="4"/>
  <c r="C91" i="4" s="1"/>
  <c r="K14" i="22"/>
  <c r="M14" i="22"/>
  <c r="G21" i="22"/>
  <c r="K21" i="22"/>
  <c r="M21" i="22"/>
  <c r="D29" i="22"/>
  <c r="G29" i="22"/>
  <c r="K29" i="22"/>
  <c r="M29" i="22"/>
  <c r="M31" i="22" s="1"/>
  <c r="M71" i="22" s="1"/>
  <c r="M73" i="22" s="1"/>
  <c r="H33" i="22"/>
  <c r="J33" i="22" s="1"/>
  <c r="I33" i="22"/>
  <c r="L33" i="22"/>
  <c r="N33" i="22" s="1"/>
  <c r="H34" i="22"/>
  <c r="I34" i="22"/>
  <c r="L34" i="22"/>
  <c r="N34" i="22" s="1"/>
  <c r="N37" i="22" s="1"/>
  <c r="H35" i="22"/>
  <c r="J35" i="22" s="1"/>
  <c r="I35" i="22"/>
  <c r="L35" i="22"/>
  <c r="N35" i="22" s="1"/>
  <c r="H36" i="22"/>
  <c r="J36" i="22" s="1"/>
  <c r="I36" i="22"/>
  <c r="L36" i="22"/>
  <c r="N36" i="22" s="1"/>
  <c r="D37" i="22"/>
  <c r="G37" i="22"/>
  <c r="K37" i="22"/>
  <c r="M37" i="22"/>
  <c r="H39" i="22"/>
  <c r="J39" i="22"/>
  <c r="I39" i="22"/>
  <c r="L39" i="22"/>
  <c r="N39" i="22" s="1"/>
  <c r="H40" i="22"/>
  <c r="J40" i="22"/>
  <c r="I40" i="22"/>
  <c r="L40" i="22"/>
  <c r="N40" i="22" s="1"/>
  <c r="N41" i="22" s="1"/>
  <c r="D41" i="22"/>
  <c r="G41" i="22"/>
  <c r="K41" i="22"/>
  <c r="M41" i="22"/>
  <c r="H43" i="22"/>
  <c r="I43" i="22"/>
  <c r="I45" i="22" s="1"/>
  <c r="L43" i="22"/>
  <c r="N43" i="22" s="1"/>
  <c r="H44" i="22"/>
  <c r="J44" i="22" s="1"/>
  <c r="I44" i="22"/>
  <c r="L44" i="22"/>
  <c r="N44" i="22" s="1"/>
  <c r="D45" i="22"/>
  <c r="G45" i="22"/>
  <c r="K45" i="22"/>
  <c r="M45" i="22"/>
  <c r="D51" i="22"/>
  <c r="K51" i="22"/>
  <c r="M51" i="22"/>
  <c r="H53" i="22"/>
  <c r="J53" i="22" s="1"/>
  <c r="I53" i="22"/>
  <c r="I56" i="22" s="1"/>
  <c r="L53" i="22"/>
  <c r="N53" i="22" s="1"/>
  <c r="H54" i="22"/>
  <c r="J54" i="22" s="1"/>
  <c r="I54" i="22"/>
  <c r="O54" i="22" s="1"/>
  <c r="L54" i="22"/>
  <c r="N54" i="22" s="1"/>
  <c r="H55" i="22"/>
  <c r="J55" i="22" s="1"/>
  <c r="I55" i="22"/>
  <c r="L55" i="22"/>
  <c r="O55" i="22" s="1"/>
  <c r="D56" i="22"/>
  <c r="G56" i="22"/>
  <c r="K56" i="22"/>
  <c r="M56" i="22"/>
  <c r="E9" i="21"/>
  <c r="E10" i="21"/>
  <c r="E11" i="21"/>
  <c r="E19" i="21" s="1"/>
  <c r="E20" i="21" s="1"/>
  <c r="E12" i="21"/>
  <c r="E13" i="21"/>
  <c r="E14" i="21"/>
  <c r="E15" i="21"/>
  <c r="E16" i="21"/>
  <c r="E17" i="21"/>
  <c r="E18" i="21"/>
  <c r="I9" i="20"/>
  <c r="I26" i="20"/>
  <c r="K26" i="20"/>
  <c r="L9" i="20"/>
  <c r="M9" i="20"/>
  <c r="O9" i="20"/>
  <c r="Q9" i="20"/>
  <c r="R9" i="20"/>
  <c r="I10" i="20"/>
  <c r="Q10" i="20" s="1"/>
  <c r="P10" i="20"/>
  <c r="I11" i="20"/>
  <c r="P11" i="20"/>
  <c r="P18" i="20" s="1"/>
  <c r="I12" i="20"/>
  <c r="Q12" i="20" s="1"/>
  <c r="P12" i="20"/>
  <c r="I13" i="20"/>
  <c r="Q13" i="20" s="1"/>
  <c r="P13" i="20"/>
  <c r="I14" i="20"/>
  <c r="Q14" i="20" s="1"/>
  <c r="P14" i="20"/>
  <c r="I15" i="20"/>
  <c r="Q15" i="20" s="1"/>
  <c r="P15" i="20"/>
  <c r="I16" i="20"/>
  <c r="Q16" i="20" s="1"/>
  <c r="P16" i="20"/>
  <c r="I17" i="20"/>
  <c r="Q17" i="20" s="1"/>
  <c r="P17" i="20"/>
  <c r="H18" i="20"/>
  <c r="J18" i="20"/>
  <c r="K18" i="20"/>
  <c r="L18" i="20"/>
  <c r="M18" i="20"/>
  <c r="N18" i="20"/>
  <c r="O18" i="20"/>
  <c r="R18" i="20"/>
  <c r="I19" i="20"/>
  <c r="I20" i="20" s="1"/>
  <c r="P19" i="20"/>
  <c r="P20" i="20" s="1"/>
  <c r="H20" i="20"/>
  <c r="J20" i="20"/>
  <c r="K20" i="20"/>
  <c r="L20" i="20"/>
  <c r="M20" i="20"/>
  <c r="N20" i="20"/>
  <c r="O20" i="20"/>
  <c r="R20" i="20"/>
  <c r="I21" i="20"/>
  <c r="P21" i="20"/>
  <c r="I22" i="20"/>
  <c r="Q22" i="20" s="1"/>
  <c r="P22" i="20"/>
  <c r="I23" i="20"/>
  <c r="Q23" i="20" s="1"/>
  <c r="P23" i="20"/>
  <c r="I24" i="20"/>
  <c r="Q24" i="20" s="1"/>
  <c r="P24" i="20"/>
  <c r="H25" i="20"/>
  <c r="J25" i="20"/>
  <c r="K25" i="20"/>
  <c r="L25" i="20"/>
  <c r="M25" i="20"/>
  <c r="N25" i="20"/>
  <c r="O25" i="20"/>
  <c r="R25" i="20"/>
  <c r="I49" i="20"/>
  <c r="P49" i="20"/>
  <c r="I50" i="20"/>
  <c r="P50" i="20"/>
  <c r="I51" i="20"/>
  <c r="Q51" i="20"/>
  <c r="P51" i="20"/>
  <c r="I52" i="20"/>
  <c r="Q52" i="20" s="1"/>
  <c r="P52" i="20"/>
  <c r="I53" i="20"/>
  <c r="Q53" i="20" s="1"/>
  <c r="P53" i="20"/>
  <c r="I54" i="20"/>
  <c r="Q54" i="20" s="1"/>
  <c r="P54" i="20"/>
  <c r="I55" i="20"/>
  <c r="Q55" i="20" s="1"/>
  <c r="P55" i="20"/>
  <c r="I56" i="20"/>
  <c r="Q56" i="20" s="1"/>
  <c r="P56" i="20"/>
  <c r="H57" i="20"/>
  <c r="J57" i="20"/>
  <c r="K57" i="20"/>
  <c r="L57" i="20"/>
  <c r="M57" i="20"/>
  <c r="N57" i="20"/>
  <c r="O57" i="20"/>
  <c r="R57" i="20"/>
  <c r="I58" i="20"/>
  <c r="Q58" i="20" s="1"/>
  <c r="Q59" i="20" s="1"/>
  <c r="P58" i="20"/>
  <c r="P59" i="20" s="1"/>
  <c r="H59" i="20"/>
  <c r="J59" i="20"/>
  <c r="K59" i="20"/>
  <c r="K65" i="20" s="1"/>
  <c r="L59" i="20"/>
  <c r="M59" i="20"/>
  <c r="N59" i="20"/>
  <c r="O59" i="20"/>
  <c r="R59" i="20"/>
  <c r="I60" i="20"/>
  <c r="Q60" i="20"/>
  <c r="P60" i="20"/>
  <c r="I61" i="20"/>
  <c r="P61" i="20"/>
  <c r="I62" i="20"/>
  <c r="Q62" i="20" s="1"/>
  <c r="P62" i="20"/>
  <c r="I63" i="20"/>
  <c r="Q63" i="20" s="1"/>
  <c r="P63" i="20"/>
  <c r="H64" i="20"/>
  <c r="H65" i="20" s="1"/>
  <c r="J64" i="20"/>
  <c r="K64" i="20"/>
  <c r="L64" i="20"/>
  <c r="M64" i="20"/>
  <c r="M65" i="20" s="1"/>
  <c r="N64" i="20"/>
  <c r="O64" i="20"/>
  <c r="R64" i="20"/>
  <c r="R65" i="20" s="1"/>
  <c r="E9" i="18"/>
  <c r="E8" i="18" s="1"/>
  <c r="J13" i="18"/>
  <c r="J14" i="18"/>
  <c r="J16" i="18"/>
  <c r="E18" i="18"/>
  <c r="E31" i="18"/>
  <c r="E17" i="18" s="1"/>
  <c r="J19" i="18"/>
  <c r="J21" i="18"/>
  <c r="J23" i="18"/>
  <c r="J24" i="18"/>
  <c r="J26" i="18"/>
  <c r="J27" i="18"/>
  <c r="J28" i="18"/>
  <c r="J29" i="18"/>
  <c r="J30" i="18"/>
  <c r="J32" i="18"/>
  <c r="J33" i="18"/>
  <c r="E34" i="18"/>
  <c r="J37" i="18"/>
  <c r="E39" i="18"/>
  <c r="E38" i="18" s="1"/>
  <c r="J40" i="18"/>
  <c r="C41" i="18"/>
  <c r="D41" i="18"/>
  <c r="E41" i="18"/>
  <c r="I41" i="18"/>
  <c r="J41" i="18" s="1"/>
  <c r="J42" i="18"/>
  <c r="J43" i="18"/>
  <c r="J44" i="18"/>
  <c r="J45" i="18"/>
  <c r="C49" i="18"/>
  <c r="D49" i="18"/>
  <c r="E49" i="18"/>
  <c r="I49" i="18"/>
  <c r="J49" i="18" s="1"/>
  <c r="J50" i="18"/>
  <c r="G56" i="18"/>
  <c r="E60" i="18"/>
  <c r="E59" i="18" s="1"/>
  <c r="E63" i="18"/>
  <c r="E62" i="18" s="1"/>
  <c r="E66" i="18"/>
  <c r="E65" i="18" s="1"/>
  <c r="C68" i="18"/>
  <c r="F25" i="14"/>
  <c r="F24" i="14" s="1"/>
  <c r="D17" i="14"/>
  <c r="D16" i="14" s="1"/>
  <c r="D21" i="14"/>
  <c r="D20" i="14" s="1"/>
  <c r="D25" i="14"/>
  <c r="D24" i="14" s="1"/>
  <c r="G25" i="14"/>
  <c r="G24" i="14" s="1"/>
  <c r="E25" i="14"/>
  <c r="E24" i="14" s="1"/>
  <c r="G21" i="14"/>
  <c r="G20" i="14" s="1"/>
  <c r="E21" i="14"/>
  <c r="E20" i="14" s="1"/>
  <c r="E17" i="14"/>
  <c r="E16" i="14" s="1"/>
  <c r="D158" i="10"/>
  <c r="E157" i="10" s="1"/>
  <c r="D162" i="10"/>
  <c r="E161" i="10" s="1"/>
  <c r="H22" i="5"/>
  <c r="AF163" i="9"/>
  <c r="AE163" i="9"/>
  <c r="AD163" i="9"/>
  <c r="AC163" i="9"/>
  <c r="AB163" i="9"/>
  <c r="AA163" i="9"/>
  <c r="Z163" i="9"/>
  <c r="Y163" i="9"/>
  <c r="X163" i="9"/>
  <c r="L162" i="9"/>
  <c r="R162" i="9"/>
  <c r="L161" i="9"/>
  <c r="R161" i="9"/>
  <c r="AG161" i="9" s="1"/>
  <c r="L160" i="9"/>
  <c r="R160" i="9"/>
  <c r="L159" i="9"/>
  <c r="R159" i="9"/>
  <c r="L158" i="9"/>
  <c r="R158" i="9"/>
  <c r="L157" i="9"/>
  <c r="R157" i="9"/>
  <c r="L156" i="9"/>
  <c r="R156" i="9"/>
  <c r="L155" i="9"/>
  <c r="R155" i="9"/>
  <c r="L154" i="9"/>
  <c r="L153" i="9"/>
  <c r="L152" i="9"/>
  <c r="L151" i="9"/>
  <c r="L149" i="9"/>
  <c r="AG149" i="9" s="1"/>
  <c r="L148" i="9"/>
  <c r="L147" i="9"/>
  <c r="L146" i="9"/>
  <c r="L145" i="9"/>
  <c r="L144" i="9"/>
  <c r="L143" i="9"/>
  <c r="L141" i="9"/>
  <c r="L139" i="9"/>
  <c r="R138" i="9"/>
  <c r="L138" i="9"/>
  <c r="R137" i="9"/>
  <c r="L137" i="9"/>
  <c r="AG137" i="9" s="1"/>
  <c r="R136" i="9"/>
  <c r="L136" i="9"/>
  <c r="L135" i="9"/>
  <c r="L134" i="9"/>
  <c r="R134" i="9"/>
  <c r="L132" i="9"/>
  <c r="R132" i="9"/>
  <c r="L131" i="9"/>
  <c r="L130" i="9"/>
  <c r="L129" i="9"/>
  <c r="L128" i="9"/>
  <c r="AG128" i="9" s="1"/>
  <c r="L127" i="9"/>
  <c r="L125" i="9"/>
  <c r="L124" i="9"/>
  <c r="L123" i="9"/>
  <c r="L122" i="9"/>
  <c r="L120" i="9"/>
  <c r="G120" i="9"/>
  <c r="G118" i="9"/>
  <c r="G116" i="9"/>
  <c r="L112" i="9"/>
  <c r="AG112" i="9"/>
  <c r="L111" i="9"/>
  <c r="L110" i="9"/>
  <c r="AG110" i="9" s="1"/>
  <c r="L106" i="9"/>
  <c r="AG106" i="9" s="1"/>
  <c r="L105" i="9"/>
  <c r="L99" i="9"/>
  <c r="R43" i="9"/>
  <c r="AG43" i="9" s="1"/>
  <c r="R42" i="9"/>
  <c r="R39" i="9"/>
  <c r="R38" i="9"/>
  <c r="R37" i="9"/>
  <c r="AG37" i="9" s="1"/>
  <c r="R36" i="9"/>
  <c r="R35" i="9"/>
  <c r="R34" i="9"/>
  <c r="R31" i="9"/>
  <c r="R28" i="9"/>
  <c r="AG28" i="9" s="1"/>
  <c r="R25" i="9"/>
  <c r="AG25" i="9" s="1"/>
  <c r="R23" i="9"/>
  <c r="R22" i="9"/>
  <c r="R21" i="9"/>
  <c r="AG21" i="9" s="1"/>
  <c r="D17" i="8"/>
  <c r="D16" i="8" s="1"/>
  <c r="E17" i="8"/>
  <c r="E16" i="8" s="1"/>
  <c r="F17" i="8"/>
  <c r="F16" i="8" s="1"/>
  <c r="G17" i="8"/>
  <c r="G16" i="8" s="1"/>
  <c r="D26" i="8"/>
  <c r="E26" i="8"/>
  <c r="E25" i="8" s="1"/>
  <c r="E23" i="8" s="1"/>
  <c r="F26" i="8"/>
  <c r="F25" i="8" s="1"/>
  <c r="F23" i="8" s="1"/>
  <c r="G26" i="8"/>
  <c r="G25" i="8"/>
  <c r="H28" i="8"/>
  <c r="H27" i="8"/>
  <c r="H18" i="8"/>
  <c r="E19" i="7"/>
  <c r="F19" i="7"/>
  <c r="H19" i="7"/>
  <c r="I37" i="7"/>
  <c r="H25" i="7"/>
  <c r="H29" i="7"/>
  <c r="H31" i="7"/>
  <c r="H33" i="7"/>
  <c r="H38" i="7"/>
  <c r="H40" i="7"/>
  <c r="H43" i="7"/>
  <c r="F40" i="7"/>
  <c r="F43" i="7"/>
  <c r="E25" i="7"/>
  <c r="E29" i="7"/>
  <c r="E31" i="7"/>
  <c r="E33" i="7"/>
  <c r="E38" i="7"/>
  <c r="E40" i="7"/>
  <c r="E43" i="7"/>
  <c r="I22" i="7"/>
  <c r="I21" i="7"/>
  <c r="I20" i="7"/>
  <c r="F16" i="6"/>
  <c r="F63" i="6" s="1"/>
  <c r="E16" i="6"/>
  <c r="E63" i="6" s="1"/>
  <c r="C141" i="4"/>
  <c r="C115" i="4"/>
  <c r="C135" i="4"/>
  <c r="F141" i="4"/>
  <c r="F115" i="4"/>
  <c r="D141" i="4"/>
  <c r="D115" i="4"/>
  <c r="D135" i="4"/>
  <c r="D189" i="4"/>
  <c r="D192" i="4"/>
  <c r="E141" i="4"/>
  <c r="E135" i="4"/>
  <c r="E115" i="4"/>
  <c r="G130" i="4"/>
  <c r="G126" i="4"/>
  <c r="G125" i="4"/>
  <c r="G122" i="4"/>
  <c r="G120" i="4"/>
  <c r="G117" i="4"/>
  <c r="F37" i="4"/>
  <c r="F53" i="4"/>
  <c r="E37" i="4"/>
  <c r="E53" i="4"/>
  <c r="D37" i="4"/>
  <c r="D53" i="4"/>
  <c r="D10" i="4" s="1"/>
  <c r="D85" i="4"/>
  <c r="D84" i="4" s="1"/>
  <c r="D88" i="4"/>
  <c r="G35" i="4"/>
  <c r="G26" i="4"/>
  <c r="G22" i="4"/>
  <c r="G21" i="4"/>
  <c r="G18" i="4"/>
  <c r="G16" i="4"/>
  <c r="D78" i="4"/>
  <c r="G78" i="4" s="1"/>
  <c r="G144" i="5"/>
  <c r="F144" i="5"/>
  <c r="E144" i="5"/>
  <c r="H143" i="5"/>
  <c r="H142" i="5"/>
  <c r="H139" i="5"/>
  <c r="H138" i="5"/>
  <c r="H136" i="5"/>
  <c r="H135" i="5"/>
  <c r="H134" i="5"/>
  <c r="H133" i="5"/>
  <c r="H132" i="5"/>
  <c r="H131" i="5"/>
  <c r="H130" i="5"/>
  <c r="H129" i="5"/>
  <c r="H128" i="5"/>
  <c r="H119" i="5"/>
  <c r="H115" i="5"/>
  <c r="H109" i="5"/>
  <c r="H100" i="5"/>
  <c r="H97" i="5"/>
  <c r="H96" i="5"/>
  <c r="H78" i="5"/>
  <c r="H70" i="5"/>
  <c r="H61" i="5"/>
  <c r="H57" i="5"/>
  <c r="H56" i="5"/>
  <c r="H53" i="5"/>
  <c r="H46" i="5"/>
  <c r="H43" i="5"/>
  <c r="H41" i="5"/>
  <c r="H40" i="5"/>
  <c r="H39" i="5"/>
  <c r="H38" i="5"/>
  <c r="H35" i="5"/>
  <c r="H32" i="5"/>
  <c r="H29" i="5"/>
  <c r="H26" i="5"/>
  <c r="H25" i="5"/>
  <c r="H24" i="5"/>
  <c r="H23" i="5"/>
  <c r="H19" i="5"/>
  <c r="H17" i="5"/>
  <c r="G133" i="4"/>
  <c r="D163" i="4"/>
  <c r="G193" i="4"/>
  <c r="G190" i="4"/>
  <c r="G186" i="4"/>
  <c r="G185" i="4"/>
  <c r="G184" i="4"/>
  <c r="G181" i="4"/>
  <c r="G180" i="4"/>
  <c r="G176" i="4"/>
  <c r="G175" i="4"/>
  <c r="G174" i="4"/>
  <c r="G170" i="4"/>
  <c r="G169" i="4"/>
  <c r="G168" i="4"/>
  <c r="G167" i="4"/>
  <c r="G166" i="4"/>
  <c r="G165" i="4"/>
  <c r="D95" i="5" s="1"/>
  <c r="G164" i="4"/>
  <c r="G89" i="4"/>
  <c r="G86" i="4"/>
  <c r="G71" i="4"/>
  <c r="G70" i="4"/>
  <c r="G69" i="4"/>
  <c r="G68" i="4"/>
  <c r="G13" i="4"/>
  <c r="F60" i="18"/>
  <c r="I59" i="20"/>
  <c r="H96" i="9"/>
  <c r="J114" i="9"/>
  <c r="J96" i="9"/>
  <c r="J117" i="9"/>
  <c r="H108" i="9"/>
  <c r="D37" i="5"/>
  <c r="H37" i="5" s="1"/>
  <c r="G51" i="22"/>
  <c r="L63" i="22"/>
  <c r="R154" i="9"/>
  <c r="C155" i="10"/>
  <c r="L41" i="22"/>
  <c r="D32" i="10"/>
  <c r="D109" i="10"/>
  <c r="F96" i="9"/>
  <c r="F95" i="9" s="1"/>
  <c r="K108" i="9"/>
  <c r="J108" i="9"/>
  <c r="J23" i="9"/>
  <c r="E23" i="9"/>
  <c r="I23" i="9"/>
  <c r="L24" i="9"/>
  <c r="L23" i="9" s="1"/>
  <c r="C52" i="18"/>
  <c r="C51" i="18" s="1"/>
  <c r="J48" i="18"/>
  <c r="D112" i="5"/>
  <c r="H112" i="5" s="1"/>
  <c r="L35" i="9"/>
  <c r="R11" i="9"/>
  <c r="L100" i="9"/>
  <c r="M140" i="9"/>
  <c r="L118" i="9"/>
  <c r="C108" i="9"/>
  <c r="K96" i="9"/>
  <c r="C96" i="9"/>
  <c r="I38" i="18"/>
  <c r="F84" i="4"/>
  <c r="J15" i="18"/>
  <c r="D23" i="9"/>
  <c r="D25" i="8"/>
  <c r="D23" i="8" s="1"/>
  <c r="M130" i="9"/>
  <c r="G38" i="18"/>
  <c r="J31" i="18"/>
  <c r="D102" i="5"/>
  <c r="H104" i="5"/>
  <c r="H122" i="5"/>
  <c r="G173" i="4"/>
  <c r="L140" i="9"/>
  <c r="L90" i="9"/>
  <c r="C126" i="5"/>
  <c r="C125" i="5" s="1"/>
  <c r="C124" i="5" s="1"/>
  <c r="G92" i="4"/>
  <c r="G91" i="4" s="1"/>
  <c r="G24" i="9"/>
  <c r="G23" i="9" s="1"/>
  <c r="D71" i="22"/>
  <c r="O35" i="22"/>
  <c r="H41" i="22"/>
  <c r="L57" i="22"/>
  <c r="O57" i="22" s="1"/>
  <c r="I79" i="22"/>
  <c r="H14" i="22"/>
  <c r="C12" i="9" s="1"/>
  <c r="H12" i="9" s="1"/>
  <c r="L45" i="22"/>
  <c r="O58" i="22"/>
  <c r="I21" i="22"/>
  <c r="J43" i="22"/>
  <c r="J45" i="22" s="1"/>
  <c r="H56" i="22"/>
  <c r="J28" i="22"/>
  <c r="H21" i="22"/>
  <c r="D12" i="9" s="1"/>
  <c r="I12" i="9" s="1"/>
  <c r="K57" i="22"/>
  <c r="K70" i="22" s="1"/>
  <c r="L37" i="22"/>
  <c r="J23" i="22"/>
  <c r="J35" i="18"/>
  <c r="J36" i="18"/>
  <c r="F10" i="21"/>
  <c r="L68" i="9"/>
  <c r="F12" i="9"/>
  <c r="K12" i="9" s="1"/>
  <c r="Q21" i="20"/>
  <c r="Q49" i="20"/>
  <c r="AG155" i="9"/>
  <c r="AG157" i="9"/>
  <c r="AG159" i="9"/>
  <c r="J46" i="22"/>
  <c r="O46" i="22" s="1"/>
  <c r="J66" i="22"/>
  <c r="J49" i="22"/>
  <c r="N49" i="22" s="1"/>
  <c r="F140" i="9"/>
  <c r="F121" i="9" s="1"/>
  <c r="R107" i="9"/>
  <c r="C23" i="8"/>
  <c r="G136" i="4"/>
  <c r="D67" i="5" s="1"/>
  <c r="C85" i="4"/>
  <c r="C84" i="4" s="1"/>
  <c r="H115" i="9"/>
  <c r="L115" i="9" s="1"/>
  <c r="J8" i="18"/>
  <c r="D11" i="11" s="1"/>
  <c r="F66" i="9"/>
  <c r="C88" i="4"/>
  <c r="G88" i="4" s="1"/>
  <c r="D66" i="18"/>
  <c r="D65" i="18" s="1"/>
  <c r="G66" i="18"/>
  <c r="Q11" i="20"/>
  <c r="P9" i="20"/>
  <c r="N9" i="20"/>
  <c r="G16" i="21"/>
  <c r="G11" i="21"/>
  <c r="C36" i="5"/>
  <c r="R56" i="9"/>
  <c r="R52" i="9"/>
  <c r="N148" i="9"/>
  <c r="C102" i="9"/>
  <c r="G102" i="9" s="1"/>
  <c r="AG102" i="9" s="1"/>
  <c r="J21" i="6"/>
  <c r="K66" i="9"/>
  <c r="F31" i="4"/>
  <c r="N17" i="22"/>
  <c r="N18" i="22"/>
  <c r="O13" i="22"/>
  <c r="N11" i="22"/>
  <c r="O40" i="22"/>
  <c r="N60" i="22"/>
  <c r="N48" i="22"/>
  <c r="N50" i="22"/>
  <c r="N64" i="22"/>
  <c r="O64" i="22"/>
  <c r="O61" i="22"/>
  <c r="N61" i="22"/>
  <c r="L85" i="9"/>
  <c r="J87" i="9"/>
  <c r="AG123" i="9"/>
  <c r="C124" i="10" s="1"/>
  <c r="J113" i="9"/>
  <c r="E95" i="9"/>
  <c r="AG129" i="9"/>
  <c r="I41" i="7"/>
  <c r="I40" i="7" s="1"/>
  <c r="R120" i="9"/>
  <c r="AG120" i="9" s="1"/>
  <c r="C120" i="10" s="1"/>
  <c r="G23" i="8"/>
  <c r="R45" i="9"/>
  <c r="R73" i="9"/>
  <c r="R117" i="9"/>
  <c r="R113" i="9"/>
  <c r="R18" i="9"/>
  <c r="R20" i="9"/>
  <c r="R10" i="9"/>
  <c r="R44" i="9"/>
  <c r="D36" i="5"/>
  <c r="H36" i="5" s="1"/>
  <c r="I63" i="6"/>
  <c r="I15" i="6"/>
  <c r="M135" i="9"/>
  <c r="I14" i="7"/>
  <c r="N143" i="9"/>
  <c r="R142" i="9"/>
  <c r="I28" i="7"/>
  <c r="K121" i="9"/>
  <c r="H117" i="9"/>
  <c r="L119" i="9"/>
  <c r="H114" i="9"/>
  <c r="G85" i="4"/>
  <c r="R126" i="9"/>
  <c r="AG126" i="9" s="1"/>
  <c r="C127" i="10" s="1"/>
  <c r="N19" i="22" l="1"/>
  <c r="AG36" i="9"/>
  <c r="J56" i="22"/>
  <c r="H45" i="22"/>
  <c r="K31" i="22"/>
  <c r="L56" i="22"/>
  <c r="O63" i="22"/>
  <c r="L96" i="9"/>
  <c r="D188" i="4"/>
  <c r="J65" i="20"/>
  <c r="N65" i="20"/>
  <c r="N55" i="22"/>
  <c r="N56" i="22" s="1"/>
  <c r="J34" i="22"/>
  <c r="J37" i="22" s="1"/>
  <c r="G74" i="4"/>
  <c r="D49" i="5"/>
  <c r="G115" i="4"/>
  <c r="H71" i="5"/>
  <c r="I18" i="21"/>
  <c r="L121" i="9"/>
  <c r="AG39" i="9"/>
  <c r="AG111" i="9"/>
  <c r="AG146" i="9"/>
  <c r="C147" i="10" s="1"/>
  <c r="J41" i="22"/>
  <c r="N12" i="22"/>
  <c r="O16" i="22"/>
  <c r="AG124" i="9"/>
  <c r="C125" i="10" s="1"/>
  <c r="AG63" i="9"/>
  <c r="C60" i="10" s="1"/>
  <c r="S92" i="9"/>
  <c r="S44" i="9" s="1"/>
  <c r="R148" i="9"/>
  <c r="AG148" i="9" s="1"/>
  <c r="C149" i="10" s="1"/>
  <c r="I25" i="20"/>
  <c r="AG118" i="9"/>
  <c r="H24" i="7"/>
  <c r="H47" i="7" s="1"/>
  <c r="AG31" i="9"/>
  <c r="P25" i="20"/>
  <c r="L27" i="20"/>
  <c r="G72" i="9"/>
  <c r="N13" i="22"/>
  <c r="I14" i="21"/>
  <c r="H33" i="9"/>
  <c r="H32" i="9" s="1"/>
  <c r="O20" i="22"/>
  <c r="I18" i="20"/>
  <c r="O23" i="22"/>
  <c r="C32" i="9"/>
  <c r="O47" i="22"/>
  <c r="O11" i="22"/>
  <c r="L108" i="9"/>
  <c r="AG108" i="9" s="1"/>
  <c r="K95" i="9"/>
  <c r="AG69" i="9"/>
  <c r="C70" i="10" s="1"/>
  <c r="AG105" i="9"/>
  <c r="AG42" i="9"/>
  <c r="AG38" i="9"/>
  <c r="AG22" i="9"/>
  <c r="AG134" i="9"/>
  <c r="AG162" i="9"/>
  <c r="K87" i="9"/>
  <c r="L48" i="9"/>
  <c r="AG13" i="9"/>
  <c r="L81" i="9"/>
  <c r="H87" i="9"/>
  <c r="L87" i="9" s="1"/>
  <c r="L50" i="9"/>
  <c r="AG50" i="9" s="1"/>
  <c r="C47" i="10" s="1"/>
  <c r="L59" i="9"/>
  <c r="AG59" i="9" s="1"/>
  <c r="C56" i="10" s="1"/>
  <c r="L84" i="9"/>
  <c r="AG84" i="9" s="1"/>
  <c r="L80" i="9"/>
  <c r="L76" i="9"/>
  <c r="L64" i="9"/>
  <c r="L56" i="9"/>
  <c r="AG56" i="9" s="1"/>
  <c r="C53" i="10" s="1"/>
  <c r="L61" i="9"/>
  <c r="L57" i="9"/>
  <c r="H54" i="5"/>
  <c r="G31" i="4"/>
  <c r="L93" i="9"/>
  <c r="L92" i="9" s="1"/>
  <c r="G53" i="4"/>
  <c r="G93" i="9"/>
  <c r="C188" i="4"/>
  <c r="H50" i="5"/>
  <c r="L53" i="9"/>
  <c r="H74" i="5"/>
  <c r="L86" i="9"/>
  <c r="L82" i="9"/>
  <c r="L117" i="9"/>
  <c r="N57" i="22"/>
  <c r="F52" i="18"/>
  <c r="F51" i="18" s="1"/>
  <c r="AG76" i="9"/>
  <c r="C77" i="10" s="1"/>
  <c r="E24" i="7"/>
  <c r="E47" i="7" s="1"/>
  <c r="O33" i="22"/>
  <c r="I37" i="22"/>
  <c r="K113" i="9"/>
  <c r="R99" i="9"/>
  <c r="P96" i="9"/>
  <c r="R96" i="9" s="1"/>
  <c r="AG96" i="9" s="1"/>
  <c r="C16" i="8"/>
  <c r="C47" i="8" s="1"/>
  <c r="AG99" i="9"/>
  <c r="C100" i="10" s="1"/>
  <c r="Q61" i="20"/>
  <c r="Q64" i="20" s="1"/>
  <c r="Q65" i="20" s="1"/>
  <c r="I64" i="20"/>
  <c r="L83" i="9"/>
  <c r="AG83" i="9" s="1"/>
  <c r="C84" i="10" s="1"/>
  <c r="L75" i="9"/>
  <c r="AG75" i="9" s="1"/>
  <c r="C76" i="10" s="1"/>
  <c r="L49" i="9"/>
  <c r="L33" i="9"/>
  <c r="L32" i="9" s="1"/>
  <c r="G84" i="4"/>
  <c r="R153" i="9"/>
  <c r="AG153" i="9" s="1"/>
  <c r="C154" i="10" s="1"/>
  <c r="D152" i="10" s="1"/>
  <c r="E151" i="10" s="1"/>
  <c r="O56" i="22"/>
  <c r="AG35" i="9"/>
  <c r="AG158" i="9"/>
  <c r="I57" i="20"/>
  <c r="Q50" i="20"/>
  <c r="Q57" i="20" s="1"/>
  <c r="K71" i="22"/>
  <c r="O39" i="22"/>
  <c r="O41" i="22" s="1"/>
  <c r="I41" i="22"/>
  <c r="N63" i="22"/>
  <c r="N9" i="22"/>
  <c r="J14" i="22"/>
  <c r="O9" i="22"/>
  <c r="J25" i="22"/>
  <c r="H29" i="22"/>
  <c r="H31" i="22" s="1"/>
  <c r="N23" i="22"/>
  <c r="N29" i="22" s="1"/>
  <c r="L29" i="22"/>
  <c r="D108" i="5"/>
  <c r="H111" i="5"/>
  <c r="H58" i="5"/>
  <c r="H69" i="5"/>
  <c r="L18" i="9"/>
  <c r="AG18" i="9" s="1"/>
  <c r="D113" i="9"/>
  <c r="I113" i="9"/>
  <c r="I71" i="9"/>
  <c r="L60" i="9"/>
  <c r="AG60" i="9" s="1"/>
  <c r="C57" i="10" s="1"/>
  <c r="L52" i="9"/>
  <c r="AG52" i="9" s="1"/>
  <c r="C49" i="10" s="1"/>
  <c r="G91" i="9"/>
  <c r="D31" i="22"/>
  <c r="AG156" i="9"/>
  <c r="AG160" i="9"/>
  <c r="P64" i="20"/>
  <c r="O44" i="22"/>
  <c r="G31" i="22"/>
  <c r="D25" i="7"/>
  <c r="D24" i="7" s="1"/>
  <c r="D47" i="7" s="1"/>
  <c r="F13" i="21"/>
  <c r="I25" i="7"/>
  <c r="AG20" i="9"/>
  <c r="C17" i="10" s="1"/>
  <c r="H26" i="8"/>
  <c r="D104" i="9"/>
  <c r="D95" i="9" s="1"/>
  <c r="O24" i="22"/>
  <c r="O36" i="22"/>
  <c r="N20" i="22"/>
  <c r="AG19" i="9"/>
  <c r="C16" i="10" s="1"/>
  <c r="N27" i="20"/>
  <c r="D47" i="8"/>
  <c r="O43" i="22"/>
  <c r="O28" i="22"/>
  <c r="H102" i="5"/>
  <c r="AG154" i="9"/>
  <c r="AG34" i="9"/>
  <c r="AG116" i="9"/>
  <c r="AG127" i="9"/>
  <c r="C128" i="10" s="1"/>
  <c r="AG152" i="9"/>
  <c r="O53" i="22"/>
  <c r="N45" i="22"/>
  <c r="J47" i="18"/>
  <c r="H27" i="5"/>
  <c r="I9" i="21"/>
  <c r="I15" i="21"/>
  <c r="F11" i="21"/>
  <c r="H11" i="21" s="1"/>
  <c r="I11" i="21"/>
  <c r="C21" i="5"/>
  <c r="D21" i="5" s="1"/>
  <c r="F17" i="21"/>
  <c r="J32" i="6"/>
  <c r="J31" i="6" s="1"/>
  <c r="O26" i="22"/>
  <c r="L66" i="9"/>
  <c r="G17" i="21"/>
  <c r="G13" i="21"/>
  <c r="H37" i="22"/>
  <c r="D19" i="21"/>
  <c r="D20" i="21" s="1"/>
  <c r="L107" i="9"/>
  <c r="AG107" i="9" s="1"/>
  <c r="M122" i="9"/>
  <c r="R122" i="9" s="1"/>
  <c r="AG122" i="9" s="1"/>
  <c r="AG100" i="9"/>
  <c r="C101" i="10" s="1"/>
  <c r="J60" i="18"/>
  <c r="J59" i="18" s="1"/>
  <c r="D21" i="11" s="1"/>
  <c r="H17" i="8"/>
  <c r="AG125" i="9"/>
  <c r="O65" i="20"/>
  <c r="L65" i="20"/>
  <c r="P57" i="20"/>
  <c r="M27" i="20"/>
  <c r="H42" i="5"/>
  <c r="L77" i="9"/>
  <c r="L88" i="9"/>
  <c r="L79" i="9"/>
  <c r="F71" i="9"/>
  <c r="F16" i="21"/>
  <c r="H16" i="21" s="1"/>
  <c r="I16" i="21" s="1"/>
  <c r="I12" i="21"/>
  <c r="G53" i="9"/>
  <c r="G10" i="21"/>
  <c r="H10" i="21" s="1"/>
  <c r="T143" i="9"/>
  <c r="T140" i="9" s="1"/>
  <c r="J42" i="6"/>
  <c r="M131" i="9"/>
  <c r="R133" i="9"/>
  <c r="AG133" i="9" s="1"/>
  <c r="C134" i="10" s="1"/>
  <c r="D132" i="10" s="1"/>
  <c r="R135" i="9"/>
  <c r="AG135" i="9" s="1"/>
  <c r="L91" i="9"/>
  <c r="AG91" i="9" s="1"/>
  <c r="C92" i="10" s="1"/>
  <c r="G70" i="18"/>
  <c r="G65" i="18"/>
  <c r="C65" i="18"/>
  <c r="D17" i="18"/>
  <c r="H17" i="18"/>
  <c r="H70" i="18" s="1"/>
  <c r="H71" i="18" s="1"/>
  <c r="C22" i="13" s="1"/>
  <c r="D22" i="13" s="1"/>
  <c r="J63" i="18"/>
  <c r="V141" i="9"/>
  <c r="U140" i="9"/>
  <c r="U121" i="9" s="1"/>
  <c r="U163" i="9" s="1"/>
  <c r="F21" i="14" s="1"/>
  <c r="F20" i="14" s="1"/>
  <c r="I35" i="7"/>
  <c r="F25" i="7"/>
  <c r="N145" i="9"/>
  <c r="R145" i="9" s="1"/>
  <c r="AG145" i="9" s="1"/>
  <c r="C146" i="10" s="1"/>
  <c r="J25" i="6"/>
  <c r="J15" i="6"/>
  <c r="F10" i="4"/>
  <c r="F94" i="4" s="1"/>
  <c r="K71" i="9"/>
  <c r="J71" i="9"/>
  <c r="L58" i="9"/>
  <c r="L78" i="9"/>
  <c r="AG78" i="9" s="1"/>
  <c r="C79" i="10" s="1"/>
  <c r="L73" i="9"/>
  <c r="L62" i="9"/>
  <c r="AG62" i="9" s="1"/>
  <c r="C59" i="10" s="1"/>
  <c r="H71" i="9"/>
  <c r="C87" i="9"/>
  <c r="C114" i="4"/>
  <c r="F45" i="9"/>
  <c r="G73" i="9"/>
  <c r="C65" i="9"/>
  <c r="G183" i="4"/>
  <c r="G179" i="4"/>
  <c r="G115" i="9"/>
  <c r="E87" i="9"/>
  <c r="G48" i="9"/>
  <c r="AG48" i="9" s="1"/>
  <c r="C45" i="10" s="1"/>
  <c r="C71" i="9"/>
  <c r="G64" i="9"/>
  <c r="AG64" i="9" s="1"/>
  <c r="C61" i="10" s="1"/>
  <c r="G54" i="9"/>
  <c r="AG54" i="9" s="1"/>
  <c r="C51" i="10" s="1"/>
  <c r="G49" i="9"/>
  <c r="AG49" i="9" s="1"/>
  <c r="C46" i="10" s="1"/>
  <c r="D71" i="9"/>
  <c r="G189" i="4"/>
  <c r="G58" i="9"/>
  <c r="D66" i="5"/>
  <c r="G188" i="4"/>
  <c r="F65" i="9"/>
  <c r="G135" i="4"/>
  <c r="G196" i="4"/>
  <c r="G195" i="4" s="1"/>
  <c r="C45" i="9"/>
  <c r="E45" i="9"/>
  <c r="G141" i="4"/>
  <c r="D117" i="5"/>
  <c r="G61" i="9"/>
  <c r="AG61" i="9" s="1"/>
  <c r="C58" i="10" s="1"/>
  <c r="D87" i="9"/>
  <c r="D45" i="9"/>
  <c r="G177" i="4"/>
  <c r="D106" i="5" s="1"/>
  <c r="D101" i="5" s="1"/>
  <c r="H101" i="5" s="1"/>
  <c r="G163" i="4"/>
  <c r="H73" i="5"/>
  <c r="D72" i="5"/>
  <c r="D67" i="4"/>
  <c r="G67" i="4" s="1"/>
  <c r="L72" i="9"/>
  <c r="AG72" i="9" s="1"/>
  <c r="C73" i="10" s="1"/>
  <c r="G68" i="9"/>
  <c r="AG68" i="9" s="1"/>
  <c r="C69" i="10" s="1"/>
  <c r="G57" i="9"/>
  <c r="G37" i="4"/>
  <c r="G119" i="9"/>
  <c r="AG119" i="9" s="1"/>
  <c r="C119" i="10" s="1"/>
  <c r="D118" i="10" s="1"/>
  <c r="G86" i="9"/>
  <c r="AG86" i="9" s="1"/>
  <c r="C87" i="10" s="1"/>
  <c r="H79" i="5"/>
  <c r="H49" i="5"/>
  <c r="J45" i="9"/>
  <c r="H76" i="5"/>
  <c r="G88" i="9"/>
  <c r="F87" i="9"/>
  <c r="AG93" i="9"/>
  <c r="C94" i="10" s="1"/>
  <c r="D93" i="10" s="1"/>
  <c r="H91" i="5"/>
  <c r="H90" i="5"/>
  <c r="H68" i="5"/>
  <c r="H63" i="5"/>
  <c r="H62" i="5"/>
  <c r="H55" i="5"/>
  <c r="K45" i="9"/>
  <c r="I45" i="9"/>
  <c r="G11" i="4"/>
  <c r="L46" i="9"/>
  <c r="AG46" i="9" s="1"/>
  <c r="C43" i="10" s="1"/>
  <c r="H45" i="9"/>
  <c r="H107" i="5"/>
  <c r="C172" i="4"/>
  <c r="G90" i="9"/>
  <c r="AG90" i="9" s="1"/>
  <c r="C91" i="10" s="1"/>
  <c r="G158" i="4"/>
  <c r="D114" i="4"/>
  <c r="D198" i="4" s="1"/>
  <c r="E114" i="4"/>
  <c r="E198" i="4" s="1"/>
  <c r="D125" i="5"/>
  <c r="D124" i="5" s="1"/>
  <c r="H124" i="5" s="1"/>
  <c r="H126" i="5"/>
  <c r="H125" i="5" s="1"/>
  <c r="D93" i="5"/>
  <c r="H93" i="5" s="1"/>
  <c r="H95" i="5"/>
  <c r="D88" i="5"/>
  <c r="H89" i="5"/>
  <c r="G66" i="9"/>
  <c r="E10" i="4"/>
  <c r="E94" i="4" s="1"/>
  <c r="H59" i="5"/>
  <c r="K65" i="9"/>
  <c r="L65" i="9" s="1"/>
  <c r="C95" i="9"/>
  <c r="H52" i="5"/>
  <c r="H87" i="5"/>
  <c r="C66" i="5"/>
  <c r="AG67" i="9"/>
  <c r="C68" i="10" s="1"/>
  <c r="L104" i="9"/>
  <c r="I95" i="9"/>
  <c r="C118" i="5"/>
  <c r="H118" i="5" s="1"/>
  <c r="H120" i="5"/>
  <c r="H67" i="5"/>
  <c r="F114" i="4"/>
  <c r="F198" i="4" s="1"/>
  <c r="H51" i="5"/>
  <c r="D48" i="5"/>
  <c r="AG24" i="9"/>
  <c r="C21" i="10" s="1"/>
  <c r="D20" i="10" s="1"/>
  <c r="J18" i="18"/>
  <c r="I70" i="18"/>
  <c r="I71" i="18" s="1"/>
  <c r="C20" i="13" s="1"/>
  <c r="D70" i="18"/>
  <c r="D71" i="18" s="1"/>
  <c r="C17" i="18"/>
  <c r="L70" i="22"/>
  <c r="O49" i="22"/>
  <c r="N66" i="22"/>
  <c r="J70" i="22"/>
  <c r="O66" i="22"/>
  <c r="N65" i="22"/>
  <c r="O65" i="22"/>
  <c r="N58" i="22"/>
  <c r="O27" i="22"/>
  <c r="G71" i="22"/>
  <c r="G73" i="22" s="1"/>
  <c r="J29" i="22"/>
  <c r="O25" i="22"/>
  <c r="F14" i="9"/>
  <c r="K14" i="9" s="1"/>
  <c r="K11" i="9" s="1"/>
  <c r="N59" i="22"/>
  <c r="O59" i="22"/>
  <c r="O70" i="22" s="1"/>
  <c r="O50" i="22"/>
  <c r="J51" i="22"/>
  <c r="O48" i="22"/>
  <c r="H51" i="22"/>
  <c r="L71" i="22"/>
  <c r="O15" i="22"/>
  <c r="O21" i="22" s="1"/>
  <c r="N15" i="22"/>
  <c r="N21" i="22" s="1"/>
  <c r="J21" i="22"/>
  <c r="J31" i="22" s="1"/>
  <c r="L14" i="22"/>
  <c r="L31" i="22" s="1"/>
  <c r="I31" i="22"/>
  <c r="C14" i="9"/>
  <c r="H14" i="9" s="1"/>
  <c r="O10" i="22"/>
  <c r="O14" i="22" s="1"/>
  <c r="G19" i="21"/>
  <c r="G20" i="21" s="1"/>
  <c r="J27" i="20"/>
  <c r="C17" i="9" s="1"/>
  <c r="G17" i="9" s="1"/>
  <c r="O27" i="20"/>
  <c r="H27" i="20"/>
  <c r="J38" i="18"/>
  <c r="D17" i="11" s="1"/>
  <c r="J9" i="18"/>
  <c r="F59" i="18"/>
  <c r="H113" i="9"/>
  <c r="L113" i="9" s="1"/>
  <c r="C94" i="4"/>
  <c r="E70" i="18"/>
  <c r="E71" i="18" s="1"/>
  <c r="J51" i="18"/>
  <c r="D19" i="11" s="1"/>
  <c r="N46" i="22"/>
  <c r="N51" i="22" s="1"/>
  <c r="I78" i="22"/>
  <c r="D14" i="9"/>
  <c r="K73" i="22"/>
  <c r="I27" i="20"/>
  <c r="C45" i="5" s="1"/>
  <c r="C44" i="5" s="1"/>
  <c r="H77" i="5"/>
  <c r="AG132" i="9"/>
  <c r="H86" i="5"/>
  <c r="H84" i="5"/>
  <c r="AG85" i="9"/>
  <c r="C86" i="10" s="1"/>
  <c r="AG136" i="9"/>
  <c r="AG138" i="9"/>
  <c r="G24" i="7"/>
  <c r="G47" i="7" s="1"/>
  <c r="AG74" i="9"/>
  <c r="C75" i="10" s="1"/>
  <c r="E40" i="9"/>
  <c r="AG23" i="9"/>
  <c r="H95" i="9"/>
  <c r="K7" i="20"/>
  <c r="K9" i="20" s="1"/>
  <c r="K27" i="20" s="1"/>
  <c r="J16" i="6"/>
  <c r="F41" i="9"/>
  <c r="F40" i="9" s="1"/>
  <c r="C113" i="9"/>
  <c r="G113" i="9" s="1"/>
  <c r="G114" i="9"/>
  <c r="R131" i="9"/>
  <c r="AG131" i="9" s="1"/>
  <c r="AG33" i="9"/>
  <c r="C30" i="10" s="1"/>
  <c r="D29" i="10" s="1"/>
  <c r="AG115" i="9"/>
  <c r="C116" i="10" s="1"/>
  <c r="D115" i="10" s="1"/>
  <c r="AG51" i="9"/>
  <c r="C48" i="10" s="1"/>
  <c r="D15" i="10"/>
  <c r="AG147" i="9"/>
  <c r="C148" i="10" s="1"/>
  <c r="AG139" i="9"/>
  <c r="C140" i="10" s="1"/>
  <c r="D136" i="10" s="1"/>
  <c r="AG144" i="9"/>
  <c r="C145" i="10" s="1"/>
  <c r="J95" i="9"/>
  <c r="AG32" i="9"/>
  <c r="G117" i="9"/>
  <c r="AG117" i="9" s="1"/>
  <c r="AG70" i="9"/>
  <c r="C71" i="10" s="1"/>
  <c r="H23" i="8"/>
  <c r="F47" i="8"/>
  <c r="G47" i="8"/>
  <c r="H25" i="8"/>
  <c r="E47" i="8"/>
  <c r="P95" i="9"/>
  <c r="P150" i="9"/>
  <c r="R150" i="9" s="1"/>
  <c r="AG150" i="9" s="1"/>
  <c r="D45" i="11" s="1"/>
  <c r="R151" i="9"/>
  <c r="AG151" i="9" s="1"/>
  <c r="Q95" i="9"/>
  <c r="Q163" i="9" s="1"/>
  <c r="R104" i="9"/>
  <c r="I24" i="7"/>
  <c r="O141" i="9"/>
  <c r="R141" i="9" s="1"/>
  <c r="R143" i="9"/>
  <c r="M121" i="9"/>
  <c r="R130" i="9"/>
  <c r="AG130" i="9" s="1"/>
  <c r="C131" i="10" s="1"/>
  <c r="AG77" i="9"/>
  <c r="H123" i="5"/>
  <c r="C121" i="5"/>
  <c r="H121" i="5" s="1"/>
  <c r="C72" i="5"/>
  <c r="H72" i="5" s="1"/>
  <c r="H75" i="5"/>
  <c r="H65" i="5"/>
  <c r="C48" i="5"/>
  <c r="AG142" i="9"/>
  <c r="C143" i="10" s="1"/>
  <c r="G104" i="9"/>
  <c r="C88" i="5"/>
  <c r="H92" i="5"/>
  <c r="G92" i="9"/>
  <c r="AG92" i="9" s="1"/>
  <c r="AG82" i="9"/>
  <c r="H108" i="5"/>
  <c r="L114" i="9"/>
  <c r="AG80" i="9"/>
  <c r="AG79" i="9"/>
  <c r="AG81" i="9"/>
  <c r="P27" i="20"/>
  <c r="R27" i="20"/>
  <c r="Q25" i="20"/>
  <c r="H21" i="5"/>
  <c r="Q18" i="20"/>
  <c r="Q19" i="20"/>
  <c r="Q20" i="20" s="1"/>
  <c r="K41" i="9"/>
  <c r="K40" i="9" s="1"/>
  <c r="K38" i="9" s="1"/>
  <c r="D97" i="10" l="1"/>
  <c r="C44" i="9"/>
  <c r="O34" i="22"/>
  <c r="N14" i="22"/>
  <c r="D123" i="10"/>
  <c r="AG53" i="9"/>
  <c r="C50" i="10" s="1"/>
  <c r="G95" i="9"/>
  <c r="AG57" i="9"/>
  <c r="C54" i="10" s="1"/>
  <c r="T121" i="9"/>
  <c r="T163" i="9" s="1"/>
  <c r="F19" i="14" s="1"/>
  <c r="F17" i="14" s="1"/>
  <c r="F16" i="14" s="1"/>
  <c r="F28" i="14" s="1"/>
  <c r="V140" i="9"/>
  <c r="V143" i="9"/>
  <c r="AG143" i="9" s="1"/>
  <c r="C144" i="10" s="1"/>
  <c r="L71" i="9"/>
  <c r="J44" i="9"/>
  <c r="AG73" i="9"/>
  <c r="C74" i="10" s="1"/>
  <c r="D72" i="10" s="1"/>
  <c r="AG88" i="9"/>
  <c r="C89" i="10" s="1"/>
  <c r="D88" i="10" s="1"/>
  <c r="E44" i="9"/>
  <c r="I10" i="21"/>
  <c r="R95" i="9"/>
  <c r="O37" i="22"/>
  <c r="H16" i="8"/>
  <c r="C70" i="18"/>
  <c r="C71" i="18" s="1"/>
  <c r="C146" i="5" s="1"/>
  <c r="C20" i="5"/>
  <c r="D20" i="5" s="1"/>
  <c r="H20" i="5" s="1"/>
  <c r="C16" i="9"/>
  <c r="C11" i="9" s="1"/>
  <c r="N70" i="22"/>
  <c r="H17" i="21"/>
  <c r="I17" i="21" s="1"/>
  <c r="F19" i="21"/>
  <c r="F20" i="21" s="1"/>
  <c r="H17" i="9"/>
  <c r="L17" i="9" s="1"/>
  <c r="I44" i="9"/>
  <c r="O45" i="22"/>
  <c r="H13" i="21"/>
  <c r="I13" i="21" s="1"/>
  <c r="P65" i="20"/>
  <c r="I65" i="20"/>
  <c r="AG58" i="9"/>
  <c r="C55" i="10" s="1"/>
  <c r="D42" i="10" s="1"/>
  <c r="F44" i="9"/>
  <c r="S141" i="9"/>
  <c r="S140" i="9" s="1"/>
  <c r="S121" i="9" s="1"/>
  <c r="S163" i="9" s="1"/>
  <c r="E22" i="12" s="1"/>
  <c r="F24" i="7"/>
  <c r="F47" i="7" s="1"/>
  <c r="N140" i="9"/>
  <c r="J63" i="6"/>
  <c r="D25" i="11"/>
  <c r="C198" i="4"/>
  <c r="P163" i="9"/>
  <c r="E25" i="12" s="1"/>
  <c r="C26" i="14" s="1"/>
  <c r="D44" i="9"/>
  <c r="G106" i="5"/>
  <c r="G45" i="9"/>
  <c r="G65" i="9"/>
  <c r="AG65" i="9" s="1"/>
  <c r="AG66" i="9"/>
  <c r="C67" i="10" s="1"/>
  <c r="D66" i="10" s="1"/>
  <c r="H106" i="5"/>
  <c r="G87" i="9"/>
  <c r="AG87" i="9" s="1"/>
  <c r="G71" i="9"/>
  <c r="AG71" i="9" s="1"/>
  <c r="G172" i="4"/>
  <c r="G114" i="4"/>
  <c r="D94" i="4"/>
  <c r="G10" i="4"/>
  <c r="G94" i="4" s="1"/>
  <c r="K44" i="9"/>
  <c r="L45" i="9"/>
  <c r="H44" i="9"/>
  <c r="H88" i="5"/>
  <c r="L95" i="9"/>
  <c r="C117" i="5"/>
  <c r="H117" i="5" s="1"/>
  <c r="E114" i="10"/>
  <c r="AG113" i="9"/>
  <c r="D41" i="11" s="1"/>
  <c r="C14" i="13"/>
  <c r="O51" i="22"/>
  <c r="O71" i="22" s="1"/>
  <c r="I71" i="22"/>
  <c r="I73" i="22" s="1"/>
  <c r="C18" i="5" s="1"/>
  <c r="N71" i="22"/>
  <c r="O29" i="22"/>
  <c r="F11" i="9"/>
  <c r="F10" i="9" s="1"/>
  <c r="F163" i="9" s="1"/>
  <c r="D15" i="14" s="1"/>
  <c r="G14" i="9"/>
  <c r="J71" i="22"/>
  <c r="J73" i="22" s="1"/>
  <c r="E12" i="9"/>
  <c r="H71" i="22"/>
  <c r="H73" i="22" s="1"/>
  <c r="C16" i="5" s="1"/>
  <c r="L73" i="22"/>
  <c r="C31" i="5" s="1"/>
  <c r="D31" i="5" s="1"/>
  <c r="N31" i="22"/>
  <c r="O31" i="22"/>
  <c r="J41" i="9"/>
  <c r="J40" i="9" s="1"/>
  <c r="J38" i="9" s="1"/>
  <c r="H47" i="8"/>
  <c r="K10" i="9"/>
  <c r="I14" i="9"/>
  <c r="D11" i="9"/>
  <c r="D10" i="9" s="1"/>
  <c r="D45" i="5"/>
  <c r="AG114" i="9"/>
  <c r="AG104" i="9"/>
  <c r="C108" i="10" s="1"/>
  <c r="D105" i="10" s="1"/>
  <c r="E96" i="10" s="1"/>
  <c r="E26" i="12"/>
  <c r="C27" i="14"/>
  <c r="H27" i="14" s="1"/>
  <c r="D18" i="7"/>
  <c r="I18" i="7" s="1"/>
  <c r="I19" i="7"/>
  <c r="I47" i="7" s="1"/>
  <c r="O140" i="9"/>
  <c r="M163" i="9"/>
  <c r="D47" i="5"/>
  <c r="H66" i="5"/>
  <c r="H48" i="5"/>
  <c r="C47" i="5"/>
  <c r="Q27" i="20"/>
  <c r="I19" i="21" l="1"/>
  <c r="I20" i="21" s="1"/>
  <c r="V121" i="9"/>
  <c r="V163" i="9" s="1"/>
  <c r="D20" i="13" s="1"/>
  <c r="AG141" i="9"/>
  <c r="C142" i="10" s="1"/>
  <c r="D141" i="10" s="1"/>
  <c r="E122" i="10" s="1"/>
  <c r="F70" i="18"/>
  <c r="F71" i="18" s="1"/>
  <c r="G16" i="9"/>
  <c r="H16" i="9"/>
  <c r="C34" i="5"/>
  <c r="D34" i="5" s="1"/>
  <c r="H34" i="5" s="1"/>
  <c r="H19" i="21"/>
  <c r="H20" i="21" s="1"/>
  <c r="D44" i="5"/>
  <c r="H44" i="5" s="1"/>
  <c r="C41" i="9"/>
  <c r="N121" i="9"/>
  <c r="N163" i="9" s="1"/>
  <c r="E18" i="12" s="1"/>
  <c r="R140" i="9"/>
  <c r="AG140" i="9" s="1"/>
  <c r="C23" i="14"/>
  <c r="H23" i="14" s="1"/>
  <c r="D163" i="9"/>
  <c r="D12" i="14" s="1"/>
  <c r="G198" i="4"/>
  <c r="F24" i="12"/>
  <c r="G23" i="12" s="1"/>
  <c r="AG45" i="9"/>
  <c r="G44" i="9"/>
  <c r="K163" i="9"/>
  <c r="C15" i="14" s="1"/>
  <c r="H15" i="14" s="1"/>
  <c r="L44" i="9"/>
  <c r="AG95" i="9"/>
  <c r="D39" i="11" s="1"/>
  <c r="H47" i="5"/>
  <c r="D30" i="5"/>
  <c r="C27" i="9"/>
  <c r="D18" i="5"/>
  <c r="H18" i="5" s="1"/>
  <c r="H45" i="5"/>
  <c r="J17" i="18"/>
  <c r="G71" i="18"/>
  <c r="N73" i="22"/>
  <c r="O73" i="22"/>
  <c r="O74" i="22" s="1"/>
  <c r="D16" i="5"/>
  <c r="H16" i="5" s="1"/>
  <c r="C15" i="5"/>
  <c r="E11" i="9"/>
  <c r="E10" i="9" s="1"/>
  <c r="E163" i="9" s="1"/>
  <c r="D14" i="14" s="1"/>
  <c r="D13" i="14" s="1"/>
  <c r="G12" i="9"/>
  <c r="J12" i="9"/>
  <c r="H31" i="5"/>
  <c r="C30" i="5"/>
  <c r="AG17" i="9"/>
  <c r="C14" i="10" s="1"/>
  <c r="L14" i="9"/>
  <c r="I11" i="9"/>
  <c r="I10" i="9" s="1"/>
  <c r="I163" i="9" s="1"/>
  <c r="C12" i="14" s="1"/>
  <c r="E41" i="10"/>
  <c r="C25" i="14"/>
  <c r="C24" i="14" s="1"/>
  <c r="H26" i="14"/>
  <c r="H25" i="14" s="1"/>
  <c r="H24" i="14" s="1"/>
  <c r="O121" i="9"/>
  <c r="C18" i="14"/>
  <c r="E17" i="12"/>
  <c r="H30" i="5" l="1"/>
  <c r="C33" i="5"/>
  <c r="G11" i="9"/>
  <c r="L16" i="9"/>
  <c r="AG16" i="9" s="1"/>
  <c r="C13" i="10" s="1"/>
  <c r="H11" i="9"/>
  <c r="C19" i="14"/>
  <c r="H19" i="14" s="1"/>
  <c r="H41" i="9"/>
  <c r="C40" i="9"/>
  <c r="G41" i="9"/>
  <c r="G40" i="9" s="1"/>
  <c r="D13" i="11"/>
  <c r="D27" i="11" s="1"/>
  <c r="J70" i="18"/>
  <c r="J71" i="18" s="1"/>
  <c r="F16" i="12"/>
  <c r="G15" i="12" s="1"/>
  <c r="H146" i="5"/>
  <c r="AG44" i="9"/>
  <c r="D37" i="11" s="1"/>
  <c r="E14" i="12"/>
  <c r="C14" i="5"/>
  <c r="C144" i="5" s="1"/>
  <c r="C148" i="5" s="1"/>
  <c r="D15" i="5"/>
  <c r="H15" i="5" s="1"/>
  <c r="G27" i="9"/>
  <c r="G26" i="9" s="1"/>
  <c r="C26" i="9"/>
  <c r="H27" i="9"/>
  <c r="C30" i="9"/>
  <c r="D33" i="5"/>
  <c r="H33" i="5" s="1"/>
  <c r="I22" i="21"/>
  <c r="C16" i="13"/>
  <c r="C25" i="13" s="1"/>
  <c r="J11" i="9"/>
  <c r="J10" i="9" s="1"/>
  <c r="J163" i="9" s="1"/>
  <c r="L12" i="9"/>
  <c r="AG12" i="9" s="1"/>
  <c r="C10" i="10" s="1"/>
  <c r="E11" i="12"/>
  <c r="AG14" i="9"/>
  <c r="C11" i="10" s="1"/>
  <c r="H12" i="14"/>
  <c r="O163" i="9"/>
  <c r="R121" i="9"/>
  <c r="R163" i="9" s="1"/>
  <c r="C17" i="14"/>
  <c r="C16" i="14" s="1"/>
  <c r="H18" i="14"/>
  <c r="H17" i="14" s="1"/>
  <c r="H16" i="14" s="1"/>
  <c r="H40" i="9" l="1"/>
  <c r="L41" i="9"/>
  <c r="H30" i="9"/>
  <c r="C29" i="9"/>
  <c r="C10" i="9" s="1"/>
  <c r="C163" i="9" s="1"/>
  <c r="G30" i="9"/>
  <c r="G29" i="9" s="1"/>
  <c r="G10" i="9" s="1"/>
  <c r="G163" i="9" s="1"/>
  <c r="L27" i="9"/>
  <c r="H26" i="9"/>
  <c r="D14" i="5"/>
  <c r="D144" i="5" s="1"/>
  <c r="D148" i="5" s="1"/>
  <c r="L11" i="9"/>
  <c r="AG11" i="9" s="1"/>
  <c r="D9" i="10"/>
  <c r="E13" i="12"/>
  <c r="F12" i="12" s="1"/>
  <c r="C14" i="14"/>
  <c r="E21" i="12"/>
  <c r="C22" i="14"/>
  <c r="AG121" i="9"/>
  <c r="D43" i="11" s="1"/>
  <c r="AG41" i="9" l="1"/>
  <c r="C38" i="10" s="1"/>
  <c r="D37" i="10" s="1"/>
  <c r="L40" i="9"/>
  <c r="AG40" i="9" s="1"/>
  <c r="D16" i="13"/>
  <c r="H14" i="5"/>
  <c r="H144" i="5" s="1"/>
  <c r="D11" i="14"/>
  <c r="D10" i="14" s="1"/>
  <c r="D9" i="14" s="1"/>
  <c r="D28" i="14" s="1"/>
  <c r="H29" i="9"/>
  <c r="H10" i="9" s="1"/>
  <c r="H163" i="9" s="1"/>
  <c r="L30" i="9"/>
  <c r="L26" i="9"/>
  <c r="AG26" i="9" s="1"/>
  <c r="AG27" i="9"/>
  <c r="C24" i="10" s="1"/>
  <c r="C13" i="14"/>
  <c r="H14" i="14"/>
  <c r="H13" i="14" s="1"/>
  <c r="F20" i="12"/>
  <c r="H22" i="14"/>
  <c r="H21" i="14" s="1"/>
  <c r="H20" i="14" s="1"/>
  <c r="C21" i="14"/>
  <c r="C20" i="14" s="1"/>
  <c r="C11" i="14" l="1"/>
  <c r="E10" i="12"/>
  <c r="L29" i="9"/>
  <c r="AG29" i="9" s="1"/>
  <c r="AG30" i="9"/>
  <c r="C27" i="10" s="1"/>
  <c r="D26" i="10" s="1"/>
  <c r="D23" i="10"/>
  <c r="G19" i="12"/>
  <c r="L10" i="9" l="1"/>
  <c r="AG10" i="9" s="1"/>
  <c r="AG163" i="9" s="1"/>
  <c r="D164" i="10"/>
  <c r="E8" i="10"/>
  <c r="E164" i="10" s="1"/>
  <c r="C164" i="10"/>
  <c r="F9" i="12"/>
  <c r="E27" i="12"/>
  <c r="H11" i="14"/>
  <c r="H10" i="14" s="1"/>
  <c r="H9" i="14" s="1"/>
  <c r="H28" i="14" s="1"/>
  <c r="C10" i="14"/>
  <c r="C9" i="14" s="1"/>
  <c r="C28" i="14" s="1"/>
  <c r="L163" i="9" l="1"/>
  <c r="D14" i="13" s="1"/>
  <c r="D25" i="13" s="1"/>
  <c r="D35" i="11"/>
  <c r="D51" i="11" s="1"/>
  <c r="G8" i="12"/>
  <c r="G27" i="12" s="1"/>
  <c r="F27" i="12"/>
</calcChain>
</file>

<file path=xl/comments1.xml><?xml version="1.0" encoding="utf-8"?>
<comments xmlns="http://schemas.openxmlformats.org/spreadsheetml/2006/main">
  <authors>
    <author>NAVEGANTE</author>
  </authors>
  <commentList>
    <comment ref="A12" authorId="0" shapeId="0">
      <text>
        <r>
          <rPr>
            <b/>
            <sz val="8"/>
            <color indexed="81"/>
            <rFont val="Tahoma"/>
            <family val="2"/>
          </rPr>
          <t>Nota:</t>
        </r>
        <r>
          <rPr>
            <sz val="8"/>
            <color indexed="81"/>
            <rFont val="Tahoma"/>
            <family val="2"/>
          </rPr>
          <t xml:space="preserve">
Deben incorporarse a este cuadro los proyectos en ejecución</t>
        </r>
      </text>
    </comment>
  </commentList>
</comments>
</file>

<file path=xl/sharedStrings.xml><?xml version="1.0" encoding="utf-8"?>
<sst xmlns="http://schemas.openxmlformats.org/spreadsheetml/2006/main" count="1671" uniqueCount="706">
  <si>
    <t>FODES</t>
  </si>
  <si>
    <t>Fondos Propios</t>
  </si>
  <si>
    <t>Prestamos Externos</t>
  </si>
  <si>
    <t>Prestamos Internos</t>
  </si>
  <si>
    <t>Total</t>
  </si>
  <si>
    <t xml:space="preserve">IMPUESTOS  </t>
  </si>
  <si>
    <t>TASAS Y DERECHOS</t>
  </si>
  <si>
    <t>Aseo Público</t>
  </si>
  <si>
    <t>VENTA DE BIENES Y SERVICIOS</t>
  </si>
  <si>
    <t>INGRESOS FINANCIEROS Y OTROS</t>
  </si>
  <si>
    <t>MULTAS E INTERESES POR MORA</t>
  </si>
  <si>
    <t xml:space="preserve">TRANSFERENCIAS CORRIENTES  </t>
  </si>
  <si>
    <t>TRANSFERENCIAS DE CAPITAL</t>
  </si>
  <si>
    <t>SALDOS DE AÑOS ANTERIORES</t>
  </si>
  <si>
    <t>Concepto</t>
  </si>
  <si>
    <t>Nombre</t>
  </si>
  <si>
    <t>Cargo o Puesto</t>
  </si>
  <si>
    <t>Departamento</t>
  </si>
  <si>
    <t>Anual</t>
  </si>
  <si>
    <t>Prestaciones</t>
  </si>
  <si>
    <t>Aguinaldo</t>
  </si>
  <si>
    <t>ISSS</t>
  </si>
  <si>
    <t>0101</t>
  </si>
  <si>
    <t>0102</t>
  </si>
  <si>
    <t>UACI</t>
  </si>
  <si>
    <t>Ordenanza</t>
  </si>
  <si>
    <t>0201</t>
  </si>
  <si>
    <t>TOTAL</t>
  </si>
  <si>
    <t>Contrato</t>
  </si>
  <si>
    <t>ADQUISICIONES DE BIENES Y SERVICIOS</t>
  </si>
  <si>
    <t>BIENES DE USO Y CONSUMO</t>
  </si>
  <si>
    <t>PRODUCTOS ALIMENTICIOS P/PERSONAS</t>
  </si>
  <si>
    <t>PRODUCTOS AGROPECUARIOS Y FORESTAL</t>
  </si>
  <si>
    <t>PRODUCTOS TEXTILES Y VESTUARIOS</t>
  </si>
  <si>
    <t>PRODUCTOS  PAPEL Y CARTON</t>
  </si>
  <si>
    <t>PRODUCTOS DE CUERO Y CAUCHO</t>
  </si>
  <si>
    <t>PRODUCTOS QUIMICOS</t>
  </si>
  <si>
    <t>PRODUCTOS FARMACEUTICOS Y MEDICINALES</t>
  </si>
  <si>
    <t>LLANTAS Y NEUMATICOS</t>
  </si>
  <si>
    <t>COMBUSTIBLES Y LUBRICANTES</t>
  </si>
  <si>
    <t>MINERALES NO METALICOS Y PROD.DERIVADOS</t>
  </si>
  <si>
    <t>MINERALES METALICOS Y PRODUCTOS DERV.</t>
  </si>
  <si>
    <t>MATERIALES DE OFICINA</t>
  </si>
  <si>
    <t>MATERIALES INFORMATICOS</t>
  </si>
  <si>
    <t>LIBROS, TEXTOS, UTILES DE ENSEÑANZA Y PUBLICACIONES</t>
  </si>
  <si>
    <t>MATERIALES DE DEFENSA Y SEGURIDAD PUBLICA</t>
  </si>
  <si>
    <t>HERRAMIENTAS, REPUESTOS Y ACCESORIOS</t>
  </si>
  <si>
    <t>MATERIALES ELECTRICOS</t>
  </si>
  <si>
    <t>ESPECIES MUNICIPALES DIVERSAS</t>
  </si>
  <si>
    <t>BIENES DE USO Y CONSUMO DIVERSO</t>
  </si>
  <si>
    <t>SERVICIOS BASICOS</t>
  </si>
  <si>
    <t>SERVICIOS DE ENERGIA ELECTRICA</t>
  </si>
  <si>
    <t>SERVICIOS DE AGUA</t>
  </si>
  <si>
    <t>SERVICIOS DE TELECOMUNICACIONES</t>
  </si>
  <si>
    <t>SERVICIOS DE CORREOS</t>
  </si>
  <si>
    <t>ALUMBRADO PUBLICO</t>
  </si>
  <si>
    <t>SERVICIOS GENERALES Y ARRENDAMIENTOS</t>
  </si>
  <si>
    <t>MANTENIMIENTO Y REPARACIONES DE BIENES MUEBLES</t>
  </si>
  <si>
    <t>MANTENIMIENTO Y REPARACIONES DE VEHICULOS</t>
  </si>
  <si>
    <t>MANTENIMIENTO Y REPARACION BIENES INMUEBLES</t>
  </si>
  <si>
    <t>TRANSPORTES, FLETES Y ALMACENAMIENTOS</t>
  </si>
  <si>
    <t>SERVICIOS DE PUBLICIDAD</t>
  </si>
  <si>
    <t>SERVICIOS DE VIGILANCIA</t>
  </si>
  <si>
    <t>SERVICIOS LIMPIEZA Y FUMIGACIONES</t>
  </si>
  <si>
    <t>SERVICIOS DE LABORATORIO</t>
  </si>
  <si>
    <t>SERVICIOS DE ALIMENTACION</t>
  </si>
  <si>
    <t>SERVICIOS EDUCATIVOS</t>
  </si>
  <si>
    <t>IMPRESIONES, PUBLICACIONES Y REPRODUCCIONES.</t>
  </si>
  <si>
    <t>ATENCIONES OFICIALES</t>
  </si>
  <si>
    <t>ARRENDAMIENTO DE BIENES MUEBLES</t>
  </si>
  <si>
    <t>ARRENDAMIENTO DE BIENES INMUEBLES</t>
  </si>
  <si>
    <t>SERVICIOS GENERALES Y ARRENDAMIENTOS DIVERSOS</t>
  </si>
  <si>
    <t>PASAJES Y VIATICOS</t>
  </si>
  <si>
    <t>PASAJES AL INTERIOR</t>
  </si>
  <si>
    <t>PASAJES AL EXTERIOR</t>
  </si>
  <si>
    <t>VIATICOS POR COMISION INTERNA</t>
  </si>
  <si>
    <t>VIATICOS POR COMISION EXTERNA</t>
  </si>
  <si>
    <t xml:space="preserve">CONSULTORIAS, ESTUDIOS E INVESTIGACIONES  </t>
  </si>
  <si>
    <t>SERVICIOS MEDICOS</t>
  </si>
  <si>
    <t>SERVICIOS JURIDICOS</t>
  </si>
  <si>
    <t>SERVICIOS DE CONTABILIDAD Y AUDITORIA</t>
  </si>
  <si>
    <t>SERVICIOS DE CAPACITACION</t>
  </si>
  <si>
    <t>DESARROLLOS INFORMATICOS</t>
  </si>
  <si>
    <t>ESTUDIOS E INVESTIGACIONES</t>
  </si>
  <si>
    <t>CONSULTORIAS, ESTUDIOS E INVESTIGACIONES DIVERSAS</t>
  </si>
  <si>
    <t>GASTOS FINANCIEROS Y OTROS</t>
  </si>
  <si>
    <t>INTERESES Y COMISIONES DE EMPRESTITOS INTERNOS</t>
  </si>
  <si>
    <t>DE EMPRESAS PUBLICAS NO FINANCIERAS</t>
  </si>
  <si>
    <t>DE EMPRESAS PUBLICAS FINANCIERAS</t>
  </si>
  <si>
    <t>DE EMPRESAS PRIVADA FINANCIERAS</t>
  </si>
  <si>
    <t>SEGUROS, COMISIONES Y GTOS.BANCARIOS</t>
  </si>
  <si>
    <t>PRIMAS Y GASTOS SEGURO PERSONAS</t>
  </si>
  <si>
    <t>PRIMAS Y GASTOS DE SEGUROS DE BIENES</t>
  </si>
  <si>
    <t>COMISION Y GASTOS BANCARIOS</t>
  </si>
  <si>
    <t>OTROS GASTOS NO CLASIFICADOS</t>
  </si>
  <si>
    <t>DIFERENCIAS CAMBIARIAS</t>
  </si>
  <si>
    <t>SENTENCIAS JUDICIALES</t>
  </si>
  <si>
    <t>GASTOS DIVERSOS</t>
  </si>
  <si>
    <t>TRANSFERENCIAS CORRIENTES</t>
  </si>
  <si>
    <t>TRANSFERENCIAS CORRIENTES AL SECTOR PUBLICO</t>
  </si>
  <si>
    <t>ORGANISMOS SIN FINES DE LUCRO</t>
  </si>
  <si>
    <t>TRANSFERENCIAS CORRIENTES AL SECTOR PRIVADO</t>
  </si>
  <si>
    <t>A PERSONAS NATURALES.</t>
  </si>
  <si>
    <t>Adquisición de Bienes y Servicios</t>
  </si>
  <si>
    <t>Por Fuente de Financiamiento</t>
  </si>
  <si>
    <t>CONCEPTO</t>
  </si>
  <si>
    <t>FODES 25% - FF1</t>
  </si>
  <si>
    <t>0101 Direccion y Administracion Municipal</t>
  </si>
  <si>
    <t>0102 Administraciòn Financiera Municipal</t>
  </si>
  <si>
    <t>0201 Servicios Municipales</t>
  </si>
  <si>
    <t>SUB TOTAL</t>
  </si>
  <si>
    <t>A PERSONAS NATURALES</t>
  </si>
  <si>
    <t>EXPRESION PRESUPUESTARIA POR LINEA DE TRABAJO</t>
  </si>
  <si>
    <t>RUBRO, CUENTA, OBJETO ESPECIFICO Y FUENTE DE FINANCIAMIENTO</t>
  </si>
  <si>
    <t>AREA DE GESTION:                         1 CONDUCCION ADMINISTRATIVA</t>
  </si>
  <si>
    <t>UNIDAD PRESUPUESTARIA:         01 ADMINISTRACION MUNICIPAL</t>
  </si>
  <si>
    <t>LINEA DE TRABAJO:                 0101 DIRECCION Y ADMINISTRACION MUNICIPAL</t>
  </si>
  <si>
    <t>EXPRESION PRESUPUESTARIA</t>
  </si>
  <si>
    <t>Fuentes de Financiamiento</t>
  </si>
  <si>
    <t>CODIGO</t>
  </si>
  <si>
    <t>ESPECIFICO</t>
  </si>
  <si>
    <t>Fondo General 25% FF1</t>
  </si>
  <si>
    <t>Fondos Propios   FF2</t>
  </si>
  <si>
    <t>Donaciones</t>
  </si>
  <si>
    <t>REMUNERACIONES</t>
  </si>
  <si>
    <t>REMUNERACIONES PERMANENTES</t>
  </si>
  <si>
    <t>51101</t>
  </si>
  <si>
    <t>SUELDOS</t>
  </si>
  <si>
    <t>SALARIOS POR JORNAL</t>
  </si>
  <si>
    <t>AGUINALDOS</t>
  </si>
  <si>
    <t>SOBRESUELDOS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</si>
  <si>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</si>
  <si>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</si>
  <si>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</si>
  <si>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</si>
  <si>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</si>
  <si>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</si>
  <si>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</si>
  <si>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SUELDOS POR JORNAL</t>
  </si>
  <si>
    <t>51203</t>
  </si>
  <si>
    <t>51207</t>
  </si>
  <si>
    <t>513</t>
  </si>
  <si>
    <t>REMUNERACIONES EXTRAORDINARIAS</t>
  </si>
  <si>
    <t>HORAS EXTRAORDINARIAS</t>
  </si>
  <si>
    <t>BENEFICIOS EXTRAORDINARIOS</t>
  </si>
  <si>
    <t>CONTRIBUCIONES PATRONALES A INST. SEG. SOC. PUB.</t>
  </si>
  <si>
    <t>51401</t>
  </si>
  <si>
    <t>POR REMUNERACIONES PERMANENTES</t>
  </si>
  <si>
    <t>51402</t>
  </si>
  <si>
    <t>POR REMUNERACIONES EVENTUALES</t>
  </si>
  <si>
    <t>CONTRIBUCIONES PATRONALES A INST. SEG. SOC. PRIV.</t>
  </si>
  <si>
    <t>51501</t>
  </si>
  <si>
    <t>51502</t>
  </si>
  <si>
    <t>516</t>
  </si>
  <si>
    <t>GASTOS DE REPRESENTACION</t>
  </si>
  <si>
    <t>POR PRESTACION SERV.EN EL PAIS</t>
  </si>
  <si>
    <t>POR PRESTACION SERV.EN EL EXTERIOR</t>
  </si>
  <si>
    <t>INDEMNIZACIONES</t>
  </si>
  <si>
    <t>AL PERSONAL DE SERVICIOS PERMANENTES</t>
  </si>
  <si>
    <t>AL PERSONAL DE SERVICIOS EVENTUALES</t>
  </si>
  <si>
    <t>COMISIONES POR SERVICIOS PERSONALES</t>
  </si>
  <si>
    <t>COMISIONES POR RECUPERACION DE CARTERAS</t>
  </si>
  <si>
    <t>REMUNERACIONES DIVERSAS</t>
  </si>
  <si>
    <t>HONORARIOS</t>
  </si>
  <si>
    <t>61</t>
  </si>
  <si>
    <t>INVERSIONES EN ACTIVOS FIJOS</t>
  </si>
  <si>
    <t>611</t>
  </si>
  <si>
    <t>BIENES MUEBLES</t>
  </si>
  <si>
    <t>61101</t>
  </si>
  <si>
    <t>MOBILIARIO</t>
  </si>
  <si>
    <t>61102</t>
  </si>
  <si>
    <t>MAQUINARIA Y EQUIPO</t>
  </si>
  <si>
    <t>61103</t>
  </si>
  <si>
    <t>EQUIPO MEDICO Y DE LABORATORIO</t>
  </si>
  <si>
    <t>61104</t>
  </si>
  <si>
    <t>EQUIPOS INFORMATICOS</t>
  </si>
  <si>
    <t>61105</t>
  </si>
  <si>
    <t>VEHICULOS DE TRANSPORTE</t>
  </si>
  <si>
    <t>61107</t>
  </si>
  <si>
    <t>LIBROS Y COLECCIONES</t>
  </si>
  <si>
    <t>61108</t>
  </si>
  <si>
    <t>HERRAMIENTAS Y REPUESTOS PRINCIPALES</t>
  </si>
  <si>
    <t>61199</t>
  </si>
  <si>
    <t>BIENES MUEBLES DIVERSOS</t>
  </si>
  <si>
    <t>CUENTAS POR PAGAR DE AÑOS ANTERIORES GASTOS CORRIENTES</t>
  </si>
  <si>
    <t>ASIGNACIONES POR APLICAR</t>
  </si>
  <si>
    <t>ASIGNACIONES POR APLICAR GASTOS CORRIENTES</t>
  </si>
  <si>
    <t>TOTALES</t>
  </si>
  <si>
    <t>0202 Servicios Municipales</t>
  </si>
  <si>
    <t>CONSOLIDADO DE PROYECTOS DE INVERSION SOCIAL</t>
  </si>
  <si>
    <t>Codigo Presup</t>
  </si>
  <si>
    <t>Codigo del Proyecto</t>
  </si>
  <si>
    <t>CONCEPTO DE EGRESOS</t>
  </si>
  <si>
    <t>FUENTES DE FINANCIAMIENTO</t>
  </si>
  <si>
    <t>Fondo General</t>
  </si>
  <si>
    <t>BIENES INMUEBLES</t>
  </si>
  <si>
    <t>Edificios e Instalaciones</t>
  </si>
  <si>
    <t>ESTUDIOS DE PRE-INVERSION</t>
  </si>
  <si>
    <t>PROYECTOS DE CONSTRUCCIONES</t>
  </si>
  <si>
    <t>PROYECTOS DE AMPLIACIONES</t>
  </si>
  <si>
    <t>PROGRAMAS DE INVERSION SOCIAL</t>
  </si>
  <si>
    <t>PROYECTOS Y PROGRAMAS DE INVERSION DIVERSAS</t>
  </si>
  <si>
    <t>INFRAESTRUCTURAS</t>
  </si>
  <si>
    <t>VIALES</t>
  </si>
  <si>
    <t>DE SALUD Y SANEAMIENTO AMBIENTAL</t>
  </si>
  <si>
    <t>DE EDUCACION Y RECREACION</t>
  </si>
  <si>
    <t>DE VIVIENDA Y OFICINA</t>
  </si>
  <si>
    <t>ELECTRICAS Y COMUNICACIONES</t>
  </si>
  <si>
    <t>DE PRODUCCION DE BIENES Y SERVICIOS</t>
  </si>
  <si>
    <t>SUPERVICIOS DE INFRAESTRUCTURA</t>
  </si>
  <si>
    <t>OBRAS DE INFRAESTRUCTURA DIVERSAS</t>
  </si>
  <si>
    <t>CONSOLIDADO DE PROYECTOS DE INVERSION ECONOMICA</t>
  </si>
  <si>
    <t>CODIGOS</t>
  </si>
  <si>
    <t>PRESUP.</t>
  </si>
  <si>
    <t>De empresas pùblicas no financiera</t>
  </si>
  <si>
    <t>De empresas pùblicas financiera</t>
  </si>
  <si>
    <t>PRIMAS Y GASTOS POR SEGUROS Y COMISIONES BANCARIAS</t>
  </si>
  <si>
    <t>Comisiones y Gastos Bancarios</t>
  </si>
  <si>
    <t>AMORTIZACION DEL ENDEUDAMIENTO PUBLICO</t>
  </si>
  <si>
    <t>AMORTIZACION DE EMPRESTITOS INTERNOS</t>
  </si>
  <si>
    <t>FF1: FONDO GENERAL (FODES)</t>
  </si>
  <si>
    <t>FF2: FONDOS PROPIOS</t>
  </si>
  <si>
    <t>FF3: PRESTAMOS EXTERNOS</t>
  </si>
  <si>
    <t>FF4: PRESTAMOS INTERNOS</t>
  </si>
  <si>
    <t>FF5: DONACIONES</t>
  </si>
  <si>
    <t>FODES 25%</t>
  </si>
  <si>
    <t>FODES 75%</t>
  </si>
  <si>
    <t>AREAS DE GESTION</t>
  </si>
  <si>
    <t>DES.SOC</t>
  </si>
  <si>
    <t>DES.ECON.</t>
  </si>
  <si>
    <t>DEUDA PUB.</t>
  </si>
  <si>
    <t>DES.EC.</t>
  </si>
  <si>
    <t xml:space="preserve">GRAN </t>
  </si>
  <si>
    <t>(AG 3)</t>
  </si>
  <si>
    <t>(AG 4)</t>
  </si>
  <si>
    <t>(AG  5)</t>
  </si>
  <si>
    <t>0301</t>
  </si>
  <si>
    <t>0302</t>
  </si>
  <si>
    <t>0401</t>
  </si>
  <si>
    <t>0501</t>
  </si>
  <si>
    <t>Proy.Dsarr.Social</t>
  </si>
  <si>
    <t>Proy.Dsarr.Econ.</t>
  </si>
  <si>
    <t>DE EMPRESAS PRIVADAS FINANCIERAS</t>
  </si>
  <si>
    <t>ASOCIACIONES MUNICIPALES</t>
  </si>
  <si>
    <t>612</t>
  </si>
  <si>
    <t>61201</t>
  </si>
  <si>
    <t>TERRENOS</t>
  </si>
  <si>
    <t>61202</t>
  </si>
  <si>
    <t>EDIFICIOS E INSTALACIONES</t>
  </si>
  <si>
    <t>61299</t>
  </si>
  <si>
    <t>INMUEBLES DIVERSOS</t>
  </si>
  <si>
    <t>En dolares de Estados Unidos de America</t>
  </si>
  <si>
    <t>DETALLE DE EGRESOS</t>
  </si>
  <si>
    <t>Especifico</t>
  </si>
  <si>
    <t>DETALLE</t>
  </si>
  <si>
    <t>SUB-TOTAL</t>
  </si>
  <si>
    <t>DE MUNICIPALIDES</t>
  </si>
  <si>
    <t>BECAS</t>
  </si>
  <si>
    <t>0202</t>
  </si>
  <si>
    <t>616</t>
  </si>
  <si>
    <t>61602</t>
  </si>
  <si>
    <t>Salud y Medio ambiente (Disposicion Final de Desechos Solidos)</t>
  </si>
  <si>
    <t>DE MUNICIPALIDADES</t>
  </si>
  <si>
    <t>PRESUPUESTO MUNICIPAL POR AREAS DE GESTION</t>
  </si>
  <si>
    <t>CUADRO RESUMEN</t>
  </si>
  <si>
    <t>PRESUPUESTO DE INGRESOS</t>
  </si>
  <si>
    <t>CLASIFICACIONES POR RUBRO DE INGRESOS</t>
  </si>
  <si>
    <t>ENDEUDAMIENTO PUBLICO</t>
  </si>
  <si>
    <t>PRESUPUESTO DE EGRESOS</t>
  </si>
  <si>
    <t>CLASIFICACIONES POR RUBRO DE EGRESOS</t>
  </si>
  <si>
    <t>PRESUPUESTO DE EGRESOS POR ESTRUCTURA PRESUPUESTARIA</t>
  </si>
  <si>
    <t>AREA</t>
  </si>
  <si>
    <t>UNID</t>
  </si>
  <si>
    <t>LINEA</t>
  </si>
  <si>
    <t>GESTION</t>
  </si>
  <si>
    <t>PRES</t>
  </si>
  <si>
    <t>TRAB.</t>
  </si>
  <si>
    <t>1</t>
  </si>
  <si>
    <t>CONDUCCION ADMINISTRATIVA</t>
  </si>
  <si>
    <t>01</t>
  </si>
  <si>
    <t>ADMINISTRACION MUNICIPAL</t>
  </si>
  <si>
    <t>DIRECCION Y ADMINISTRACION SUPERIOR</t>
  </si>
  <si>
    <t>ADMINISTRACION FINANCIERA MUNICIPAL</t>
  </si>
  <si>
    <t>02</t>
  </si>
  <si>
    <t>SERVICIOS MUNICIPALES</t>
  </si>
  <si>
    <t>DESARROLLO SOCIAL</t>
  </si>
  <si>
    <t>03</t>
  </si>
  <si>
    <t>INVERSION E INSFRAESTRUCTURA SOCIAL</t>
  </si>
  <si>
    <t>PROYECTOS DE USO PRIVATIVOS</t>
  </si>
  <si>
    <t>PROYECTOS DE DESARROLLO SOCIAL</t>
  </si>
  <si>
    <t>APOYO AL DESARROLLO ECONOMICO</t>
  </si>
  <si>
    <t>04</t>
  </si>
  <si>
    <t>INVERSION E INSFRAESTRUCTURA ECONOMICA</t>
  </si>
  <si>
    <t>PROYECTO DE DESARROLLO ECONOMICO</t>
  </si>
  <si>
    <t>DEUDA PUBLICA</t>
  </si>
  <si>
    <t>05</t>
  </si>
  <si>
    <t>FINANCIAMIENTO MUNICIPAL</t>
  </si>
  <si>
    <t>AMORTIZACIÓN DEL ENDEUDAMIENTO PUBLICO</t>
  </si>
  <si>
    <t>CUADRO RESUMEN POR FUENTE DE FINANCIAMIENTO</t>
  </si>
  <si>
    <t>N°</t>
  </si>
  <si>
    <t>FUENTE</t>
  </si>
  <si>
    <t>INGRESOS</t>
  </si>
  <si>
    <t>EGRESOS</t>
  </si>
  <si>
    <t>FONDOS PROPIOS</t>
  </si>
  <si>
    <t>PRESTAMOS EXTERNOS</t>
  </si>
  <si>
    <t>PRESTAMOS INTERNOS</t>
  </si>
  <si>
    <t>EGRESOS POR ESTRUCTURA PRESUPUESTARIA Y FUENTE DE FINANCIAMIENTO</t>
  </si>
  <si>
    <t>COD</t>
  </si>
  <si>
    <t>ESTRUCTURA PRESUPUESTARIA</t>
  </si>
  <si>
    <t>FF1</t>
  </si>
  <si>
    <t>FF2</t>
  </si>
  <si>
    <t>FF3</t>
  </si>
  <si>
    <t>FF4</t>
  </si>
  <si>
    <t>FF5</t>
  </si>
  <si>
    <t>DIRECCION Y ADMINISTRACION</t>
  </si>
  <si>
    <t>3</t>
  </si>
  <si>
    <t>PROYECTOS DE USO PRIVATIVO</t>
  </si>
  <si>
    <t>4</t>
  </si>
  <si>
    <t>5</t>
  </si>
  <si>
    <t>TOTAL…</t>
  </si>
  <si>
    <t>DIRECCION Y ADMINISTRACION MUNICIPAL</t>
  </si>
  <si>
    <t>Servicios Internos</t>
  </si>
  <si>
    <t>Servicios Externos</t>
  </si>
  <si>
    <t>AREA DE GESTION 3: DESARROLLO SOCIAL</t>
  </si>
  <si>
    <t>INVERSION PARA EL DESARROLLO SOCIAL</t>
  </si>
  <si>
    <t>Infraestructura Social</t>
  </si>
  <si>
    <t>Programas de Desarrollo Social</t>
  </si>
  <si>
    <t>AREA DE GESTION 4: APOYO AL DESARROLLO ECONOMICO</t>
  </si>
  <si>
    <t>INVERSION PARA EL DESARROLLO ECONOMICO</t>
  </si>
  <si>
    <t>AREA DE GESTION 5: DEUDA PUBLICA</t>
  </si>
  <si>
    <t>PRESUPUESTO INSTITUCIONAL DE  EGRESOS</t>
  </si>
  <si>
    <r>
      <t xml:space="preserve">AREA DE GESTION: </t>
    </r>
    <r>
      <rPr>
        <b/>
        <sz val="10"/>
        <rFont val="Bookman Old Style"/>
        <family val="1"/>
      </rPr>
      <t>3 DESARROLLO SOCIAL</t>
    </r>
  </si>
  <si>
    <r>
      <t>UNIDAD PRESUPUESTARIA:</t>
    </r>
    <r>
      <rPr>
        <b/>
        <sz val="10"/>
        <rFont val="Bookman Old Style"/>
        <family val="1"/>
      </rPr>
      <t xml:space="preserve"> 3 INVERSION PARA EL DESARROLLO SOCIAL</t>
    </r>
  </si>
  <si>
    <r>
      <t xml:space="preserve">LINEA DE TRABAJO: </t>
    </r>
    <r>
      <rPr>
        <b/>
        <sz val="10"/>
        <rFont val="Bookman Old Style"/>
        <family val="1"/>
      </rPr>
      <t>03 INVERSION E INFRAESTRUCTURA SOCIAL</t>
    </r>
  </si>
  <si>
    <r>
      <t xml:space="preserve">AREA DE GESTION: </t>
    </r>
    <r>
      <rPr>
        <b/>
        <sz val="10"/>
        <rFont val="Bookman Old Style"/>
        <family val="1"/>
      </rPr>
      <t>4 DESARROLLO ECONOMICO</t>
    </r>
  </si>
  <si>
    <r>
      <t>UNIDAD PRESUPUESTARIA:</t>
    </r>
    <r>
      <rPr>
        <b/>
        <sz val="10"/>
        <rFont val="Bookman Old Style"/>
        <family val="1"/>
      </rPr>
      <t xml:space="preserve"> 4 INVERSION PARA EL DESARROLLO ECONOMICO</t>
    </r>
  </si>
  <si>
    <r>
      <t xml:space="preserve">LINEA DE TRABAJO: </t>
    </r>
    <r>
      <rPr>
        <b/>
        <sz val="10"/>
        <rFont val="Bookman Old Style"/>
        <family val="1"/>
      </rPr>
      <t>04 INVERSION E INFRAESTRUCTURA ECONOMICA</t>
    </r>
  </si>
  <si>
    <t>AREA DE GESTION: 5 DEUDA PUBLICA</t>
  </si>
  <si>
    <t>UNIDAD PRESUPUESTARIA: 05 FINANCIAMIENTO MUNICIPAL</t>
  </si>
  <si>
    <t>Rubro</t>
  </si>
  <si>
    <t>IMPUESTOS</t>
  </si>
  <si>
    <t>IMPUESTO MUNICIPALES</t>
  </si>
  <si>
    <t>TASAS</t>
  </si>
  <si>
    <t>DERECHOS</t>
  </si>
  <si>
    <t>OTROS INGRESOS NO CALIFICADOS</t>
  </si>
  <si>
    <t>TRANSFERENCIAS CORRIENTES DEL SECTOR PÚBLICO</t>
  </si>
  <si>
    <t>TRANSFERENCIAS DE CAPITAL DEL SECTOR PÚBLICO</t>
  </si>
  <si>
    <t>ENDEUDAMIENTO PÚBLICO</t>
  </si>
  <si>
    <t>CONTRATACION DE EMPRÉSTITOS INTERNOS</t>
  </si>
  <si>
    <t>SALDOS INICIALES DE CAJA Y BANCO</t>
  </si>
  <si>
    <t>CUENTAS POR COBRAR DE AÑOS ANTERIORES</t>
  </si>
  <si>
    <t>TOTAL GENERAL</t>
  </si>
  <si>
    <t>Sistema de Remuneración</t>
  </si>
  <si>
    <t>Línea de Trabajo</t>
  </si>
  <si>
    <t>Honorarios</t>
  </si>
  <si>
    <t>Aportes por Contribuciones Patronales</t>
  </si>
  <si>
    <t>Aporte Patronal INSAFORP</t>
  </si>
  <si>
    <t>Dietas</t>
  </si>
  <si>
    <t>Beneficio Adicional</t>
  </si>
  <si>
    <t>Seg. Soc. Priv.</t>
  </si>
  <si>
    <t>Seguridad Social Pública (SSP)</t>
  </si>
  <si>
    <t>AFP´s</t>
  </si>
  <si>
    <t>INPEP</t>
  </si>
  <si>
    <t>IPSFA</t>
  </si>
  <si>
    <t>Total SSP</t>
  </si>
  <si>
    <t>Auditor Interno</t>
  </si>
  <si>
    <t>Sub-Total Línea de Trabajo 0202</t>
  </si>
  <si>
    <t>Tesorero</t>
  </si>
  <si>
    <t>Tesorería</t>
  </si>
  <si>
    <t>Contador</t>
  </si>
  <si>
    <t>Contaduría</t>
  </si>
  <si>
    <t>Aux. Cont.</t>
  </si>
  <si>
    <t>Jefe Presupuesto</t>
  </si>
  <si>
    <t>Presupuesto</t>
  </si>
  <si>
    <t>Aux. Presp.</t>
  </si>
  <si>
    <t>Enc. Ctas. Ctes.</t>
  </si>
  <si>
    <t>Cuentas Corrientes</t>
  </si>
  <si>
    <t>Enc. Catastro</t>
  </si>
  <si>
    <t>Catastro</t>
  </si>
  <si>
    <t>Jefe UACI</t>
  </si>
  <si>
    <t>Sub-Total Línea de Trabajo 0102</t>
  </si>
  <si>
    <t>Enc. Reg. Est. Fam.</t>
  </si>
  <si>
    <t>Registro Estado Familiar</t>
  </si>
  <si>
    <t>Sub-Total Línea de Trabajo 0201</t>
  </si>
  <si>
    <t>Enc. Servicios Generales</t>
  </si>
  <si>
    <t>Servicios Generales</t>
  </si>
  <si>
    <t>Recolector</t>
  </si>
  <si>
    <t>Jefe CAM</t>
  </si>
  <si>
    <t>CAM</t>
  </si>
  <si>
    <t xml:space="preserve"> Gran Total Líneas de Trabajo</t>
  </si>
  <si>
    <t>NOMBRE</t>
  </si>
  <si>
    <t>CARGO</t>
  </si>
  <si>
    <t>BENEFICIO ADICIOANAL</t>
  </si>
  <si>
    <t>1er. Regidor Propietario</t>
  </si>
  <si>
    <t>2a. Regidor Propietario</t>
  </si>
  <si>
    <t>6o. Regidor Propietario</t>
  </si>
  <si>
    <t>1o. Regidor Suplente</t>
  </si>
  <si>
    <t>2o. Regidor Suplente</t>
  </si>
  <si>
    <t>3o. Regidor Suplente</t>
  </si>
  <si>
    <t>4o. Regidor Suplente</t>
  </si>
  <si>
    <t>Sub-Total Línea de Trabajo 0101</t>
  </si>
  <si>
    <t xml:space="preserve"> Gran Total Línea de Trabajo</t>
  </si>
  <si>
    <t>No.</t>
  </si>
  <si>
    <t>Depto.</t>
  </si>
  <si>
    <t>N° de Plazas</t>
  </si>
  <si>
    <t>Linea de Trabajo</t>
  </si>
  <si>
    <t>Centro de Respon.</t>
  </si>
  <si>
    <t>SALARIO</t>
  </si>
  <si>
    <t>Aportes Por Contribuciones Patronales</t>
  </si>
  <si>
    <t>Seg.Soc.Priv.</t>
  </si>
  <si>
    <t>Seguridad Social Publica</t>
  </si>
  <si>
    <t>Mensual</t>
  </si>
  <si>
    <t>AFP's</t>
  </si>
  <si>
    <t>Alcalde Municipal</t>
  </si>
  <si>
    <t>Sindico</t>
  </si>
  <si>
    <t>Sub-total Centro de Responsabilidad 0101</t>
  </si>
  <si>
    <t>Enc. De Ctas. Ctes. Y Colecturìa.</t>
  </si>
  <si>
    <t>Sub-total Centro de Responsabilidad 0102</t>
  </si>
  <si>
    <t>0103</t>
  </si>
  <si>
    <t>Sub-total Centro de Responsabilidad 0103</t>
  </si>
  <si>
    <t>Sub- Total Linea 0101:</t>
  </si>
  <si>
    <t>Enc. Mercado</t>
  </si>
  <si>
    <t>MERCADO</t>
  </si>
  <si>
    <t>0206</t>
  </si>
  <si>
    <t>Cobrador Auxiliar</t>
  </si>
  <si>
    <t>Asistente Administrativo</t>
  </si>
  <si>
    <t>Vigilante</t>
  </si>
  <si>
    <t>Sub-total Centro de Responsabilidad 0206</t>
  </si>
  <si>
    <t>Enc. Rastro y Tiangue</t>
  </si>
  <si>
    <t>RASTRO</t>
  </si>
  <si>
    <t>0207</t>
  </si>
  <si>
    <t>Auxiliar de Servicios</t>
  </si>
  <si>
    <t>Sub-total Centro de Responsabilidad 0207</t>
  </si>
  <si>
    <t>Enc. Cementerio</t>
  </si>
  <si>
    <t>CEMENTERIO</t>
  </si>
  <si>
    <t>0208</t>
  </si>
  <si>
    <t>Sub-total Centro de Responsabilidad 0208</t>
  </si>
  <si>
    <t>Jefe del Registro Est. Familiar</t>
  </si>
  <si>
    <t>REF</t>
  </si>
  <si>
    <t>Sub-total Centro de Responsabilidad 0201</t>
  </si>
  <si>
    <t>Enc. Biblioteca</t>
  </si>
  <si>
    <t>BIBLIOTECA</t>
  </si>
  <si>
    <t>0299</t>
  </si>
  <si>
    <t>Jefe Centro de Desarrollo Infantil</t>
  </si>
  <si>
    <t>CDI</t>
  </si>
  <si>
    <t>Sub-total Centro de Responsabilidad 0299</t>
  </si>
  <si>
    <t>Jefe del CMAC</t>
  </si>
  <si>
    <t>CMAC</t>
  </si>
  <si>
    <t xml:space="preserve">Agentes </t>
  </si>
  <si>
    <t>Barrendero</t>
  </si>
  <si>
    <t>Motorista</t>
  </si>
  <si>
    <t>Supervisor</t>
  </si>
  <si>
    <t>Operadores</t>
  </si>
  <si>
    <t>Fontaneros y Valvuleros</t>
  </si>
  <si>
    <t>Sub- Total Linea 0202</t>
  </si>
  <si>
    <t>TOTAL LINEAS</t>
  </si>
  <si>
    <t>TOTAL UNIDAD PRESUPUESTARIA 01:</t>
  </si>
  <si>
    <t>FISDL</t>
  </si>
  <si>
    <t>ARRENDAMIENTOS DE BIENES</t>
  </si>
  <si>
    <t>Enc.de UACI</t>
  </si>
  <si>
    <t>Encargada de Proyectos</t>
  </si>
  <si>
    <t>Enc.de Casa de la cultura</t>
  </si>
  <si>
    <t>Clinica Municipal</t>
  </si>
  <si>
    <t>Otros Proyectos y programas</t>
  </si>
  <si>
    <t>FSDL</t>
  </si>
  <si>
    <t>PFGL/FISDL</t>
  </si>
  <si>
    <t>Concejo, Alcaldesa, Secretaria Municipal, Secretaria del Despacho, Sindicatura, Auditoria Interna, Comunicaciones.</t>
  </si>
  <si>
    <t>CMAC, Servicios Generales, Agua Potable, Medio Ambiente.</t>
  </si>
  <si>
    <t>Secretaria Municipal</t>
  </si>
  <si>
    <t>Encargado de Comunicaciones</t>
  </si>
  <si>
    <t>Enc. De Catastro y Unidad Ambiental</t>
  </si>
  <si>
    <t>De Empresas Públicas Financieras</t>
  </si>
  <si>
    <t>ALCALDIA MUNICIPAL DE VILLA EL CARMEN DEPARTAMENTO DE CUSCATLAN</t>
  </si>
  <si>
    <t>ALCALDIA MUNCIPAL DE VILLA EL CARMEN, DEPARTAMENTO DE CUSCATLAN.</t>
  </si>
  <si>
    <t xml:space="preserve">ALCALDIA MUNICIPAL DE VILLA EL CARMEN, DEPTO. DE CUSCATLAN
DEPARTAMENTO DE CUSCATLAN
PLANILLA DE DIETAS </t>
  </si>
  <si>
    <t>PLANILLA DE DIETAS</t>
  </si>
  <si>
    <t>INSTITUCION: ALCALDIA MUNICIPAL DE VILLA EL CARMEN, DEPARTAMENTO DE CUSCATLAN</t>
  </si>
  <si>
    <r>
      <t xml:space="preserve">INSTITUCION: </t>
    </r>
    <r>
      <rPr>
        <b/>
        <sz val="10"/>
        <rFont val="Bookman Old Style"/>
        <family val="1"/>
      </rPr>
      <t>ALCALDIA MUNICIPAL DE VILLA EL CARMEN, DEPARTAMENTO DE CUSCATLAN</t>
    </r>
  </si>
  <si>
    <r>
      <t xml:space="preserve">INSTITUCION:  </t>
    </r>
    <r>
      <rPr>
        <b/>
        <sz val="10"/>
        <rFont val="Bookman Old Style"/>
        <family val="1"/>
      </rPr>
      <t>ALCALDIA MUNICIPAL DE VILLA EL CARMEN, DEPARTAMENTO DE CUSCATLAN</t>
    </r>
  </si>
  <si>
    <t>INSTITUCION: ALCALDIA MUNICIPAL DE VILLA EL CARMEN, DPTO. DE CUSCATLAN.</t>
  </si>
  <si>
    <t>Sub-total Centro de Responsabilidad 0202</t>
  </si>
  <si>
    <t>0402</t>
  </si>
  <si>
    <t>Fondos PFGL</t>
  </si>
  <si>
    <t>INGRESOS POR PRESTACION DE SERV. PUBLICOS</t>
  </si>
  <si>
    <t>Infraestructura para el Desarrollo Económico</t>
  </si>
  <si>
    <t>Dirección y Administración Superior</t>
  </si>
  <si>
    <t>Administración Financiera y tributaria</t>
  </si>
  <si>
    <t>Todos aquellos programas tangibles ejecutados por la Alcaldía  utilizando diferentes fuentes de financiamiento orientados a fortalecer  el apoyo a la producción de bienes y servicios y el desarrollo de la infraestructura para mejorar el desempeño y distribución de la producción de la municipalidad, en pro del crecimiento  local y nacional.</t>
  </si>
  <si>
    <t>En Dólares de los Estados Unidos de América</t>
  </si>
  <si>
    <t xml:space="preserve">AREA DE GESTIÓN </t>
  </si>
  <si>
    <t>CONDUCCION ADMINISTRATIVA   (AG 1)</t>
  </si>
  <si>
    <t>CONDUCIÓN ADMINISTRATIVA   (AG 1)</t>
  </si>
  <si>
    <t>Todas aquellas erogaciones destinadas a amortizar  el endeudamiento financiero municipal así como los gastos inherentes a la misma en concepto de intereses, comisiones, etc, por el uso del ahorro nacional e internacional.</t>
  </si>
  <si>
    <t>0503</t>
  </si>
  <si>
    <t>Amortización de la Deuda Pública</t>
  </si>
  <si>
    <t>Comisiones y Gtos. Bancarios</t>
  </si>
  <si>
    <t>De Educación y Recreación</t>
  </si>
  <si>
    <t>10400</t>
  </si>
  <si>
    <t>Casa de La Cultura</t>
  </si>
  <si>
    <t>00000</t>
  </si>
  <si>
    <t>Disposición Final de Desechos Sólidos</t>
  </si>
  <si>
    <t>13100</t>
  </si>
  <si>
    <t>10300</t>
  </si>
  <si>
    <t>De vivienda y Oficina</t>
  </si>
  <si>
    <t>01600</t>
  </si>
  <si>
    <t>De Salud y Saneamiento Ambiental</t>
  </si>
  <si>
    <t>Equipos Informáticos</t>
  </si>
  <si>
    <t>Electrica y Comunicaciones</t>
  </si>
  <si>
    <t>03400</t>
  </si>
  <si>
    <t>Construcción de Polideportivo I etapa</t>
  </si>
  <si>
    <t>Obras de Infraestructura Diversa</t>
  </si>
  <si>
    <t>.</t>
  </si>
  <si>
    <t>FF1:</t>
  </si>
  <si>
    <t>DONACIONES</t>
  </si>
  <si>
    <t>FF4: PRESTAMO INTERNO</t>
  </si>
  <si>
    <t>0201                                    Servicios Internos</t>
  </si>
  <si>
    <t>0202                                    Servicios Externos</t>
  </si>
  <si>
    <t>En dólares de Estados Unidos de America</t>
  </si>
  <si>
    <t>FONDOS PFGL</t>
  </si>
  <si>
    <t>COMISIONES Y GASTOS BANCARIOS</t>
  </si>
  <si>
    <t>ADMINISTRACION FINANCIERA Y TRIBUTARIA</t>
  </si>
  <si>
    <t>SERVICIOS INTERNOS</t>
  </si>
  <si>
    <t>SERVICIOS EXTERNOS</t>
  </si>
  <si>
    <t>FONDO GENERAL (FODES/FISDL)</t>
  </si>
  <si>
    <t>En dÓlares de Estados Unidos de America</t>
  </si>
  <si>
    <t>INSTITUCIÓN: ALCALDIA MUNICIPAL DE VILLA EL CARMEN DEPARTAMENTO DE CUSCATLAN</t>
  </si>
  <si>
    <t>0102                                      Admón. Financiera Municipal</t>
  </si>
  <si>
    <t>0101                                                                        Dirección y Admón. Municipal</t>
  </si>
  <si>
    <t>De Empresas Públicas Financiera</t>
  </si>
  <si>
    <t>Institución: Alcaldia Municipal de Villa El Carmen, Departamento de Cuscatlan</t>
  </si>
  <si>
    <t>Institucion: ALCALDIA MUNICIPAL DE VILLA EL CARMEN DEPARTAMENTO DE CUSCATLAN</t>
  </si>
  <si>
    <t>Alcaldia Municipal de Villa EL Carmen, Departamento de Cuscatlan</t>
  </si>
  <si>
    <t>12100</t>
  </si>
  <si>
    <t>TOTAL INVERSIÓN</t>
  </si>
  <si>
    <t>Unidad de la Mujer, Niñez y adolescencia</t>
  </si>
  <si>
    <t>UMNA</t>
  </si>
  <si>
    <t>Jeje de Operador</t>
  </si>
  <si>
    <t>MENSUAL</t>
  </si>
  <si>
    <t>ANUAL</t>
  </si>
  <si>
    <t>IMPUESTOS, TASAS Y DERECHOS</t>
  </si>
  <si>
    <t>2008..xls]Consolidado'!Z144</t>
  </si>
  <si>
    <t>TRANSF. CTES. AL SECTOR PUBLICO (COMURES, CDA, INSAFORP)</t>
  </si>
  <si>
    <t>04800</t>
  </si>
  <si>
    <t>Apoyo a la Educación: Becas, paquetes escolares, pago de maestros.</t>
  </si>
  <si>
    <t>04900</t>
  </si>
  <si>
    <t>Apoyo al deporte</t>
  </si>
  <si>
    <t>Reparaciónes y Mejoras al Edificio y Parque Municipal</t>
  </si>
  <si>
    <t>Contraparte a Proyectos de Construcción de Viviendas Permanentes con diferentes Instituciones</t>
  </si>
  <si>
    <t>02500</t>
  </si>
  <si>
    <t>Consultorio Médico Municipal  Dr. David Humberto Hernández</t>
  </si>
  <si>
    <t>Proyectos Productivos</t>
  </si>
  <si>
    <t>03300</t>
  </si>
  <si>
    <t>Obras de Mitigación de Riesgos</t>
  </si>
  <si>
    <t>Chapeo, Limpieza y Reparación de Caminos vecinales en Cantones de este Municipio.</t>
  </si>
  <si>
    <t>Infraestructura</t>
  </si>
  <si>
    <t>Servicios Técnicos y Profesionales</t>
  </si>
  <si>
    <t>TRANSF. CTES. AL SECTOR PUBLICO (INSAFORP)</t>
  </si>
  <si>
    <t>Inversiones en activos Fijos</t>
  </si>
  <si>
    <t>Estudios de Pre-Inversión</t>
  </si>
  <si>
    <t>Proyectos de Construcciones</t>
  </si>
  <si>
    <t>Proyectos de Ampliaciones</t>
  </si>
  <si>
    <t>Programas de Inversión Social</t>
  </si>
  <si>
    <t>Proyectos y Programas de Inversión Diversos</t>
  </si>
  <si>
    <t>Infraestructuras</t>
  </si>
  <si>
    <t>Viales</t>
  </si>
  <si>
    <t>Obras de Infraestructura Diversas</t>
  </si>
  <si>
    <t>Bienes Inmuebles</t>
  </si>
  <si>
    <t>04400</t>
  </si>
  <si>
    <t>Bienes Muebles</t>
  </si>
  <si>
    <t>Adquisiciones de Bienes y Servicios</t>
  </si>
  <si>
    <t>CONSULTORÍAS, ESTUDIOS E INVESTIGACIONES DIVERSAS</t>
  </si>
  <si>
    <t>Todos aquellos proyectos tangibles e intangibles ejecutados por la Alcaldia, utilizando diferentes fuentes de financiamiento orientados a fortalecer el capital humano a fin de mejorar la calidad de vida de los habitantes del municipio con el propósito de que se incorporen activamente a la economía  de la comuna y de el país para lograr su bienestar.</t>
  </si>
  <si>
    <t>Consultoria para la elaboración de la formulación del plan de gestión de riesgos municipal del municipio de Villa El Carmen, Cuscatlan.</t>
  </si>
  <si>
    <t>Consultorias, Estudios e Investigaciones Diversas</t>
  </si>
  <si>
    <t>Supervisión de Infraestructuras</t>
  </si>
  <si>
    <t>Programa de prevención a la violencia en Villa El Carmen, Cuscatlan</t>
  </si>
  <si>
    <t>TRANSF. CTES. AL SECTOR PUBLICO</t>
  </si>
  <si>
    <t>Proyectos ambientales Diversos.</t>
  </si>
  <si>
    <t>Total Anual +
Beneficio Adicional.</t>
  </si>
  <si>
    <t>04100</t>
  </si>
  <si>
    <t>CONSOLIDADO DEL ENDEUDAMIENTO PÚBLICO</t>
  </si>
  <si>
    <t>Proyectos de uso privativos</t>
  </si>
  <si>
    <t>Proyectos de desarrollo social</t>
  </si>
  <si>
    <t>Proyectos de desarrollo Económico</t>
  </si>
  <si>
    <t>Proyectos de Desarrollo  Económico</t>
  </si>
  <si>
    <t>Proyectos de desarrollo económico</t>
  </si>
  <si>
    <t>PRESTAMO INTERNO</t>
  </si>
  <si>
    <t>Mantenimiento y reparación del sistema Multiple de Agua Potable.</t>
  </si>
  <si>
    <t>ALCALDIA MUNICIPAL DE VILLA EL CARMEN
DEPARTAMENTO DE CUSCATLAN
PROGRAMACIÓN DE INGRESOS REALES 2014</t>
  </si>
  <si>
    <t>ALCALDIA MUNICIPAL DE VILLA EL CARMEN
DEPARTAMENTO DE CUSCATLAN
PLANILLA POR CONTRATO FONDOS PROPIOS
AÑO: 2014</t>
  </si>
  <si>
    <t>AÑO 2014</t>
  </si>
  <si>
    <t>Proyección de Recursos Humanos para el Año 2014</t>
  </si>
  <si>
    <t>Administrador del Proyecto</t>
  </si>
  <si>
    <t>Encargado</t>
  </si>
  <si>
    <t>Promotores ambientales</t>
  </si>
  <si>
    <t>Instructor</t>
  </si>
  <si>
    <t>UNIDAD AMB. G.R.</t>
  </si>
  <si>
    <t>Escuela de Fútbol</t>
  </si>
  <si>
    <t>EJERCICIO FINANCIERO FISCAL: DEL 01 DE ENERO AL 31 DE DICIEMBRE DE 2014</t>
  </si>
  <si>
    <t>LINEA DE TRABAJO: 05 AMORTIZACIÓN DEL ENDEUDAMIENTO PÚBLICO</t>
  </si>
  <si>
    <t>ALCALDIA MUNICIPAL DE VILLA EL CARMEN, DEPARTAMENTO DE CUSCATLAN,  PRESUPUESTO APROBADO PARA EL AÑO 2014</t>
  </si>
  <si>
    <t>EJERCICIO FISCAL: 2 0 1 4</t>
  </si>
  <si>
    <t>Ingresos</t>
  </si>
  <si>
    <t>De Instituciones Descentralizadas no Empresariales</t>
  </si>
  <si>
    <t>DE INSTITUCIONES DESCENTRALIZADAS NO EMPRESARIALES</t>
  </si>
  <si>
    <t>EJERCICIO FINANCIERO FISCAL: 2014</t>
  </si>
  <si>
    <t>0101 Direccion y Administración Municipal</t>
  </si>
  <si>
    <t>0102 Administración Financiera Municipal</t>
  </si>
  <si>
    <t>Iluminación de espacios comunitarios para la prevención de la violencia en diversos sectores.</t>
  </si>
  <si>
    <t>Contraparte al proyecto perforación de pozo profundo equipamiento y conexión al sistema de agua potable Cantón San Antonio.</t>
  </si>
  <si>
    <t>Programa municipal niñez, adolescencia y juventud.</t>
  </si>
  <si>
    <t>Instalación de centro de computo en Centro Escolar de Cantón El Carmen.</t>
  </si>
  <si>
    <t>Local CBI Candelaria</t>
  </si>
  <si>
    <t>Programa Municipal de la Mujer</t>
  </si>
  <si>
    <t>Concreteado de calle peatonal Comunidad El Progreso, Cantón La Paz.</t>
  </si>
  <si>
    <t>Institución: Alcaldìa Municipal de Villa El Carmen, Departamento de Cuscatlan</t>
  </si>
  <si>
    <t>Ejercicio Financiero Fiscal: 2014</t>
  </si>
  <si>
    <t>EJERCICIO FISCAL 2014</t>
  </si>
  <si>
    <t>Año 2014</t>
  </si>
  <si>
    <t>DE COMERCIO</t>
  </si>
  <si>
    <t>INDUSTRIA</t>
  </si>
  <si>
    <t>DE SERVICIOS</t>
  </si>
  <si>
    <t>MAQUINAS TRAGANIQUEL</t>
  </si>
  <si>
    <t xml:space="preserve">TRANSPORTE </t>
  </si>
  <si>
    <t>VIALIDAD</t>
  </si>
  <si>
    <t>IMPUESTOS MUNICIPALES DIVERSOS</t>
  </si>
  <si>
    <t>POR SERVICIOS DE CERTIFICACIÓN O VISADO</t>
  </si>
  <si>
    <t>POR EXPEDICIÓN DE DOCUMENTOS DE IDENTIFICACIÓN</t>
  </si>
  <si>
    <t>ALUMBRADO PÚBLICO</t>
  </si>
  <si>
    <t>ASEO PÚBLICO</t>
  </si>
  <si>
    <t>CASETAS TELEFÓNICAS</t>
  </si>
  <si>
    <t>CEMENTERIOS MUNICIPALES</t>
  </si>
  <si>
    <t>FIESTAS</t>
  </si>
  <si>
    <t>MERCADOS</t>
  </si>
  <si>
    <t>PAVIMENTACIÓN</t>
  </si>
  <si>
    <t>POSTES TORRES Y ANTENAS</t>
  </si>
  <si>
    <t>RASTRO Y TIANGUE</t>
  </si>
  <si>
    <t>TASAS DIVERSAS</t>
  </si>
  <si>
    <t>PERMISOS Y LICENCIAS MUNICIPALES</t>
  </si>
  <si>
    <t>COTEJO DE FIERROS</t>
  </si>
  <si>
    <t>SERVICIOS BÁSICOS</t>
  </si>
  <si>
    <t>SERVICIOS DIVERSOS</t>
  </si>
  <si>
    <t>RENTABILIDAD DE DEPÓSITOS A PLAZO</t>
  </si>
  <si>
    <t>MULTAS POR MORA DE IMPUESTOS</t>
  </si>
  <si>
    <t>INTERESES POR MORA DE IMPUESTOS</t>
  </si>
  <si>
    <t>MULTA POR DECLARACIÓN EXTEMPORÁNEA</t>
  </si>
  <si>
    <t>MULTAS POR  REGISTRO CIVIL</t>
  </si>
  <si>
    <t xml:space="preserve">OTRAS MULTAS MUNICIPALES </t>
  </si>
  <si>
    <t>ARRENDAMIENTOS DE BIENES INMUEBLES</t>
  </si>
  <si>
    <t>RENTABILIDAD DE CUENTAS BANCARIAS</t>
  </si>
  <si>
    <t xml:space="preserve">TRANSFERENCIAS CORRIENTES DEL SECTOR PÚBLICO  </t>
  </si>
  <si>
    <t>TRANSFERENCIA CORRIENTE DEL SECTOR PRIVADO</t>
  </si>
  <si>
    <t>DE PERSONAS NATURALES</t>
  </si>
  <si>
    <t>VENTA DE ACTIVO FIJO</t>
  </si>
  <si>
    <t>VENTA DE BIENES INMUEBLES</t>
  </si>
  <si>
    <t>VENTA DE TERRENOS</t>
  </si>
  <si>
    <t xml:space="preserve">TRANSFERENCIAS DE CAPITAL DEL SECTOR PÚBLICO </t>
  </si>
  <si>
    <t>TOTAL RUBRO</t>
  </si>
  <si>
    <t>COD. PRESUP.</t>
  </si>
  <si>
    <t>FONDO GENERAL</t>
  </si>
  <si>
    <t>FUNCIONAMIENTO</t>
  </si>
  <si>
    <t>INVERSION</t>
  </si>
  <si>
    <t>SUB- TOTAL</t>
  </si>
  <si>
    <t>Código Presup</t>
  </si>
  <si>
    <t>Código del Proyecto</t>
  </si>
  <si>
    <t>Fiestas Patronales 2014.</t>
  </si>
  <si>
    <t>Campaña de fumigación.</t>
  </si>
  <si>
    <t>Planta de tratamiento pozo Cantón San Antonio.</t>
  </si>
  <si>
    <r>
      <t xml:space="preserve">EJERCICIO FINANCIERO FISCAL:  </t>
    </r>
    <r>
      <rPr>
        <b/>
        <sz val="10"/>
        <rFont val="Bookman Old Style"/>
        <family val="1"/>
      </rPr>
      <t>DEL 01 DE ENERO AL 31 DE DICIEMBRE DE 2014</t>
    </r>
  </si>
  <si>
    <t>Presupuesto Municipal, Por Areas de Gestión</t>
  </si>
  <si>
    <t>COMPOSICION</t>
  </si>
  <si>
    <t>LINEA DE TRAB.</t>
  </si>
  <si>
    <t>UNID. PRES.</t>
  </si>
  <si>
    <t>Registro del Estado Familiar, Ordenanzas, Clínica Municipal, Casa de la cultura, Unidad de la Mujer, Niñez y adolescencia.</t>
  </si>
  <si>
    <t>Despacho</t>
  </si>
  <si>
    <t>Sindicatura</t>
  </si>
  <si>
    <t>Auditoria</t>
  </si>
  <si>
    <t>Secretaria</t>
  </si>
  <si>
    <t>Comunicaciones</t>
  </si>
  <si>
    <t>Tesoreria</t>
  </si>
  <si>
    <t>Contabilidad</t>
  </si>
  <si>
    <t>Proyectos</t>
  </si>
  <si>
    <t>Clinica</t>
  </si>
  <si>
    <t>Casa de la Cultura</t>
  </si>
  <si>
    <t>Agua Potable</t>
  </si>
  <si>
    <t>3a. Regidor Propietaria</t>
  </si>
  <si>
    <t>4a. Regidor Prpietaria</t>
  </si>
  <si>
    <t>5a. Regidor Propietaria</t>
  </si>
  <si>
    <t>APORTES POR CONTRIBUCIONES PATRONALES</t>
  </si>
  <si>
    <t>SEG.SOC.PRIV.</t>
  </si>
  <si>
    <t>SEG.SOC.PUB.</t>
  </si>
  <si>
    <t>TOTAL APOR. CONT. PATRON.</t>
  </si>
  <si>
    <t>Alcaldia Municipal de Villa El Carmen, Departamento de Cuscatlan</t>
  </si>
  <si>
    <t>Cod.</t>
  </si>
  <si>
    <t>Fondos Propios - FF2</t>
  </si>
  <si>
    <t>EN DOLARES DE LOS ESTADOS UNIDOS DE AMERICA</t>
  </si>
  <si>
    <t>Concepto de Egresos</t>
  </si>
  <si>
    <t>Fuentes de Financiamientos</t>
  </si>
  <si>
    <t>Total Inversión</t>
  </si>
  <si>
    <r>
      <t xml:space="preserve">EJERCICIO FINANCIERO FISCAL:  </t>
    </r>
    <r>
      <rPr>
        <b/>
        <sz val="10"/>
        <rFont val="Bookman Old Style"/>
        <family val="1"/>
      </rPr>
      <t xml:space="preserve"> DEL 01 ENERO AL 31 DE DICIEMBRE DE 2014</t>
    </r>
  </si>
  <si>
    <t>Totales</t>
  </si>
  <si>
    <t>Tesoreria, Contabilidad, Cuentas Corrientes, Catastro, UACI, Colecturia, Proyectos.</t>
  </si>
  <si>
    <t>SALDO INICIAL EN BANCO</t>
  </si>
  <si>
    <t xml:space="preserve">PRESTACIONES </t>
  </si>
  <si>
    <t>Amort. del endeudamiento público</t>
  </si>
  <si>
    <t>Concreteado y bordillo hidráulico en calle de acceso a polideportivo El Carmen.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</si>
</sst>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_([$$-409]* #,##0.00_);_([$$-409]* \(#,##0.00\);_([$$-409]* &quot;-&quot;??_);_(@_)"/>
    <numFmt numFmtId="168" formatCode="_-[$$-409]* #,##0.00_ ;_-[$$-409]* \-#,##0.00\ ;_-[$$-409]* &quot;-&quot;??_ ;_-@_ "/>
    <numFmt numFmtId="169" formatCode="_-* #,##0.00\ _P_t_s_-;\-* #,##0.00\ _P_t_s_-;_-* &quot;-&quot;??\ _P_t_s_-;_-@_-"/>
    <numFmt numFmtId="170" formatCode="#,##0.00_ ;[Red]\-#,##0.00\ "/>
    <numFmt numFmtId="171" formatCode="#,##0.0000"/>
    <numFmt numFmtId="172" formatCode="#,##0.00;[Red]#,##0.00"/>
    <numFmt numFmtId="173" formatCode="_-[$$-440A]* #,##0.00_ ;_-[$$-440A]* \-#,##0.00\ ;_-[$$-440A]* &quot;-&quot;??_ ;_-@_ "/>
    <numFmt numFmtId="174" formatCode="_([$$-440A]* #,##0.00_);_([$$-440A]* \(#,##0.00\);_([$$-440A]* &quot;-&quot;??_);_(@_)"/>
  </numFmts>
  <fonts count="6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4"/>
      <name val="Arial"/>
      <family val="2"/>
    </font>
    <font>
      <sz val="9"/>
      <name val="Arial"/>
      <family val="2"/>
    </font>
    <font>
      <sz val="10"/>
      <color indexed="18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b/>
      <sz val="12"/>
      <name val="Bookman Old Style"/>
      <family val="1"/>
    </font>
    <font>
      <b/>
      <sz val="10"/>
      <name val="Bookman Old Style"/>
      <family val="1"/>
    </font>
    <font>
      <sz val="9"/>
      <name val="Arial"/>
      <family val="2"/>
    </font>
    <font>
      <sz val="10"/>
      <name val="Bookman Old Style"/>
      <family val="1"/>
    </font>
    <font>
      <b/>
      <sz val="8"/>
      <name val="Bookman Old Style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Tahoma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Century Gothic"/>
      <family val="2"/>
    </font>
    <font>
      <b/>
      <sz val="11"/>
      <name val="Century Gothic"/>
      <family val="2"/>
    </font>
    <font>
      <sz val="10"/>
      <name val="Century Gothic"/>
      <family val="2"/>
    </font>
    <font>
      <i/>
      <sz val="8"/>
      <name val="Century Gothic"/>
      <family val="2"/>
    </font>
    <font>
      <b/>
      <sz val="8"/>
      <name val="Century Gothic"/>
      <family val="2"/>
    </font>
    <font>
      <sz val="8"/>
      <name val="Century Gothic"/>
      <family val="2"/>
    </font>
    <font>
      <b/>
      <sz val="10"/>
      <name val="Century Gothic"/>
      <family val="2"/>
    </font>
    <font>
      <b/>
      <sz val="12"/>
      <name val="Calisto MT"/>
      <family val="1"/>
    </font>
    <font>
      <b/>
      <sz val="8"/>
      <name val="Calisto MT"/>
      <family val="1"/>
    </font>
    <font>
      <sz val="8"/>
      <name val="Calisto MT"/>
      <family val="1"/>
    </font>
    <font>
      <b/>
      <sz val="9"/>
      <name val="Century Gothic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2"/>
      <name val="Arial Narrow"/>
      <family val="2"/>
    </font>
    <font>
      <b/>
      <sz val="9"/>
      <name val="Bookman Old Style"/>
      <family val="1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sz val="10"/>
      <name val="Arial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49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4" borderId="0" applyNumberFormat="0" applyBorder="0" applyAlignment="0" applyProtection="0"/>
    <xf numFmtId="0" fontId="24" fillId="16" borderId="1" applyNumberFormat="0" applyAlignment="0" applyProtection="0"/>
    <xf numFmtId="0" fontId="25" fillId="17" borderId="2" applyNumberFormat="0" applyAlignment="0" applyProtection="0"/>
    <xf numFmtId="0" fontId="26" fillId="0" borderId="3" applyNumberFormat="0" applyFill="0" applyAlignment="0" applyProtection="0"/>
    <xf numFmtId="0" fontId="27" fillId="0" borderId="0" applyNumberFormat="0" applyFill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21" borderId="0" applyNumberFormat="0" applyBorder="0" applyAlignment="0" applyProtection="0"/>
    <xf numFmtId="0" fontId="28" fillId="7" borderId="1" applyNumberFormat="0" applyAlignment="0" applyProtection="0"/>
    <xf numFmtId="166" fontId="1" fillId="0" borderId="0" applyFont="0" applyFill="0" applyBorder="0" applyAlignment="0" applyProtection="0"/>
    <xf numFmtId="0" fontId="29" fillId="3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0" fillId="22" borderId="0" applyNumberFormat="0" applyBorder="0" applyAlignment="0" applyProtection="0"/>
    <xf numFmtId="0" fontId="3" fillId="23" borderId="4" applyNumberFormat="0" applyFont="0" applyAlignment="0" applyProtection="0"/>
    <xf numFmtId="0" fontId="31" fillId="16" borderId="5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6" applyNumberFormat="0" applyFill="0" applyAlignment="0" applyProtection="0"/>
    <xf numFmtId="0" fontId="36" fillId="0" borderId="7" applyNumberFormat="0" applyFill="0" applyAlignment="0" applyProtection="0"/>
    <xf numFmtId="0" fontId="27" fillId="0" borderId="8" applyNumberFormat="0" applyFill="0" applyAlignment="0" applyProtection="0"/>
    <xf numFmtId="0" fontId="37" fillId="0" borderId="9" applyNumberFormat="0" applyFill="0" applyAlignment="0" applyProtection="0"/>
  </cellStyleXfs>
  <cellXfs count="1255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167" fontId="0" fillId="0" borderId="0" xfId="0" applyNumberFormat="1"/>
    <xf numFmtId="4" fontId="1" fillId="0" borderId="0" xfId="31" applyNumberFormat="1" applyFont="1" applyFill="1" applyBorder="1" applyAlignment="1">
      <alignment horizontal="left" vertical="center"/>
    </xf>
    <xf numFmtId="168" fontId="0" fillId="0" borderId="0" xfId="0" applyNumberFormat="1"/>
    <xf numFmtId="165" fontId="0" fillId="0" borderId="0" xfId="33" applyFont="1" applyFill="1"/>
    <xf numFmtId="167" fontId="0" fillId="0" borderId="0" xfId="0" applyNumberFormat="1" applyFill="1"/>
    <xf numFmtId="165" fontId="0" fillId="0" borderId="0" xfId="0" applyNumberFormat="1" applyFill="1"/>
    <xf numFmtId="49" fontId="7" fillId="0" borderId="12" xfId="31" applyNumberFormat="1" applyFont="1" applyFill="1" applyBorder="1" applyAlignment="1">
      <alignment horizontal="left"/>
    </xf>
    <xf numFmtId="167" fontId="1" fillId="0" borderId="10" xfId="34" applyNumberFormat="1" applyFill="1" applyBorder="1" applyAlignment="1"/>
    <xf numFmtId="167" fontId="2" fillId="0" borderId="10" xfId="34" applyNumberFormat="1" applyFont="1" applyFill="1" applyBorder="1" applyAlignment="1"/>
    <xf numFmtId="167" fontId="0" fillId="0" borderId="10" xfId="0" applyNumberFormat="1" applyFill="1" applyBorder="1" applyAlignment="1"/>
    <xf numFmtId="167" fontId="2" fillId="0" borderId="18" xfId="0" applyNumberFormat="1" applyFont="1" applyFill="1" applyBorder="1" applyAlignment="1">
      <alignment vertical="center"/>
    </xf>
    <xf numFmtId="167" fontId="2" fillId="0" borderId="10" xfId="0" quotePrefix="1" applyNumberFormat="1" applyFont="1" applyFill="1" applyBorder="1" applyAlignment="1">
      <alignment wrapText="1"/>
    </xf>
    <xf numFmtId="167" fontId="1" fillId="0" borderId="10" xfId="34" quotePrefix="1" applyNumberFormat="1" applyFill="1" applyBorder="1" applyAlignment="1">
      <alignment wrapText="1"/>
    </xf>
    <xf numFmtId="167" fontId="2" fillId="0" borderId="10" xfId="34" quotePrefix="1" applyNumberFormat="1" applyFont="1" applyFill="1" applyBorder="1" applyAlignment="1">
      <alignment wrapText="1"/>
    </xf>
    <xf numFmtId="168" fontId="0" fillId="0" borderId="0" xfId="0" applyNumberFormat="1" applyFill="1"/>
    <xf numFmtId="167" fontId="2" fillId="0" borderId="0" xfId="0" applyNumberFormat="1" applyFont="1" applyFill="1"/>
    <xf numFmtId="167" fontId="2" fillId="0" borderId="10" xfId="0" applyNumberFormat="1" applyFont="1" applyFill="1" applyBorder="1" applyAlignment="1"/>
    <xf numFmtId="168" fontId="2" fillId="0" borderId="0" xfId="0" applyNumberFormat="1" applyFont="1" applyFill="1"/>
    <xf numFmtId="0" fontId="0" fillId="0" borderId="0" xfId="0" applyAlignment="1">
      <alignment horizontal="left"/>
    </xf>
    <xf numFmtId="0" fontId="2" fillId="0" borderId="20" xfId="0" applyFont="1" applyBorder="1" applyAlignment="1">
      <alignment horizontal="left" vertical="center" wrapText="1"/>
    </xf>
    <xf numFmtId="4" fontId="2" fillId="0" borderId="0" xfId="31" applyNumberFormat="1" applyFont="1" applyBorder="1"/>
    <xf numFmtId="0" fontId="2" fillId="0" borderId="20" xfId="0" applyFont="1" applyBorder="1" applyAlignment="1">
      <alignment horizontal="left"/>
    </xf>
    <xf numFmtId="167" fontId="2" fillId="0" borderId="23" xfId="31" applyNumberFormat="1" applyFont="1" applyBorder="1" applyAlignment="1">
      <alignment horizontal="right"/>
    </xf>
    <xf numFmtId="4" fontId="3" fillId="0" borderId="22" xfId="31" applyNumberFormat="1" applyFont="1" applyBorder="1"/>
    <xf numFmtId="0" fontId="0" fillId="0" borderId="24" xfId="0" applyBorder="1" applyAlignment="1">
      <alignment horizontal="left"/>
    </xf>
    <xf numFmtId="0" fontId="2" fillId="0" borderId="24" xfId="0" applyFont="1" applyBorder="1" applyAlignment="1">
      <alignment horizontal="left"/>
    </xf>
    <xf numFmtId="4" fontId="2" fillId="0" borderId="22" xfId="31" applyNumberFormat="1" applyFont="1" applyBorder="1"/>
    <xf numFmtId="0" fontId="2" fillId="0" borderId="22" xfId="0" applyFont="1" applyBorder="1"/>
    <xf numFmtId="0" fontId="2" fillId="0" borderId="0" xfId="0" applyFont="1" applyBorder="1" applyAlignment="1">
      <alignment horizontal="left"/>
    </xf>
    <xf numFmtId="167" fontId="2" fillId="0" borderId="0" xfId="31" applyNumberFormat="1" applyFont="1" applyBorder="1" applyAlignment="1">
      <alignment horizontal="right"/>
    </xf>
    <xf numFmtId="0" fontId="3" fillId="0" borderId="0" xfId="0" applyFont="1"/>
    <xf numFmtId="0" fontId="0" fillId="0" borderId="25" xfId="0" applyBorder="1" applyAlignment="1">
      <alignment horizontal="left"/>
    </xf>
    <xf numFmtId="4" fontId="3" fillId="0" borderId="26" xfId="31" applyNumberFormat="1" applyFont="1" applyBorder="1"/>
    <xf numFmtId="4" fontId="3" fillId="0" borderId="27" xfId="31" applyNumberFormat="1" applyFont="1" applyBorder="1"/>
    <xf numFmtId="4" fontId="1" fillId="0" borderId="26" xfId="31" applyNumberFormat="1" applyFont="1" applyBorder="1"/>
    <xf numFmtId="4" fontId="3" fillId="0" borderId="21" xfId="31" applyNumberFormat="1" applyFont="1" applyBorder="1"/>
    <xf numFmtId="0" fontId="0" fillId="0" borderId="22" xfId="0" applyBorder="1"/>
    <xf numFmtId="4" fontId="7" fillId="0" borderId="22" xfId="0" applyNumberFormat="1" applyFont="1" applyBorder="1"/>
    <xf numFmtId="4" fontId="6" fillId="0" borderId="22" xfId="0" applyNumberFormat="1" applyFont="1" applyBorder="1"/>
    <xf numFmtId="0" fontId="11" fillId="0" borderId="24" xfId="0" applyFont="1" applyBorder="1" applyAlignment="1">
      <alignment horizontal="left"/>
    </xf>
    <xf numFmtId="0" fontId="8" fillId="0" borderId="22" xfId="0" applyFont="1" applyBorder="1"/>
    <xf numFmtId="0" fontId="0" fillId="0" borderId="28" xfId="0" applyBorder="1" applyAlignment="1">
      <alignment horizontal="left"/>
    </xf>
    <xf numFmtId="0" fontId="0" fillId="0" borderId="29" xfId="0" applyBorder="1"/>
    <xf numFmtId="0" fontId="0" fillId="0" borderId="30" xfId="0" applyBorder="1" applyAlignment="1">
      <alignment horizontal="left"/>
    </xf>
    <xf numFmtId="0" fontId="2" fillId="0" borderId="30" xfId="0" applyFont="1" applyBorder="1" applyAlignment="1">
      <alignment horizontal="center"/>
    </xf>
    <xf numFmtId="4" fontId="0" fillId="0" borderId="0" xfId="0" applyNumberFormat="1"/>
    <xf numFmtId="4" fontId="1" fillId="0" borderId="0" xfId="31" applyNumberFormat="1"/>
    <xf numFmtId="4" fontId="2" fillId="0" borderId="0" xfId="31" applyNumberFormat="1" applyFont="1"/>
    <xf numFmtId="167" fontId="2" fillId="0" borderId="12" xfId="31" applyNumberFormat="1" applyFont="1" applyFill="1" applyBorder="1"/>
    <xf numFmtId="167" fontId="2" fillId="0" borderId="36" xfId="31" applyNumberFormat="1" applyFont="1" applyFill="1" applyBorder="1"/>
    <xf numFmtId="167" fontId="2" fillId="0" borderId="10" xfId="31" applyNumberFormat="1" applyFont="1" applyFill="1" applyBorder="1"/>
    <xf numFmtId="167" fontId="3" fillId="0" borderId="13" xfId="31" applyNumberFormat="1" applyFont="1" applyFill="1" applyBorder="1"/>
    <xf numFmtId="167" fontId="3" fillId="0" borderId="38" xfId="31" applyNumberFormat="1" applyFont="1" applyFill="1" applyBorder="1"/>
    <xf numFmtId="167" fontId="3" fillId="0" borderId="12" xfId="31" applyNumberFormat="1" applyFont="1" applyFill="1" applyBorder="1"/>
    <xf numFmtId="167" fontId="8" fillId="0" borderId="36" xfId="31" applyNumberFormat="1" applyFont="1" applyFill="1" applyBorder="1"/>
    <xf numFmtId="4" fontId="2" fillId="0" borderId="0" xfId="31" applyNumberFormat="1" applyFont="1" applyFill="1"/>
    <xf numFmtId="167" fontId="2" fillId="0" borderId="36" xfId="0" applyNumberFormat="1" applyFont="1" applyFill="1" applyBorder="1"/>
    <xf numFmtId="167" fontId="2" fillId="0" borderId="13" xfId="31" applyNumberFormat="1" applyFont="1" applyFill="1" applyBorder="1"/>
    <xf numFmtId="49" fontId="1" fillId="0" borderId="0" xfId="31" applyNumberFormat="1" applyAlignment="1">
      <alignment horizontal="left"/>
    </xf>
    <xf numFmtId="4" fontId="1" fillId="0" borderId="0" xfId="31" applyNumberFormat="1" applyFont="1" applyFill="1"/>
    <xf numFmtId="4" fontId="1" fillId="0" borderId="0" xfId="31" applyNumberFormat="1" applyFill="1"/>
    <xf numFmtId="167" fontId="2" fillId="0" borderId="0" xfId="31" applyNumberFormat="1" applyFont="1" applyFill="1" applyBorder="1"/>
    <xf numFmtId="4" fontId="1" fillId="0" borderId="0" xfId="31" applyNumberFormat="1" applyBorder="1"/>
    <xf numFmtId="167" fontId="13" fillId="0" borderId="0" xfId="0" applyNumberFormat="1" applyFont="1" applyFill="1"/>
    <xf numFmtId="167" fontId="3" fillId="0" borderId="10" xfId="0" applyNumberFormat="1" applyFont="1" applyFill="1" applyBorder="1" applyAlignment="1"/>
    <xf numFmtId="167" fontId="3" fillId="0" borderId="10" xfId="31" applyNumberFormat="1" applyFont="1" applyFill="1" applyBorder="1"/>
    <xf numFmtId="165" fontId="2" fillId="0" borderId="0" xfId="0" applyNumberFormat="1" applyFont="1" applyFill="1" applyBorder="1" applyAlignment="1">
      <alignment horizontal="center" wrapText="1"/>
    </xf>
    <xf numFmtId="165" fontId="3" fillId="0" borderId="0" xfId="36" applyFont="1" applyFill="1" applyBorder="1"/>
    <xf numFmtId="165" fontId="2" fillId="0" borderId="0" xfId="36" applyFont="1" applyFill="1" applyBorder="1"/>
    <xf numFmtId="164" fontId="0" fillId="0" borderId="0" xfId="38" applyFont="1" applyFill="1"/>
    <xf numFmtId="165" fontId="0" fillId="0" borderId="0" xfId="33" applyFont="1"/>
    <xf numFmtId="4" fontId="2" fillId="0" borderId="0" xfId="0" applyNumberFormat="1" applyFont="1" applyFill="1"/>
    <xf numFmtId="165" fontId="0" fillId="0" borderId="0" xfId="0" applyNumberFormat="1"/>
    <xf numFmtId="164" fontId="0" fillId="0" borderId="0" xfId="38" applyFont="1"/>
    <xf numFmtId="43" fontId="0" fillId="0" borderId="0" xfId="0" applyNumberFormat="1"/>
    <xf numFmtId="49" fontId="2" fillId="0" borderId="41" xfId="0" applyNumberFormat="1" applyFont="1" applyFill="1" applyBorder="1" applyAlignment="1">
      <alignment horizontal="center"/>
    </xf>
    <xf numFmtId="0" fontId="2" fillId="0" borderId="42" xfId="0" applyFont="1" applyFill="1" applyBorder="1" applyAlignment="1">
      <alignment horizontal="left"/>
    </xf>
    <xf numFmtId="0" fontId="0" fillId="0" borderId="20" xfId="0" applyFill="1" applyBorder="1"/>
    <xf numFmtId="49" fontId="2" fillId="0" borderId="20" xfId="0" applyNumberFormat="1" applyFont="1" applyFill="1" applyBorder="1" applyAlignment="1">
      <alignment horizontal="center"/>
    </xf>
    <xf numFmtId="0" fontId="2" fillId="0" borderId="43" xfId="0" applyFont="1" applyFill="1" applyBorder="1"/>
    <xf numFmtId="49" fontId="3" fillId="0" borderId="20" xfId="0" applyNumberFormat="1" applyFont="1" applyFill="1" applyBorder="1" applyAlignment="1">
      <alignment horizontal="center"/>
    </xf>
    <xf numFmtId="0" fontId="3" fillId="0" borderId="43" xfId="0" applyFont="1" applyFill="1" applyBorder="1"/>
    <xf numFmtId="49" fontId="3" fillId="0" borderId="44" xfId="0" applyNumberFormat="1" applyFont="1" applyFill="1" applyBorder="1" applyAlignment="1">
      <alignment horizontal="center"/>
    </xf>
    <xf numFmtId="0" fontId="3" fillId="0" borderId="45" xfId="0" applyFont="1" applyFill="1" applyBorder="1"/>
    <xf numFmtId="0" fontId="2" fillId="0" borderId="43" xfId="0" applyFont="1" applyFill="1" applyBorder="1" applyAlignment="1">
      <alignment horizontal="left"/>
    </xf>
    <xf numFmtId="49" fontId="0" fillId="0" borderId="0" xfId="0" applyNumberFormat="1" applyFill="1"/>
    <xf numFmtId="0" fontId="0" fillId="24" borderId="0" xfId="0" applyFill="1"/>
    <xf numFmtId="0" fontId="2" fillId="25" borderId="46" xfId="0" applyFont="1" applyFill="1" applyBorder="1"/>
    <xf numFmtId="49" fontId="0" fillId="25" borderId="10" xfId="0" applyNumberFormat="1" applyFill="1" applyBorder="1"/>
    <xf numFmtId="0" fontId="0" fillId="25" borderId="10" xfId="0" applyFill="1" applyBorder="1"/>
    <xf numFmtId="49" fontId="2" fillId="25" borderId="10" xfId="0" applyNumberFormat="1" applyFont="1" applyFill="1" applyBorder="1"/>
    <xf numFmtId="0" fontId="2" fillId="25" borderId="10" xfId="0" applyFont="1" applyFill="1" applyBorder="1"/>
    <xf numFmtId="0" fontId="3" fillId="25" borderId="10" xfId="0" applyFont="1" applyFill="1" applyBorder="1"/>
    <xf numFmtId="0" fontId="0" fillId="25" borderId="10" xfId="0" applyFill="1" applyBorder="1" applyAlignment="1">
      <alignment vertical="center" wrapText="1"/>
    </xf>
    <xf numFmtId="0" fontId="17" fillId="0" borderId="47" xfId="0" applyFont="1" applyBorder="1" applyAlignment="1">
      <alignment horizontal="center" vertical="center"/>
    </xf>
    <xf numFmtId="167" fontId="3" fillId="0" borderId="49" xfId="31" applyNumberFormat="1" applyFont="1" applyFill="1" applyBorder="1"/>
    <xf numFmtId="167" fontId="0" fillId="0" borderId="52" xfId="0" applyNumberFormat="1" applyFill="1" applyBorder="1" applyAlignment="1"/>
    <xf numFmtId="167" fontId="2" fillId="0" borderId="54" xfId="0" applyNumberFormat="1" applyFont="1" applyFill="1" applyBorder="1"/>
    <xf numFmtId="0" fontId="2" fillId="0" borderId="53" xfId="0" applyFont="1" applyBorder="1" applyAlignment="1">
      <alignment horizontal="left"/>
    </xf>
    <xf numFmtId="0" fontId="17" fillId="0" borderId="30" xfId="0" applyFont="1" applyBorder="1" applyAlignment="1">
      <alignment horizontal="left" vertical="justify" wrapText="1"/>
    </xf>
    <xf numFmtId="0" fontId="2" fillId="25" borderId="57" xfId="0" applyFont="1" applyFill="1" applyBorder="1" applyAlignment="1">
      <alignment horizontal="center" vertical="center" wrapText="1"/>
    </xf>
    <xf numFmtId="0" fontId="2" fillId="25" borderId="58" xfId="0" applyFont="1" applyFill="1" applyBorder="1" applyAlignment="1">
      <alignment horizontal="center" vertical="center" wrapText="1"/>
    </xf>
    <xf numFmtId="0" fontId="2" fillId="25" borderId="59" xfId="0" applyFont="1" applyFill="1" applyBorder="1" applyAlignment="1">
      <alignment horizontal="center" vertical="center" wrapText="1"/>
    </xf>
    <xf numFmtId="49" fontId="2" fillId="25" borderId="60" xfId="0" applyNumberFormat="1" applyFont="1" applyFill="1" applyBorder="1"/>
    <xf numFmtId="0" fontId="2" fillId="25" borderId="61" xfId="0" applyFont="1" applyFill="1" applyBorder="1"/>
    <xf numFmtId="49" fontId="0" fillId="25" borderId="62" xfId="0" applyNumberFormat="1" applyFill="1" applyBorder="1"/>
    <xf numFmtId="49" fontId="2" fillId="25" borderId="62" xfId="0" applyNumberFormat="1" applyFont="1" applyFill="1" applyBorder="1"/>
    <xf numFmtId="0" fontId="2" fillId="25" borderId="63" xfId="0" applyFont="1" applyFill="1" applyBorder="1"/>
    <xf numFmtId="0" fontId="0" fillId="25" borderId="63" xfId="0" applyFill="1" applyBorder="1"/>
    <xf numFmtId="0" fontId="18" fillId="25" borderId="64" xfId="0" applyFont="1" applyFill="1" applyBorder="1" applyAlignment="1">
      <alignment horizontal="left" vertical="justify" wrapText="1"/>
    </xf>
    <xf numFmtId="49" fontId="0" fillId="25" borderId="65" xfId="0" applyNumberFormat="1" applyFill="1" applyBorder="1"/>
    <xf numFmtId="0" fontId="0" fillId="0" borderId="0" xfId="0" applyAlignment="1">
      <alignment horizontal="center"/>
    </xf>
    <xf numFmtId="0" fontId="2" fillId="0" borderId="3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/>
    </xf>
    <xf numFmtId="0" fontId="40" fillId="0" borderId="0" xfId="0" applyFont="1"/>
    <xf numFmtId="0" fontId="39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/>
    <xf numFmtId="8" fontId="40" fillId="0" borderId="0" xfId="0" applyNumberFormat="1" applyFont="1" applyFill="1" applyBorder="1" applyAlignment="1">
      <alignment horizontal="center"/>
    </xf>
    <xf numFmtId="0" fontId="40" fillId="0" borderId="0" xfId="0" applyFont="1" applyFill="1" applyBorder="1" applyAlignment="1">
      <alignment vertical="center" wrapText="1"/>
    </xf>
    <xf numFmtId="49" fontId="40" fillId="0" borderId="0" xfId="0" applyNumberFormat="1" applyFont="1" applyFill="1" applyBorder="1" applyAlignment="1">
      <alignment horizontal="center"/>
    </xf>
    <xf numFmtId="8" fontId="39" fillId="0" borderId="0" xfId="0" applyNumberFormat="1" applyFont="1" applyFill="1" applyBorder="1" applyAlignment="1">
      <alignment horizontal="center"/>
    </xf>
    <xf numFmtId="0" fontId="40" fillId="0" borderId="46" xfId="0" applyFont="1" applyBorder="1" applyAlignment="1">
      <alignment vertical="center" wrapText="1"/>
    </xf>
    <xf numFmtId="49" fontId="40" fillId="0" borderId="46" xfId="0" applyNumberFormat="1" applyFont="1" applyBorder="1" applyAlignment="1">
      <alignment horizontal="center"/>
    </xf>
    <xf numFmtId="8" fontId="40" fillId="0" borderId="46" xfId="0" applyNumberFormat="1" applyFont="1" applyBorder="1" applyAlignment="1">
      <alignment horizontal="center"/>
    </xf>
    <xf numFmtId="0" fontId="40" fillId="0" borderId="10" xfId="0" applyFont="1" applyBorder="1" applyAlignment="1">
      <alignment vertical="center" wrapText="1"/>
    </xf>
    <xf numFmtId="49" fontId="40" fillId="0" borderId="10" xfId="0" applyNumberFormat="1" applyFont="1" applyBorder="1" applyAlignment="1">
      <alignment horizontal="center"/>
    </xf>
    <xf numFmtId="8" fontId="40" fillId="0" borderId="10" xfId="0" applyNumberFormat="1" applyFont="1" applyBorder="1" applyAlignment="1">
      <alignment horizontal="center"/>
    </xf>
    <xf numFmtId="8" fontId="39" fillId="0" borderId="10" xfId="0" applyNumberFormat="1" applyFont="1" applyBorder="1" applyAlignment="1">
      <alignment horizontal="center"/>
    </xf>
    <xf numFmtId="8" fontId="39" fillId="0" borderId="52" xfId="0" applyNumberFormat="1" applyFont="1" applyBorder="1" applyAlignment="1">
      <alignment horizontal="center"/>
    </xf>
    <xf numFmtId="8" fontId="39" fillId="26" borderId="30" xfId="0" applyNumberFormat="1" applyFont="1" applyFill="1" applyBorder="1" applyAlignment="1">
      <alignment horizontal="center"/>
    </xf>
    <xf numFmtId="0" fontId="40" fillId="0" borderId="0" xfId="0" applyFont="1" applyFill="1"/>
    <xf numFmtId="0" fontId="12" fillId="0" borderId="20" xfId="0" applyFont="1" applyFill="1" applyBorder="1"/>
    <xf numFmtId="169" fontId="6" fillId="0" borderId="0" xfId="35" applyFont="1"/>
    <xf numFmtId="0" fontId="3" fillId="0" borderId="0" xfId="0" applyFont="1" applyBorder="1"/>
    <xf numFmtId="0" fontId="3" fillId="0" borderId="0" xfId="0" applyFont="1" applyFill="1" applyBorder="1"/>
    <xf numFmtId="4" fontId="0" fillId="0" borderId="0" xfId="0" applyNumberFormat="1" applyFill="1"/>
    <xf numFmtId="167" fontId="2" fillId="0" borderId="0" xfId="31" applyNumberFormat="1" applyFont="1" applyFill="1" applyBorder="1" applyAlignment="1">
      <alignment horizontal="right"/>
    </xf>
    <xf numFmtId="167" fontId="2" fillId="0" borderId="38" xfId="31" applyNumberFormat="1" applyFont="1" applyFill="1" applyBorder="1"/>
    <xf numFmtId="0" fontId="2" fillId="0" borderId="47" xfId="0" applyFont="1" applyFill="1" applyBorder="1" applyAlignment="1">
      <alignment horizontal="center" vertical="center" wrapText="1"/>
    </xf>
    <xf numFmtId="0" fontId="48" fillId="0" borderId="33" xfId="0" applyFont="1" applyBorder="1" applyAlignment="1">
      <alignment horizontal="left"/>
    </xf>
    <xf numFmtId="0" fontId="48" fillId="0" borderId="35" xfId="0" applyFont="1" applyBorder="1" applyAlignment="1">
      <alignment horizontal="left"/>
    </xf>
    <xf numFmtId="0" fontId="46" fillId="0" borderId="55" xfId="0" applyFont="1" applyBorder="1" applyAlignment="1">
      <alignment horizontal="center" wrapText="1"/>
    </xf>
    <xf numFmtId="0" fontId="2" fillId="0" borderId="67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3" fillId="0" borderId="51" xfId="0" applyFont="1" applyFill="1" applyBorder="1" applyAlignment="1">
      <alignment horizontal="left"/>
    </xf>
    <xf numFmtId="0" fontId="2" fillId="0" borderId="30" xfId="0" applyFont="1" applyFill="1" applyBorder="1" applyAlignment="1">
      <alignment horizontal="center"/>
    </xf>
    <xf numFmtId="0" fontId="3" fillId="0" borderId="10" xfId="0" applyFont="1" applyFill="1" applyBorder="1" applyAlignment="1">
      <alignment vertical="center" wrapText="1"/>
    </xf>
    <xf numFmtId="8" fontId="3" fillId="0" borderId="46" xfId="0" applyNumberFormat="1" applyFont="1" applyFill="1" applyBorder="1" applyAlignment="1">
      <alignment horizontal="center"/>
    </xf>
    <xf numFmtId="8" fontId="3" fillId="0" borderId="68" xfId="0" applyNumberFormat="1" applyFont="1" applyFill="1" applyBorder="1" applyAlignment="1">
      <alignment horizontal="center"/>
    </xf>
    <xf numFmtId="164" fontId="40" fillId="0" borderId="0" xfId="0" applyNumberFormat="1" applyFont="1" applyFill="1" applyBorder="1"/>
    <xf numFmtId="8" fontId="3" fillId="0" borderId="36" xfId="0" applyNumberFormat="1" applyFont="1" applyFill="1" applyBorder="1" applyAlignment="1">
      <alignment horizontal="center"/>
    </xf>
    <xf numFmtId="8" fontId="3" fillId="0" borderId="10" xfId="0" applyNumberFormat="1" applyFont="1" applyFill="1" applyBorder="1" applyAlignment="1">
      <alignment horizontal="center"/>
    </xf>
    <xf numFmtId="8" fontId="2" fillId="0" borderId="10" xfId="0" applyNumberFormat="1" applyFont="1" applyFill="1" applyBorder="1" applyAlignment="1">
      <alignment horizontal="center"/>
    </xf>
    <xf numFmtId="8" fontId="2" fillId="0" borderId="13" xfId="0" applyNumberFormat="1" applyFont="1" applyFill="1" applyBorder="1" applyAlignment="1">
      <alignment horizontal="center"/>
    </xf>
    <xf numFmtId="8" fontId="2" fillId="0" borderId="36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vertical="center" wrapText="1"/>
    </xf>
    <xf numFmtId="49" fontId="3" fillId="0" borderId="10" xfId="0" applyNumberFormat="1" applyFont="1" applyFill="1" applyBorder="1" applyAlignment="1">
      <alignment horizontal="center"/>
    </xf>
    <xf numFmtId="8" fontId="3" fillId="0" borderId="13" xfId="0" applyNumberFormat="1" applyFont="1" applyFill="1" applyBorder="1" applyAlignment="1">
      <alignment horizontal="center"/>
    </xf>
    <xf numFmtId="8" fontId="2" fillId="0" borderId="52" xfId="0" applyNumberFormat="1" applyFont="1" applyFill="1" applyBorder="1" applyAlignment="1">
      <alignment horizontal="center"/>
    </xf>
    <xf numFmtId="8" fontId="2" fillId="0" borderId="40" xfId="0" applyNumberFormat="1" applyFont="1" applyFill="1" applyBorder="1" applyAlignment="1">
      <alignment horizontal="center"/>
    </xf>
    <xf numFmtId="8" fontId="2" fillId="0" borderId="69" xfId="0" applyNumberFormat="1" applyFont="1" applyFill="1" applyBorder="1" applyAlignment="1">
      <alignment horizontal="center"/>
    </xf>
    <xf numFmtId="8" fontId="2" fillId="0" borderId="30" xfId="0" applyNumberFormat="1" applyFont="1" applyFill="1" applyBorder="1" applyAlignment="1">
      <alignment horizontal="center"/>
    </xf>
    <xf numFmtId="8" fontId="2" fillId="0" borderId="47" xfId="0" applyNumberFormat="1" applyFont="1" applyFill="1" applyBorder="1" applyAlignment="1">
      <alignment horizontal="center"/>
    </xf>
    <xf numFmtId="10" fontId="41" fillId="0" borderId="35" xfId="0" applyNumberFormat="1" applyFont="1" applyFill="1" applyBorder="1" applyAlignment="1">
      <alignment horizontal="center" vertical="center" wrapText="1"/>
    </xf>
    <xf numFmtId="0" fontId="12" fillId="0" borderId="43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0" xfId="0" applyFont="1" applyFill="1"/>
    <xf numFmtId="0" fontId="12" fillId="0" borderId="70" xfId="0" applyFont="1" applyFill="1" applyBorder="1" applyAlignment="1">
      <alignment horizontal="center"/>
    </xf>
    <xf numFmtId="0" fontId="12" fillId="0" borderId="71" xfId="0" applyFont="1" applyFill="1" applyBorder="1"/>
    <xf numFmtId="167" fontId="4" fillId="0" borderId="72" xfId="35" applyNumberFormat="1" applyFont="1" applyFill="1" applyBorder="1" applyAlignment="1">
      <alignment horizontal="center"/>
    </xf>
    <xf numFmtId="43" fontId="12" fillId="0" borderId="0" xfId="37" applyFont="1" applyFill="1"/>
    <xf numFmtId="4" fontId="12" fillId="0" borderId="0" xfId="0" applyNumberFormat="1" applyFont="1" applyFill="1"/>
    <xf numFmtId="0" fontId="12" fillId="0" borderId="0" xfId="0" applyFont="1" applyFill="1"/>
    <xf numFmtId="0" fontId="12" fillId="0" borderId="20" xfId="0" applyFont="1" applyFill="1" applyBorder="1" applyAlignment="1">
      <alignment vertical="center" wrapText="1"/>
    </xf>
    <xf numFmtId="0" fontId="6" fillId="0" borderId="20" xfId="0" applyFont="1" applyFill="1" applyBorder="1"/>
    <xf numFmtId="0" fontId="12" fillId="0" borderId="73" xfId="0" applyFont="1" applyFill="1" applyBorder="1" applyAlignment="1">
      <alignment horizontal="center"/>
    </xf>
    <xf numFmtId="0" fontId="12" fillId="0" borderId="50" xfId="0" applyFont="1" applyFill="1" applyBorder="1"/>
    <xf numFmtId="0" fontId="12" fillId="0" borderId="16" xfId="0" applyFont="1" applyFill="1" applyBorder="1" applyAlignment="1">
      <alignment horizontal="center"/>
    </xf>
    <xf numFmtId="0" fontId="4" fillId="0" borderId="74" xfId="0" applyFont="1" applyFill="1" applyBorder="1"/>
    <xf numFmtId="0" fontId="4" fillId="0" borderId="71" xfId="0" applyFont="1" applyFill="1" applyBorder="1"/>
    <xf numFmtId="167" fontId="4" fillId="0" borderId="75" xfId="35" applyNumberFormat="1" applyFont="1" applyFill="1" applyBorder="1" applyAlignment="1">
      <alignment horizontal="center"/>
    </xf>
    <xf numFmtId="167" fontId="4" fillId="0" borderId="23" xfId="35" applyNumberFormat="1" applyFont="1" applyFill="1" applyBorder="1" applyAlignment="1">
      <alignment horizontal="center"/>
    </xf>
    <xf numFmtId="0" fontId="4" fillId="0" borderId="66" xfId="0" applyFont="1" applyFill="1" applyBorder="1" applyAlignment="1">
      <alignment horizontal="center"/>
    </xf>
    <xf numFmtId="0" fontId="4" fillId="0" borderId="66" xfId="0" applyFont="1" applyFill="1" applyBorder="1"/>
    <xf numFmtId="167" fontId="4" fillId="0" borderId="30" xfId="35" applyNumberFormat="1" applyFont="1" applyFill="1" applyBorder="1" applyAlignment="1">
      <alignment horizontal="center"/>
    </xf>
    <xf numFmtId="4" fontId="3" fillId="0" borderId="0" xfId="0" applyNumberFormat="1" applyFont="1" applyFill="1"/>
    <xf numFmtId="0" fontId="12" fillId="0" borderId="66" xfId="0" applyFont="1" applyFill="1" applyBorder="1"/>
    <xf numFmtId="167" fontId="4" fillId="0" borderId="30" xfId="35" applyNumberFormat="1" applyFont="1" applyFill="1" applyBorder="1"/>
    <xf numFmtId="167" fontId="3" fillId="0" borderId="36" xfId="31" applyNumberFormat="1" applyFont="1" applyFill="1" applyBorder="1"/>
    <xf numFmtId="167" fontId="1" fillId="0" borderId="36" xfId="31" applyNumberFormat="1" applyFont="1" applyFill="1" applyBorder="1"/>
    <xf numFmtId="167" fontId="1" fillId="0" borderId="10" xfId="31" applyNumberFormat="1" applyFill="1" applyBorder="1"/>
    <xf numFmtId="167" fontId="1" fillId="0" borderId="12" xfId="31" applyNumberFormat="1" applyFill="1" applyBorder="1"/>
    <xf numFmtId="167" fontId="1" fillId="0" borderId="36" xfId="31" applyNumberFormat="1" applyFill="1" applyBorder="1"/>
    <xf numFmtId="167" fontId="1" fillId="0" borderId="13" xfId="31" applyNumberFormat="1" applyFill="1" applyBorder="1"/>
    <xf numFmtId="167" fontId="1" fillId="0" borderId="38" xfId="31" applyNumberFormat="1" applyFill="1" applyBorder="1"/>
    <xf numFmtId="167" fontId="1" fillId="0" borderId="51" xfId="31" applyNumberFormat="1" applyFill="1" applyBorder="1"/>
    <xf numFmtId="167" fontId="1" fillId="0" borderId="52" xfId="31" applyNumberFormat="1" applyFill="1" applyBorder="1"/>
    <xf numFmtId="167" fontId="1" fillId="0" borderId="76" xfId="31" applyNumberFormat="1" applyFill="1" applyBorder="1"/>
    <xf numFmtId="167" fontId="1" fillId="0" borderId="69" xfId="31" applyNumberFormat="1" applyFill="1" applyBorder="1"/>
    <xf numFmtId="49" fontId="1" fillId="0" borderId="0" xfId="31" applyNumberFormat="1" applyFill="1" applyAlignment="1">
      <alignment horizontal="left"/>
    </xf>
    <xf numFmtId="0" fontId="6" fillId="0" borderId="0" xfId="0" applyFont="1" applyBorder="1" applyAlignment="1">
      <alignment horizontal="left"/>
    </xf>
    <xf numFmtId="0" fontId="44" fillId="0" borderId="0" xfId="0" applyFont="1" applyFill="1"/>
    <xf numFmtId="0" fontId="15" fillId="0" borderId="33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left"/>
    </xf>
    <xf numFmtId="0" fontId="0" fillId="0" borderId="34" xfId="0" applyFill="1" applyBorder="1" applyAlignment="1">
      <alignment horizontal="center"/>
    </xf>
    <xf numFmtId="0" fontId="0" fillId="0" borderId="34" xfId="0" applyFill="1" applyBorder="1"/>
    <xf numFmtId="0" fontId="2" fillId="0" borderId="34" xfId="0" applyFont="1" applyFill="1" applyBorder="1"/>
    <xf numFmtId="0" fontId="0" fillId="0" borderId="35" xfId="0" applyFill="1" applyBorder="1" applyAlignment="1">
      <alignment horizontal="center"/>
    </xf>
    <xf numFmtId="0" fontId="0" fillId="0" borderId="35" xfId="0" applyFill="1" applyBorder="1"/>
    <xf numFmtId="0" fontId="0" fillId="0" borderId="66" xfId="0" applyFill="1" applyBorder="1"/>
    <xf numFmtId="0" fontId="15" fillId="0" borderId="41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44" xfId="0" applyFill="1" applyBorder="1" applyAlignment="1">
      <alignment horizontal="center"/>
    </xf>
    <xf numFmtId="0" fontId="2" fillId="0" borderId="35" xfId="0" applyFont="1" applyFill="1" applyBorder="1"/>
    <xf numFmtId="49" fontId="46" fillId="0" borderId="41" xfId="0" applyNumberFormat="1" applyFont="1" applyFill="1" applyBorder="1" applyAlignment="1">
      <alignment horizontal="center"/>
    </xf>
    <xf numFmtId="49" fontId="46" fillId="0" borderId="33" xfId="0" applyNumberFormat="1" applyFont="1" applyFill="1" applyBorder="1" applyAlignment="1">
      <alignment horizontal="center"/>
    </xf>
    <xf numFmtId="49" fontId="46" fillId="0" borderId="78" xfId="0" applyNumberFormat="1" applyFont="1" applyFill="1" applyBorder="1" applyAlignment="1">
      <alignment horizontal="center"/>
    </xf>
    <xf numFmtId="49" fontId="46" fillId="0" borderId="44" xfId="0" applyNumberFormat="1" applyFont="1" applyFill="1" applyBorder="1" applyAlignment="1">
      <alignment horizontal="center"/>
    </xf>
    <xf numFmtId="49" fontId="46" fillId="0" borderId="35" xfId="0" applyNumberFormat="1" applyFont="1" applyFill="1" applyBorder="1" applyAlignment="1">
      <alignment horizontal="center"/>
    </xf>
    <xf numFmtId="49" fontId="46" fillId="0" borderId="31" xfId="0" applyNumberFormat="1" applyFont="1" applyFill="1" applyBorder="1" applyAlignment="1">
      <alignment horizontal="center"/>
    </xf>
    <xf numFmtId="49" fontId="0" fillId="0" borderId="33" xfId="0" applyNumberFormat="1" applyFill="1" applyBorder="1"/>
    <xf numFmtId="49" fontId="2" fillId="0" borderId="78" xfId="0" applyNumberFormat="1" applyFont="1" applyFill="1" applyBorder="1"/>
    <xf numFmtId="49" fontId="2" fillId="0" borderId="34" xfId="0" applyNumberFormat="1" applyFont="1" applyFill="1" applyBorder="1"/>
    <xf numFmtId="49" fontId="2" fillId="0" borderId="0" xfId="0" applyNumberFormat="1" applyFont="1" applyFill="1" applyBorder="1"/>
    <xf numFmtId="49" fontId="0" fillId="0" borderId="34" xfId="0" applyNumberFormat="1" applyFill="1" applyBorder="1"/>
    <xf numFmtId="0" fontId="2" fillId="0" borderId="44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49" fontId="44" fillId="0" borderId="0" xfId="0" applyNumberFormat="1" applyFont="1" applyFill="1"/>
    <xf numFmtId="49" fontId="2" fillId="0" borderId="30" xfId="0" applyNumberFormat="1" applyFont="1" applyFill="1" applyBorder="1" applyAlignment="1">
      <alignment horizontal="center"/>
    </xf>
    <xf numFmtId="0" fontId="14" fillId="0" borderId="32" xfId="0" applyFont="1" applyFill="1" applyBorder="1" applyAlignment="1">
      <alignment horizontal="center"/>
    </xf>
    <xf numFmtId="49" fontId="0" fillId="0" borderId="34" xfId="0" applyNumberFormat="1" applyFill="1" applyBorder="1" applyAlignment="1">
      <alignment horizontal="center"/>
    </xf>
    <xf numFmtId="49" fontId="0" fillId="0" borderId="30" xfId="0" applyNumberFormat="1" applyFill="1" applyBorder="1"/>
    <xf numFmtId="0" fontId="8" fillId="0" borderId="0" xfId="0" applyFont="1" applyFill="1" applyAlignment="1">
      <alignment horizontal="right"/>
    </xf>
    <xf numFmtId="0" fontId="12" fillId="0" borderId="20" xfId="0" applyFont="1" applyFill="1" applyBorder="1" applyAlignment="1">
      <alignment wrapText="1"/>
    </xf>
    <xf numFmtId="0" fontId="48" fillId="0" borderId="0" xfId="0" applyFont="1" applyAlignment="1">
      <alignment horizontal="center"/>
    </xf>
    <xf numFmtId="0" fontId="3" fillId="0" borderId="0" xfId="0" applyFont="1" applyFill="1"/>
    <xf numFmtId="164" fontId="0" fillId="0" borderId="0" xfId="38" applyFont="1" applyAlignment="1">
      <alignment horizontal="center"/>
    </xf>
    <xf numFmtId="167" fontId="0" fillId="27" borderId="0" xfId="0" applyNumberFormat="1" applyFill="1"/>
    <xf numFmtId="49" fontId="3" fillId="25" borderId="10" xfId="0" applyNumberFormat="1" applyFont="1" applyFill="1" applyBorder="1" applyAlignment="1">
      <alignment vertical="center" wrapText="1"/>
    </xf>
    <xf numFmtId="0" fontId="3" fillId="25" borderId="10" xfId="0" applyFont="1" applyFill="1" applyBorder="1" applyAlignment="1">
      <alignment vertical="center" wrapText="1"/>
    </xf>
    <xf numFmtId="0" fontId="0" fillId="27" borderId="0" xfId="0" applyFill="1"/>
    <xf numFmtId="49" fontId="2" fillId="25" borderId="81" xfId="0" applyNumberFormat="1" applyFont="1" applyFill="1" applyBorder="1"/>
    <xf numFmtId="0" fontId="3" fillId="25" borderId="82" xfId="0" applyFont="1" applyFill="1" applyBorder="1" applyAlignment="1">
      <alignment vertical="center" wrapText="1"/>
    </xf>
    <xf numFmtId="49" fontId="0" fillId="0" borderId="26" xfId="0" applyNumberFormat="1" applyBorder="1" applyAlignment="1">
      <alignment horizontal="left"/>
    </xf>
    <xf numFmtId="167" fontId="3" fillId="0" borderId="23" xfId="31" applyNumberFormat="1" applyFont="1" applyBorder="1" applyAlignment="1">
      <alignment horizontal="right"/>
    </xf>
    <xf numFmtId="0" fontId="3" fillId="27" borderId="0" xfId="0" applyFont="1" applyFill="1" applyBorder="1" applyAlignment="1">
      <alignment horizontal="left" vertical="center" wrapText="1"/>
    </xf>
    <xf numFmtId="4" fontId="1" fillId="27" borderId="0" xfId="31" applyNumberFormat="1" applyFill="1"/>
    <xf numFmtId="167" fontId="3" fillId="0" borderId="83" xfId="31" applyNumberFormat="1" applyFont="1" applyFill="1" applyBorder="1"/>
    <xf numFmtId="0" fontId="48" fillId="27" borderId="0" xfId="0" applyFont="1" applyFill="1" applyAlignment="1">
      <alignment horizontal="center"/>
    </xf>
    <xf numFmtId="4" fontId="3" fillId="27" borderId="26" xfId="31" applyNumberFormat="1" applyFont="1" applyFill="1" applyBorder="1"/>
    <xf numFmtId="4" fontId="3" fillId="27" borderId="22" xfId="31" applyNumberFormat="1" applyFont="1" applyFill="1" applyBorder="1"/>
    <xf numFmtId="4" fontId="0" fillId="27" borderId="0" xfId="0" applyNumberFormat="1" applyFill="1"/>
    <xf numFmtId="164" fontId="3" fillId="27" borderId="0" xfId="0" applyNumberFormat="1" applyFont="1" applyFill="1"/>
    <xf numFmtId="164" fontId="2" fillId="27" borderId="0" xfId="38" applyFont="1" applyFill="1"/>
    <xf numFmtId="164" fontId="0" fillId="27" borderId="0" xfId="0" applyNumberFormat="1" applyFill="1"/>
    <xf numFmtId="164" fontId="53" fillId="27" borderId="0" xfId="38" applyFont="1" applyFill="1"/>
    <xf numFmtId="174" fontId="20" fillId="0" borderId="30" xfId="0" applyNumberFormat="1" applyFont="1" applyBorder="1" applyAlignment="1">
      <alignment horizontal="center" vertical="center" wrapText="1"/>
    </xf>
    <xf numFmtId="174" fontId="2" fillId="0" borderId="22" xfId="31" applyNumberFormat="1" applyFont="1" applyBorder="1"/>
    <xf numFmtId="174" fontId="2" fillId="0" borderId="23" xfId="31" applyNumberFormat="1" applyFont="1" applyBorder="1"/>
    <xf numFmtId="174" fontId="1" fillId="0" borderId="23" xfId="31" applyNumberFormat="1" applyBorder="1"/>
    <xf numFmtId="174" fontId="1" fillId="0" borderId="0" xfId="31" applyNumberFormat="1" applyBorder="1"/>
    <xf numFmtId="174" fontId="3" fillId="0" borderId="22" xfId="31" applyNumberFormat="1" applyFont="1" applyBorder="1"/>
    <xf numFmtId="174" fontId="1" fillId="0" borderId="0" xfId="31" applyNumberFormat="1"/>
    <xf numFmtId="164" fontId="44" fillId="0" borderId="0" xfId="38" applyFont="1" applyFill="1"/>
    <xf numFmtId="164" fontId="15" fillId="0" borderId="33" xfId="38" applyFont="1" applyFill="1" applyBorder="1" applyAlignment="1">
      <alignment horizontal="center"/>
    </xf>
    <xf numFmtId="164" fontId="2" fillId="0" borderId="34" xfId="38" applyFont="1" applyFill="1" applyBorder="1" applyAlignment="1">
      <alignment horizontal="center" wrapText="1"/>
    </xf>
    <xf numFmtId="164" fontId="3" fillId="0" borderId="34" xfId="38" applyFont="1" applyFill="1" applyBorder="1"/>
    <xf numFmtId="164" fontId="2" fillId="0" borderId="34" xfId="38" applyFont="1" applyFill="1" applyBorder="1"/>
    <xf numFmtId="164" fontId="0" fillId="0" borderId="35" xfId="38" applyFont="1" applyFill="1" applyBorder="1"/>
    <xf numFmtId="164" fontId="2" fillId="0" borderId="47" xfId="38" applyFont="1" applyFill="1" applyBorder="1"/>
    <xf numFmtId="164" fontId="15" fillId="0" borderId="84" xfId="38" applyFont="1" applyFill="1" applyBorder="1" applyAlignment="1">
      <alignment horizontal="center"/>
    </xf>
    <xf numFmtId="164" fontId="2" fillId="0" borderId="23" xfId="38" applyFont="1" applyFill="1" applyBorder="1"/>
    <xf numFmtId="164" fontId="2" fillId="0" borderId="85" xfId="38" applyFont="1" applyFill="1" applyBorder="1"/>
    <xf numFmtId="164" fontId="2" fillId="0" borderId="30" xfId="38" applyFont="1" applyFill="1" applyBorder="1" applyAlignment="1">
      <alignment horizontal="center"/>
    </xf>
    <xf numFmtId="164" fontId="1" fillId="0" borderId="34" xfId="38" applyFill="1" applyBorder="1"/>
    <xf numFmtId="164" fontId="2" fillId="0" borderId="30" xfId="38" applyFont="1" applyFill="1" applyBorder="1"/>
    <xf numFmtId="164" fontId="2" fillId="0" borderId="78" xfId="38" applyFont="1" applyFill="1" applyBorder="1" applyAlignment="1">
      <alignment horizontal="center"/>
    </xf>
    <xf numFmtId="49" fontId="0" fillId="25" borderId="10" xfId="0" applyNumberFormat="1" applyFill="1" applyBorder="1" applyAlignment="1">
      <alignment vertical="center"/>
    </xf>
    <xf numFmtId="0" fontId="0" fillId="27" borderId="0" xfId="0" applyFill="1" applyAlignment="1">
      <alignment horizontal="center"/>
    </xf>
    <xf numFmtId="164" fontId="53" fillId="27" borderId="0" xfId="38" applyFont="1" applyFill="1" applyAlignment="1">
      <alignment horizontal="center"/>
    </xf>
    <xf numFmtId="167" fontId="0" fillId="27" borderId="0" xfId="0" applyNumberFormat="1" applyFill="1" applyAlignment="1">
      <alignment horizontal="center"/>
    </xf>
    <xf numFmtId="164" fontId="3" fillId="27" borderId="22" xfId="38" applyNumberFormat="1" applyFont="1" applyFill="1" applyBorder="1" applyAlignment="1">
      <alignment horizontal="center" wrapText="1"/>
    </xf>
    <xf numFmtId="0" fontId="3" fillId="27" borderId="0" xfId="0" applyFont="1" applyFill="1"/>
    <xf numFmtId="49" fontId="3" fillId="25" borderId="86" xfId="0" applyNumberFormat="1" applyFont="1" applyFill="1" applyBorder="1" applyAlignment="1">
      <alignment vertical="center" wrapText="1"/>
    </xf>
    <xf numFmtId="164" fontId="2" fillId="0" borderId="33" xfId="38" applyFont="1" applyFill="1" applyBorder="1" applyAlignment="1">
      <alignment horizontal="right"/>
    </xf>
    <xf numFmtId="164" fontId="2" fillId="0" borderId="34" xfId="38" applyFont="1" applyFill="1" applyBorder="1" applyAlignment="1">
      <alignment horizontal="right"/>
    </xf>
    <xf numFmtId="164" fontId="3" fillId="0" borderId="34" xfId="38" applyFont="1" applyFill="1" applyBorder="1" applyAlignment="1">
      <alignment horizontal="right"/>
    </xf>
    <xf numFmtId="164" fontId="3" fillId="0" borderId="35" xfId="38" applyFont="1" applyFill="1" applyBorder="1" applyAlignment="1">
      <alignment horizontal="right"/>
    </xf>
    <xf numFmtId="164" fontId="2" fillId="0" borderId="35" xfId="38" applyFont="1" applyFill="1" applyBorder="1" applyAlignment="1">
      <alignment horizontal="right"/>
    </xf>
    <xf numFmtId="164" fontId="2" fillId="0" borderId="30" xfId="38" applyFont="1" applyFill="1" applyBorder="1" applyAlignment="1">
      <alignment horizontal="right"/>
    </xf>
    <xf numFmtId="164" fontId="3" fillId="27" borderId="22" xfId="38" applyFont="1" applyFill="1" applyBorder="1"/>
    <xf numFmtId="164" fontId="3" fillId="0" borderId="22" xfId="38" applyFont="1" applyBorder="1"/>
    <xf numFmtId="164" fontId="3" fillId="0" borderId="21" xfId="38" applyFont="1" applyBorder="1"/>
    <xf numFmtId="164" fontId="2" fillId="27" borderId="22" xfId="38" applyFont="1" applyFill="1" applyBorder="1"/>
    <xf numFmtId="164" fontId="2" fillId="0" borderId="22" xfId="38" applyFont="1" applyBorder="1"/>
    <xf numFmtId="164" fontId="2" fillId="0" borderId="21" xfId="38" applyFont="1" applyBorder="1"/>
    <xf numFmtId="164" fontId="54" fillId="27" borderId="22" xfId="38" applyFont="1" applyFill="1" applyBorder="1"/>
    <xf numFmtId="164" fontId="0" fillId="0" borderId="22" xfId="38" applyFont="1" applyBorder="1"/>
    <xf numFmtId="164" fontId="0" fillId="0" borderId="21" xfId="38" applyFont="1" applyBorder="1"/>
    <xf numFmtId="164" fontId="11" fillId="27" borderId="22" xfId="38" applyFont="1" applyFill="1" applyBorder="1"/>
    <xf numFmtId="164" fontId="11" fillId="0" borderId="22" xfId="38" applyFont="1" applyBorder="1"/>
    <xf numFmtId="164" fontId="11" fillId="0" borderId="21" xfId="38" applyFont="1" applyBorder="1"/>
    <xf numFmtId="164" fontId="54" fillId="27" borderId="29" xfId="38" applyFont="1" applyFill="1" applyBorder="1"/>
    <xf numFmtId="164" fontId="0" fillId="0" borderId="29" xfId="38" applyFont="1" applyBorder="1"/>
    <xf numFmtId="164" fontId="0" fillId="0" borderId="87" xfId="38" applyFont="1" applyBorder="1"/>
    <xf numFmtId="164" fontId="2" fillId="27" borderId="30" xfId="38" applyFont="1" applyFill="1" applyBorder="1"/>
    <xf numFmtId="164" fontId="2" fillId="0" borderId="32" xfId="38" applyFont="1" applyBorder="1"/>
    <xf numFmtId="164" fontId="2" fillId="0" borderId="30" xfId="38" applyFont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173" fontId="2" fillId="0" borderId="46" xfId="0" applyNumberFormat="1" applyFont="1" applyFill="1" applyBorder="1"/>
    <xf numFmtId="173" fontId="2" fillId="0" borderId="10" xfId="0" applyNumberFormat="1" applyFont="1" applyFill="1" applyBorder="1"/>
    <xf numFmtId="173" fontId="3" fillId="0" borderId="10" xfId="0" applyNumberFormat="1" applyFont="1" applyFill="1" applyBorder="1"/>
    <xf numFmtId="173" fontId="3" fillId="0" borderId="52" xfId="0" applyNumberFormat="1" applyFont="1" applyFill="1" applyBorder="1"/>
    <xf numFmtId="173" fontId="2" fillId="0" borderId="30" xfId="0" applyNumberFormat="1" applyFont="1" applyFill="1" applyBorder="1"/>
    <xf numFmtId="0" fontId="41" fillId="0" borderId="35" xfId="0" applyFont="1" applyFill="1" applyBorder="1" applyAlignment="1">
      <alignment horizontal="center" vertical="center"/>
    </xf>
    <xf numFmtId="170" fontId="3" fillId="0" borderId="0" xfId="0" applyNumberFormat="1" applyFont="1" applyFill="1"/>
    <xf numFmtId="173" fontId="3" fillId="0" borderId="0" xfId="0" applyNumberFormat="1" applyFont="1" applyFill="1"/>
    <xf numFmtId="170" fontId="3" fillId="27" borderId="0" xfId="0" applyNumberFormat="1" applyFont="1" applyFill="1"/>
    <xf numFmtId="167" fontId="12" fillId="0" borderId="23" xfId="35" applyNumberFormat="1" applyFont="1" applyFill="1" applyBorder="1"/>
    <xf numFmtId="167" fontId="4" fillId="0" borderId="72" xfId="35" applyNumberFormat="1" applyFont="1" applyFill="1" applyBorder="1"/>
    <xf numFmtId="167" fontId="12" fillId="0" borderId="72" xfId="35" applyNumberFormat="1" applyFont="1" applyFill="1" applyBorder="1"/>
    <xf numFmtId="167" fontId="12" fillId="0" borderId="49" xfId="35" applyNumberFormat="1" applyFont="1" applyFill="1" applyBorder="1"/>
    <xf numFmtId="167" fontId="12" fillId="0" borderId="72" xfId="35" applyNumberFormat="1" applyFont="1" applyFill="1" applyBorder="1" applyAlignment="1">
      <alignment horizontal="center"/>
    </xf>
    <xf numFmtId="167" fontId="4" fillId="0" borderId="47" xfId="35" applyNumberFormat="1" applyFont="1" applyFill="1" applyBorder="1" applyAlignment="1">
      <alignment horizontal="center"/>
    </xf>
    <xf numFmtId="167" fontId="4" fillId="0" borderId="47" xfId="35" applyNumberFormat="1" applyFont="1" applyFill="1" applyBorder="1"/>
    <xf numFmtId="0" fontId="12" fillId="0" borderId="33" xfId="0" applyFont="1" applyFill="1" applyBorder="1"/>
    <xf numFmtId="0" fontId="12" fillId="0" borderId="33" xfId="0" applyFont="1" applyFill="1" applyBorder="1" applyAlignment="1">
      <alignment horizontal="center"/>
    </xf>
    <xf numFmtId="49" fontId="12" fillId="0" borderId="33" xfId="0" applyNumberFormat="1" applyFont="1" applyFill="1" applyBorder="1" applyAlignment="1">
      <alignment horizontal="center"/>
    </xf>
    <xf numFmtId="167" fontId="12" fillId="27" borderId="33" xfId="35" applyNumberFormat="1" applyFont="1" applyFill="1" applyBorder="1" applyAlignment="1">
      <alignment horizontal="center"/>
    </xf>
    <xf numFmtId="167" fontId="12" fillId="0" borderId="33" xfId="35" applyNumberFormat="1" applyFont="1" applyFill="1" applyBorder="1"/>
    <xf numFmtId="0" fontId="12" fillId="0" borderId="34" xfId="0" applyFont="1" applyFill="1" applyBorder="1"/>
    <xf numFmtId="0" fontId="12" fillId="0" borderId="34" xfId="0" applyFont="1" applyFill="1" applyBorder="1" applyAlignment="1">
      <alignment horizontal="center"/>
    </xf>
    <xf numFmtId="49" fontId="12" fillId="0" borderId="34" xfId="0" applyNumberFormat="1" applyFont="1" applyFill="1" applyBorder="1" applyAlignment="1">
      <alignment horizontal="center"/>
    </xf>
    <xf numFmtId="167" fontId="12" fillId="27" borderId="34" xfId="35" applyNumberFormat="1" applyFont="1" applyFill="1" applyBorder="1" applyAlignment="1">
      <alignment horizontal="center"/>
    </xf>
    <xf numFmtId="167" fontId="12" fillId="0" borderId="34" xfId="35" applyNumberFormat="1" applyFont="1" applyFill="1" applyBorder="1"/>
    <xf numFmtId="167" fontId="4" fillId="0" borderId="34" xfId="35" applyNumberFormat="1" applyFont="1" applyFill="1" applyBorder="1"/>
    <xf numFmtId="0" fontId="12" fillId="0" borderId="88" xfId="0" applyFont="1" applyFill="1" applyBorder="1"/>
    <xf numFmtId="0" fontId="4" fillId="0" borderId="88" xfId="0" applyFont="1" applyFill="1" applyBorder="1" applyAlignment="1">
      <alignment horizontal="center"/>
    </xf>
    <xf numFmtId="49" fontId="12" fillId="0" borderId="88" xfId="0" applyNumberFormat="1" applyFont="1" applyFill="1" applyBorder="1" applyAlignment="1">
      <alignment horizontal="center"/>
    </xf>
    <xf numFmtId="167" fontId="4" fillId="27" borderId="88" xfId="35" applyNumberFormat="1" applyFont="1" applyFill="1" applyBorder="1" applyAlignment="1">
      <alignment horizontal="center"/>
    </xf>
    <xf numFmtId="167" fontId="4" fillId="0" borderId="88" xfId="35" applyNumberFormat="1" applyFont="1" applyFill="1" applyBorder="1" applyAlignment="1">
      <alignment horizontal="center"/>
    </xf>
    <xf numFmtId="167" fontId="4" fillId="0" borderId="88" xfId="35" applyNumberFormat="1" applyFont="1" applyFill="1" applyBorder="1"/>
    <xf numFmtId="0" fontId="12" fillId="0" borderId="88" xfId="0" applyFont="1" applyFill="1" applyBorder="1" applyAlignment="1">
      <alignment horizontal="center"/>
    </xf>
    <xf numFmtId="167" fontId="12" fillId="27" borderId="88" xfId="35" applyNumberFormat="1" applyFont="1" applyFill="1" applyBorder="1" applyAlignment="1">
      <alignment horizontal="center"/>
    </xf>
    <xf numFmtId="167" fontId="12" fillId="0" borderId="88" xfId="35" applyNumberFormat="1" applyFont="1" applyFill="1" applyBorder="1" applyAlignment="1">
      <alignment horizontal="center"/>
    </xf>
    <xf numFmtId="0" fontId="12" fillId="0" borderId="37" xfId="0" applyFont="1" applyFill="1" applyBorder="1"/>
    <xf numFmtId="0" fontId="12" fillId="0" borderId="37" xfId="0" applyFont="1" applyFill="1" applyBorder="1" applyAlignment="1">
      <alignment horizontal="center"/>
    </xf>
    <xf numFmtId="49" fontId="12" fillId="0" borderId="37" xfId="0" applyNumberFormat="1" applyFont="1" applyFill="1" applyBorder="1" applyAlignment="1">
      <alignment horizontal="center"/>
    </xf>
    <xf numFmtId="167" fontId="12" fillId="27" borderId="37" xfId="35" applyNumberFormat="1" applyFont="1" applyFill="1" applyBorder="1" applyAlignment="1">
      <alignment horizontal="center"/>
    </xf>
    <xf numFmtId="167" fontId="12" fillId="0" borderId="37" xfId="35" applyNumberFormat="1" applyFont="1" applyFill="1" applyBorder="1"/>
    <xf numFmtId="0" fontId="12" fillId="0" borderId="89" xfId="0" applyFont="1" applyFill="1" applyBorder="1"/>
    <xf numFmtId="0" fontId="4" fillId="0" borderId="89" xfId="0" applyFont="1" applyFill="1" applyBorder="1" applyAlignment="1">
      <alignment horizontal="center"/>
    </xf>
    <xf numFmtId="49" fontId="12" fillId="0" borderId="89" xfId="0" applyNumberFormat="1" applyFont="1" applyFill="1" applyBorder="1" applyAlignment="1">
      <alignment horizontal="center"/>
    </xf>
    <xf numFmtId="167" fontId="4" fillId="27" borderId="89" xfId="35" applyNumberFormat="1" applyFont="1" applyFill="1" applyBorder="1" applyAlignment="1">
      <alignment horizontal="center"/>
    </xf>
    <xf numFmtId="167" fontId="4" fillId="0" borderId="89" xfId="35" applyNumberFormat="1" applyFont="1" applyFill="1" applyBorder="1" applyAlignment="1">
      <alignment horizontal="center"/>
    </xf>
    <xf numFmtId="0" fontId="4" fillId="0" borderId="89" xfId="0" applyFont="1" applyFill="1" applyBorder="1"/>
    <xf numFmtId="49" fontId="4" fillId="0" borderId="89" xfId="0" applyNumberFormat="1" applyFont="1" applyFill="1" applyBorder="1" applyAlignment="1">
      <alignment horizontal="center"/>
    </xf>
    <xf numFmtId="0" fontId="4" fillId="0" borderId="34" xfId="0" applyFont="1" applyFill="1" applyBorder="1"/>
    <xf numFmtId="167" fontId="4" fillId="27" borderId="34" xfId="35" applyNumberFormat="1" applyFont="1" applyFill="1" applyBorder="1" applyAlignment="1">
      <alignment horizontal="center"/>
    </xf>
    <xf numFmtId="167" fontId="4" fillId="0" borderId="34" xfId="35" applyNumberFormat="1" applyFont="1" applyFill="1" applyBorder="1" applyAlignment="1">
      <alignment horizontal="center"/>
    </xf>
    <xf numFmtId="167" fontId="4" fillId="0" borderId="35" xfId="35" applyNumberFormat="1" applyFont="1" applyFill="1" applyBorder="1" applyAlignment="1">
      <alignment horizontal="center"/>
    </xf>
    <xf numFmtId="0" fontId="4" fillId="0" borderId="30" xfId="0" applyFont="1" applyFill="1" applyBorder="1"/>
    <xf numFmtId="49" fontId="4" fillId="0" borderId="30" xfId="0" applyNumberFormat="1" applyFont="1" applyFill="1" applyBorder="1" applyAlignment="1">
      <alignment horizontal="center"/>
    </xf>
    <xf numFmtId="167" fontId="4" fillId="27" borderId="30" xfId="35" applyNumberFormat="1" applyFont="1" applyFill="1" applyBorder="1" applyAlignment="1">
      <alignment horizontal="center"/>
    </xf>
    <xf numFmtId="0" fontId="12" fillId="0" borderId="30" xfId="0" applyFont="1" applyFill="1" applyBorder="1"/>
    <xf numFmtId="49" fontId="12" fillId="0" borderId="30" xfId="0" applyNumberFormat="1" applyFont="1" applyFill="1" applyBorder="1" applyAlignment="1">
      <alignment horizontal="center"/>
    </xf>
    <xf numFmtId="167" fontId="12" fillId="27" borderId="30" xfId="35" applyNumberFormat="1" applyFont="1" applyFill="1" applyBorder="1" applyAlignment="1">
      <alignment horizontal="center"/>
    </xf>
    <xf numFmtId="10" fontId="41" fillId="0" borderId="33" xfId="0" applyNumberFormat="1" applyFont="1" applyFill="1" applyBorder="1" applyAlignment="1">
      <alignment horizontal="center" vertical="center"/>
    </xf>
    <xf numFmtId="9" fontId="41" fillId="0" borderId="33" xfId="0" applyNumberFormat="1" applyFont="1" applyFill="1" applyBorder="1" applyAlignment="1">
      <alignment horizontal="center" vertical="center"/>
    </xf>
    <xf numFmtId="9" fontId="7" fillId="0" borderId="33" xfId="0" applyNumberFormat="1" applyFont="1" applyFill="1" applyBorder="1" applyAlignment="1">
      <alignment horizontal="center" vertical="center"/>
    </xf>
    <xf numFmtId="10" fontId="41" fillId="0" borderId="35" xfId="0" applyNumberFormat="1" applyFont="1" applyFill="1" applyBorder="1" applyAlignment="1">
      <alignment horizontal="center" vertical="center"/>
    </xf>
    <xf numFmtId="0" fontId="3" fillId="27" borderId="0" xfId="0" applyFont="1" applyFill="1" applyAlignment="1">
      <alignment horizontal="center"/>
    </xf>
    <xf numFmtId="0" fontId="2" fillId="0" borderId="0" xfId="0" applyFont="1"/>
    <xf numFmtId="168" fontId="0" fillId="27" borderId="0" xfId="0" applyNumberFormat="1" applyFill="1"/>
    <xf numFmtId="167" fontId="2" fillId="27" borderId="0" xfId="0" applyNumberFormat="1" applyFont="1" applyFill="1"/>
    <xf numFmtId="164" fontId="2" fillId="0" borderId="23" xfId="38" applyNumberFormat="1" applyFont="1" applyBorder="1" applyAlignment="1">
      <alignment horizontal="center" wrapText="1"/>
    </xf>
    <xf numFmtId="172" fontId="3" fillId="0" borderId="0" xfId="0" applyNumberFormat="1" applyFont="1" applyFill="1"/>
    <xf numFmtId="167" fontId="2" fillId="27" borderId="22" xfId="31" applyNumberFormat="1" applyFont="1" applyFill="1" applyBorder="1" applyAlignment="1">
      <alignment horizontal="right"/>
    </xf>
    <xf numFmtId="167" fontId="3" fillId="27" borderId="22" xfId="31" applyNumberFormat="1" applyFont="1" applyFill="1" applyBorder="1" applyAlignment="1">
      <alignment horizontal="right"/>
    </xf>
    <xf numFmtId="0" fontId="0" fillId="0" borderId="34" xfId="0" applyBorder="1" applyAlignment="1">
      <alignment horizontal="left"/>
    </xf>
    <xf numFmtId="4" fontId="1" fillId="0" borderId="34" xfId="31" applyNumberFormat="1" applyBorder="1"/>
    <xf numFmtId="164" fontId="3" fillId="27" borderId="34" xfId="38" applyFont="1" applyFill="1" applyBorder="1"/>
    <xf numFmtId="164" fontId="3" fillId="0" borderId="34" xfId="38" applyFont="1" applyBorder="1"/>
    <xf numFmtId="0" fontId="2" fillId="0" borderId="34" xfId="0" applyFont="1" applyBorder="1" applyAlignment="1">
      <alignment horizontal="left"/>
    </xf>
    <xf numFmtId="0" fontId="2" fillId="0" borderId="34" xfId="0" applyFont="1" applyBorder="1"/>
    <xf numFmtId="164" fontId="2" fillId="27" borderId="34" xfId="38" applyFont="1" applyFill="1" applyBorder="1"/>
    <xf numFmtId="164" fontId="2" fillId="0" borderId="34" xfId="38" applyFont="1" applyBorder="1"/>
    <xf numFmtId="4" fontId="2" fillId="0" borderId="34" xfId="31" applyNumberFormat="1" applyFont="1" applyBorder="1"/>
    <xf numFmtId="0" fontId="3" fillId="0" borderId="34" xfId="0" applyFont="1" applyFill="1" applyBorder="1" applyAlignment="1">
      <alignment horizontal="left"/>
    </xf>
    <xf numFmtId="0" fontId="3" fillId="0" borderId="34" xfId="0" applyFont="1" applyBorder="1" applyAlignment="1">
      <alignment horizontal="left"/>
    </xf>
    <xf numFmtId="4" fontId="4" fillId="0" borderId="34" xfId="31" applyNumberFormat="1" applyFont="1" applyBorder="1"/>
    <xf numFmtId="0" fontId="3" fillId="0" borderId="34" xfId="0" applyFont="1" applyFill="1" applyBorder="1"/>
    <xf numFmtId="0" fontId="2" fillId="27" borderId="0" xfId="0" applyFont="1" applyFill="1" applyBorder="1" applyAlignment="1">
      <alignment horizontal="left" vertical="center" wrapText="1"/>
    </xf>
    <xf numFmtId="164" fontId="2" fillId="27" borderId="22" xfId="38" applyNumberFormat="1" applyFont="1" applyFill="1" applyBorder="1" applyAlignment="1">
      <alignment horizontal="center" wrapText="1"/>
    </xf>
    <xf numFmtId="0" fontId="3" fillId="27" borderId="20" xfId="0" applyFont="1" applyFill="1" applyBorder="1" applyAlignment="1">
      <alignment horizontal="left" vertical="center" wrapText="1"/>
    </xf>
    <xf numFmtId="164" fontId="3" fillId="27" borderId="26" xfId="38" applyNumberFormat="1" applyFont="1" applyFill="1" applyBorder="1" applyAlignment="1">
      <alignment horizontal="center" wrapText="1"/>
    </xf>
    <xf numFmtId="0" fontId="2" fillId="27" borderId="20" xfId="0" applyFont="1" applyFill="1" applyBorder="1" applyAlignment="1">
      <alignment horizontal="left" vertical="center" wrapText="1"/>
    </xf>
    <xf numFmtId="0" fontId="2" fillId="27" borderId="20" xfId="0" applyFont="1" applyFill="1" applyBorder="1" applyAlignment="1">
      <alignment horizontal="left"/>
    </xf>
    <xf numFmtId="0" fontId="0" fillId="27" borderId="0" xfId="0" applyFill="1" applyAlignment="1">
      <alignment horizontal="left"/>
    </xf>
    <xf numFmtId="49" fontId="0" fillId="27" borderId="0" xfId="0" applyNumberFormat="1" applyFill="1" applyAlignment="1">
      <alignment horizontal="left"/>
    </xf>
    <xf numFmtId="164" fontId="0" fillId="27" borderId="0" xfId="0" applyNumberFormat="1" applyFill="1" applyAlignment="1">
      <alignment horizontal="center"/>
    </xf>
    <xf numFmtId="0" fontId="3" fillId="0" borderId="20" xfId="0" applyFont="1" applyBorder="1" applyAlignment="1">
      <alignment horizontal="left"/>
    </xf>
    <xf numFmtId="4" fontId="3" fillId="0" borderId="0" xfId="31" applyNumberFormat="1" applyFont="1" applyBorder="1"/>
    <xf numFmtId="164" fontId="1" fillId="0" borderId="0" xfId="38" applyFill="1"/>
    <xf numFmtId="0" fontId="16" fillId="0" borderId="31" xfId="0" applyFont="1" applyBorder="1" applyAlignment="1">
      <alignment horizontal="center"/>
    </xf>
    <xf numFmtId="171" fontId="1" fillId="0" borderId="0" xfId="31" applyNumberFormat="1" applyFill="1"/>
    <xf numFmtId="167" fontId="1" fillId="0" borderId="46" xfId="34" applyNumberFormat="1" applyFill="1" applyBorder="1" applyAlignment="1"/>
    <xf numFmtId="1" fontId="0" fillId="0" borderId="0" xfId="0" applyNumberFormat="1" applyAlignment="1">
      <alignment horizontal="left"/>
    </xf>
    <xf numFmtId="1" fontId="0" fillId="0" borderId="0" xfId="0" applyNumberFormat="1" applyFill="1" applyAlignment="1">
      <alignment horizontal="left"/>
    </xf>
    <xf numFmtId="1" fontId="2" fillId="0" borderId="0" xfId="0" applyNumberFormat="1" applyFont="1" applyFill="1" applyBorder="1" applyAlignment="1">
      <alignment horizontal="left"/>
    </xf>
    <xf numFmtId="1" fontId="0" fillId="0" borderId="0" xfId="0" applyNumberFormat="1" applyBorder="1" applyAlignment="1">
      <alignment horizontal="left"/>
    </xf>
    <xf numFmtId="1" fontId="2" fillId="0" borderId="0" xfId="0" applyNumberFormat="1" applyFont="1" applyAlignment="1">
      <alignment horizontal="left"/>
    </xf>
    <xf numFmtId="49" fontId="6" fillId="0" borderId="14" xfId="31" applyNumberFormat="1" applyFont="1" applyFill="1" applyBorder="1" applyAlignment="1">
      <alignment horizontal="left"/>
    </xf>
    <xf numFmtId="165" fontId="2" fillId="0" borderId="18" xfId="33" applyNumberFormat="1" applyFont="1" applyFill="1" applyBorder="1" applyAlignment="1">
      <alignment vertical="center"/>
    </xf>
    <xf numFmtId="165" fontId="2" fillId="0" borderId="10" xfId="33" applyNumberFormat="1" applyFont="1" applyFill="1" applyBorder="1" applyAlignment="1">
      <alignment vertical="center"/>
    </xf>
    <xf numFmtId="165" fontId="3" fillId="0" borderId="10" xfId="33" applyNumberFormat="1" applyFont="1" applyFill="1" applyBorder="1" applyAlignment="1">
      <alignment vertical="center"/>
    </xf>
    <xf numFmtId="165" fontId="3" fillId="0" borderId="10" xfId="0" applyNumberFormat="1" applyFont="1" applyFill="1" applyBorder="1" applyAlignment="1">
      <alignment vertical="center"/>
    </xf>
    <xf numFmtId="165" fontId="2" fillId="0" borderId="10" xfId="34" applyNumberFormat="1" applyFont="1" applyFill="1" applyBorder="1" applyAlignment="1"/>
    <xf numFmtId="165" fontId="1" fillId="0" borderId="10" xfId="34" applyNumberFormat="1" applyFill="1" applyBorder="1" applyAlignment="1"/>
    <xf numFmtId="165" fontId="2" fillId="0" borderId="46" xfId="34" applyNumberFormat="1" applyFont="1" applyFill="1" applyBorder="1" applyAlignment="1"/>
    <xf numFmtId="165" fontId="3" fillId="0" borderId="10" xfId="34" applyNumberFormat="1" applyFont="1" applyFill="1" applyBorder="1" applyAlignment="1"/>
    <xf numFmtId="165" fontId="1" fillId="0" borderId="52" xfId="34" applyNumberFormat="1" applyFill="1" applyBorder="1" applyAlignment="1"/>
    <xf numFmtId="165" fontId="2" fillId="0" borderId="54" xfId="0" applyNumberFormat="1" applyFont="1" applyFill="1" applyBorder="1"/>
    <xf numFmtId="164" fontId="2" fillId="0" borderId="10" xfId="38" applyFont="1" applyFill="1" applyBorder="1"/>
    <xf numFmtId="164" fontId="3" fillId="0" borderId="46" xfId="38" applyFont="1" applyFill="1" applyBorder="1"/>
    <xf numFmtId="164" fontId="3" fillId="0" borderId="10" xfId="38" applyFont="1" applyFill="1" applyBorder="1"/>
    <xf numFmtId="164" fontId="2" fillId="0" borderId="46" xfId="38" applyFont="1" applyFill="1" applyBorder="1"/>
    <xf numFmtId="164" fontId="3" fillId="0" borderId="73" xfId="38" applyFont="1" applyFill="1" applyBorder="1"/>
    <xf numFmtId="164" fontId="2" fillId="0" borderId="38" xfId="38" applyFont="1" applyFill="1" applyBorder="1"/>
    <xf numFmtId="164" fontId="2" fillId="0" borderId="73" xfId="38" applyFont="1" applyFill="1" applyBorder="1"/>
    <xf numFmtId="164" fontId="1" fillId="0" borderId="10" xfId="38" applyFill="1" applyBorder="1"/>
    <xf numFmtId="164" fontId="1" fillId="0" borderId="46" xfId="38" applyFill="1" applyBorder="1"/>
    <xf numFmtId="164" fontId="1" fillId="0" borderId="73" xfId="38" applyFill="1" applyBorder="1"/>
    <xf numFmtId="164" fontId="1" fillId="0" borderId="38" xfId="38" applyFill="1" applyBorder="1"/>
    <xf numFmtId="164" fontId="1" fillId="0" borderId="52" xfId="38" applyFill="1" applyBorder="1"/>
    <xf numFmtId="164" fontId="1" fillId="0" borderId="76" xfId="38" applyFill="1" applyBorder="1"/>
    <xf numFmtId="164" fontId="1" fillId="0" borderId="0" xfId="38" applyFont="1" applyFill="1"/>
    <xf numFmtId="164" fontId="1" fillId="0" borderId="0" xfId="38"/>
    <xf numFmtId="0" fontId="19" fillId="0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48" fillId="0" borderId="0" xfId="0" applyFont="1" applyAlignment="1">
      <alignment horizontal="left"/>
    </xf>
    <xf numFmtId="49" fontId="49" fillId="0" borderId="31" xfId="0" applyNumberFormat="1" applyFont="1" applyFill="1" applyBorder="1" applyAlignment="1">
      <alignment horizontal="center"/>
    </xf>
    <xf numFmtId="0" fontId="3" fillId="0" borderId="17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vertical="center" wrapText="1"/>
    </xf>
    <xf numFmtId="8" fontId="3" fillId="0" borderId="18" xfId="0" applyNumberFormat="1" applyFont="1" applyFill="1" applyBorder="1" applyAlignment="1">
      <alignment horizontal="center"/>
    </xf>
    <xf numFmtId="8" fontId="3" fillId="0" borderId="19" xfId="0" applyNumberFormat="1" applyFont="1" applyFill="1" applyBorder="1" applyAlignment="1">
      <alignment horizontal="center"/>
    </xf>
    <xf numFmtId="0" fontId="3" fillId="0" borderId="51" xfId="0" applyFont="1" applyFill="1" applyBorder="1" applyAlignment="1">
      <alignment vertical="center" wrapText="1"/>
    </xf>
    <xf numFmtId="0" fontId="3" fillId="0" borderId="52" xfId="0" applyFont="1" applyFill="1" applyBorder="1" applyAlignment="1">
      <alignment vertical="center" wrapText="1"/>
    </xf>
    <xf numFmtId="49" fontId="3" fillId="0" borderId="52" xfId="0" applyNumberFormat="1" applyFont="1" applyFill="1" applyBorder="1" applyAlignment="1">
      <alignment horizontal="center"/>
    </xf>
    <xf numFmtId="8" fontId="3" fillId="0" borderId="52" xfId="0" applyNumberFormat="1" applyFont="1" applyFill="1" applyBorder="1" applyAlignment="1">
      <alignment horizontal="center"/>
    </xf>
    <xf numFmtId="8" fontId="3" fillId="0" borderId="40" xfId="0" applyNumberFormat="1" applyFont="1" applyFill="1" applyBorder="1" applyAlignment="1">
      <alignment horizontal="center"/>
    </xf>
    <xf numFmtId="8" fontId="2" fillId="0" borderId="18" xfId="0" applyNumberFormat="1" applyFont="1" applyFill="1" applyBorder="1" applyAlignment="1">
      <alignment horizontal="center"/>
    </xf>
    <xf numFmtId="8" fontId="2" fillId="0" borderId="0" xfId="0" applyNumberFormat="1" applyFont="1" applyFill="1" applyBorder="1" applyAlignment="1">
      <alignment horizontal="center"/>
    </xf>
    <xf numFmtId="8" fontId="2" fillId="0" borderId="28" xfId="0" applyNumberFormat="1" applyFont="1" applyFill="1" applyBorder="1" applyAlignment="1">
      <alignment horizontal="center"/>
    </xf>
    <xf numFmtId="8" fontId="2" fillId="0" borderId="29" xfId="0" applyNumberFormat="1" applyFont="1" applyFill="1" applyBorder="1" applyAlignment="1">
      <alignment horizontal="center"/>
    </xf>
    <xf numFmtId="8" fontId="2" fillId="0" borderId="87" xfId="0" applyNumberFormat="1" applyFont="1" applyFill="1" applyBorder="1" applyAlignment="1">
      <alignment horizontal="center"/>
    </xf>
    <xf numFmtId="8" fontId="2" fillId="0" borderId="54" xfId="0" applyNumberFormat="1" applyFont="1" applyFill="1" applyBorder="1" applyAlignment="1">
      <alignment horizontal="center"/>
    </xf>
    <xf numFmtId="8" fontId="2" fillId="0" borderId="55" xfId="0" applyNumberFormat="1" applyFont="1" applyFill="1" applyBorder="1" applyAlignment="1">
      <alignment horizontal="center"/>
    </xf>
    <xf numFmtId="0" fontId="12" fillId="0" borderId="26" xfId="0" applyFont="1" applyFill="1" applyBorder="1" applyAlignment="1">
      <alignment wrapText="1"/>
    </xf>
    <xf numFmtId="0" fontId="56" fillId="0" borderId="0" xfId="0" applyFont="1"/>
    <xf numFmtId="164" fontId="56" fillId="0" borderId="0" xfId="38" applyFont="1" applyAlignment="1">
      <alignment horizontal="center"/>
    </xf>
    <xf numFmtId="0" fontId="2" fillId="0" borderId="0" xfId="0" applyFont="1" applyFill="1" applyAlignment="1">
      <alignment horizontal="center"/>
    </xf>
    <xf numFmtId="174" fontId="0" fillId="0" borderId="0" xfId="0" applyNumberFormat="1"/>
    <xf numFmtId="174" fontId="2" fillId="0" borderId="13" xfId="0" applyNumberFormat="1" applyFont="1" applyBorder="1"/>
    <xf numFmtId="174" fontId="0" fillId="0" borderId="15" xfId="0" applyNumberFormat="1" applyFill="1" applyBorder="1"/>
    <xf numFmtId="174" fontId="2" fillId="0" borderId="30" xfId="0" applyNumberFormat="1" applyFont="1" applyBorder="1"/>
    <xf numFmtId="174" fontId="0" fillId="0" borderId="0" xfId="0" applyNumberFormat="1" applyFill="1"/>
    <xf numFmtId="174" fontId="3" fillId="0" borderId="26" xfId="31" applyNumberFormat="1" applyFont="1" applyBorder="1"/>
    <xf numFmtId="174" fontId="3" fillId="0" borderId="27" xfId="31" applyNumberFormat="1" applyFont="1" applyBorder="1"/>
    <xf numFmtId="174" fontId="2" fillId="0" borderId="21" xfId="31" applyNumberFormat="1" applyFont="1" applyBorder="1"/>
    <xf numFmtId="174" fontId="3" fillId="0" borderId="21" xfId="31" applyNumberFormat="1" applyFont="1" applyBorder="1"/>
    <xf numFmtId="174" fontId="2" fillId="0" borderId="22" xfId="38" applyNumberFormat="1" applyFont="1" applyBorder="1" applyAlignment="1">
      <alignment horizontal="center" wrapText="1"/>
    </xf>
    <xf numFmtId="174" fontId="2" fillId="0" borderId="21" xfId="38" applyNumberFormat="1" applyFont="1" applyBorder="1" applyAlignment="1">
      <alignment horizontal="center" wrapText="1"/>
    </xf>
    <xf numFmtId="174" fontId="2" fillId="27" borderId="22" xfId="31" applyNumberFormat="1" applyFont="1" applyFill="1" applyBorder="1" applyAlignment="1">
      <alignment horizontal="right"/>
    </xf>
    <xf numFmtId="174" fontId="2" fillId="0" borderId="22" xfId="31" applyNumberFormat="1" applyFont="1" applyBorder="1" applyAlignment="1">
      <alignment horizontal="right"/>
    </xf>
    <xf numFmtId="174" fontId="2" fillId="0" borderId="21" xfId="31" applyNumberFormat="1" applyFont="1" applyBorder="1" applyAlignment="1">
      <alignment horizontal="right"/>
    </xf>
    <xf numFmtId="174" fontId="3" fillId="27" borderId="22" xfId="31" applyNumberFormat="1" applyFont="1" applyFill="1" applyBorder="1" applyAlignment="1">
      <alignment horizontal="right"/>
    </xf>
    <xf numFmtId="174" fontId="3" fillId="0" borderId="22" xfId="31" applyNumberFormat="1" applyFont="1" applyBorder="1" applyAlignment="1">
      <alignment horizontal="right"/>
    </xf>
    <xf numFmtId="174" fontId="3" fillId="0" borderId="21" xfId="31" applyNumberFormat="1" applyFont="1" applyBorder="1" applyAlignment="1">
      <alignment horizontal="right"/>
    </xf>
    <xf numFmtId="174" fontId="2" fillId="0" borderId="54" xfId="31" applyNumberFormat="1" applyFont="1" applyFill="1" applyBorder="1" applyAlignment="1">
      <alignment horizontal="right"/>
    </xf>
    <xf numFmtId="174" fontId="2" fillId="0" borderId="54" xfId="31" applyNumberFormat="1" applyFont="1" applyBorder="1" applyAlignment="1">
      <alignment horizontal="right"/>
    </xf>
    <xf numFmtId="174" fontId="2" fillId="0" borderId="55" xfId="31" applyNumberFormat="1" applyFont="1" applyBorder="1" applyAlignment="1">
      <alignment horizontal="right"/>
    </xf>
    <xf numFmtId="167" fontId="3" fillId="0" borderId="10" xfId="0" applyNumberFormat="1" applyFont="1" applyFill="1" applyBorder="1"/>
    <xf numFmtId="167" fontId="3" fillId="0" borderId="36" xfId="0" applyNumberFormat="1" applyFont="1" applyFill="1" applyBorder="1"/>
    <xf numFmtId="167" fontId="2" fillId="0" borderId="92" xfId="31" applyNumberFormat="1" applyFont="1" applyFill="1" applyBorder="1"/>
    <xf numFmtId="4" fontId="11" fillId="0" borderId="0" xfId="31" applyNumberFormat="1" applyFont="1" applyBorder="1" applyAlignment="1">
      <alignment horizontal="left"/>
    </xf>
    <xf numFmtId="164" fontId="11" fillId="0" borderId="0" xfId="38" applyFont="1" applyBorder="1" applyAlignment="1">
      <alignment horizontal="left"/>
    </xf>
    <xf numFmtId="164" fontId="2" fillId="0" borderId="115" xfId="38" applyFont="1" applyFill="1" applyBorder="1"/>
    <xf numFmtId="167" fontId="2" fillId="0" borderId="115" xfId="31" applyNumberFormat="1" applyFont="1" applyFill="1" applyBorder="1"/>
    <xf numFmtId="167" fontId="2" fillId="0" borderId="117" xfId="31" applyNumberFormat="1" applyFont="1" applyFill="1" applyBorder="1"/>
    <xf numFmtId="167" fontId="8" fillId="0" borderId="117" xfId="31" applyNumberFormat="1" applyFont="1" applyFill="1" applyBorder="1"/>
    <xf numFmtId="167" fontId="8" fillId="0" borderId="114" xfId="31" applyNumberFormat="1" applyFont="1" applyFill="1" applyBorder="1"/>
    <xf numFmtId="167" fontId="8" fillId="0" borderId="115" xfId="31" applyNumberFormat="1" applyFont="1" applyFill="1" applyBorder="1"/>
    <xf numFmtId="167" fontId="8" fillId="0" borderId="116" xfId="31" applyNumberFormat="1" applyFont="1" applyFill="1" applyBorder="1"/>
    <xf numFmtId="167" fontId="8" fillId="0" borderId="113" xfId="31" applyNumberFormat="1" applyFont="1" applyFill="1" applyBorder="1"/>
    <xf numFmtId="167" fontId="2" fillId="0" borderId="118" xfId="31" applyNumberFormat="1" applyFont="1" applyFill="1" applyBorder="1"/>
    <xf numFmtId="167" fontId="2" fillId="0" borderId="119" xfId="31" applyNumberFormat="1" applyFont="1" applyFill="1" applyBorder="1"/>
    <xf numFmtId="167" fontId="3" fillId="0" borderId="119" xfId="31" applyNumberFormat="1" applyFont="1" applyFill="1" applyBorder="1"/>
    <xf numFmtId="167" fontId="1" fillId="0" borderId="40" xfId="31" applyNumberFormat="1" applyFill="1" applyBorder="1"/>
    <xf numFmtId="167" fontId="2" fillId="27" borderId="122" xfId="31" applyNumberFormat="1" applyFont="1" applyFill="1" applyBorder="1"/>
    <xf numFmtId="167" fontId="1" fillId="27" borderId="124" xfId="31" applyNumberFormat="1" applyFill="1" applyBorder="1"/>
    <xf numFmtId="167" fontId="1" fillId="27" borderId="123" xfId="31" applyNumberFormat="1" applyFill="1" applyBorder="1"/>
    <xf numFmtId="167" fontId="2" fillId="27" borderId="125" xfId="31" applyNumberFormat="1" applyFont="1" applyFill="1" applyBorder="1"/>
    <xf numFmtId="0" fontId="7" fillId="0" borderId="129" xfId="0" applyFont="1" applyFill="1" applyBorder="1" applyAlignment="1">
      <alignment horizontal="left"/>
    </xf>
    <xf numFmtId="0" fontId="7" fillId="0" borderId="91" xfId="0" applyFont="1" applyFill="1" applyBorder="1" applyAlignment="1">
      <alignment horizontal="left"/>
    </xf>
    <xf numFmtId="49" fontId="6" fillId="0" borderId="91" xfId="31" applyNumberFormat="1" applyFont="1" applyFill="1" applyBorder="1" applyAlignment="1">
      <alignment horizontal="left"/>
    </xf>
    <xf numFmtId="0" fontId="6" fillId="0" borderId="91" xfId="0" applyFont="1" applyFill="1" applyBorder="1" applyAlignment="1">
      <alignment horizontal="left"/>
    </xf>
    <xf numFmtId="49" fontId="7" fillId="0" borderId="91" xfId="31" applyNumberFormat="1" applyFont="1" applyFill="1" applyBorder="1" applyAlignment="1">
      <alignment horizontal="left"/>
    </xf>
    <xf numFmtId="0" fontId="7" fillId="0" borderId="91" xfId="0" applyFont="1" applyBorder="1" applyAlignment="1">
      <alignment horizontal="left"/>
    </xf>
    <xf numFmtId="0" fontId="6" fillId="0" borderId="91" xfId="0" applyFont="1" applyBorder="1" applyAlignment="1">
      <alignment horizontal="left"/>
    </xf>
    <xf numFmtId="0" fontId="5" fillId="0" borderId="91" xfId="0" applyFont="1" applyFill="1" applyBorder="1" applyAlignment="1">
      <alignment horizontal="left"/>
    </xf>
    <xf numFmtId="0" fontId="6" fillId="0" borderId="130" xfId="0" applyFont="1" applyFill="1" applyBorder="1" applyAlignment="1">
      <alignment horizontal="left"/>
    </xf>
    <xf numFmtId="49" fontId="1" fillId="27" borderId="131" xfId="31" applyNumberFormat="1" applyFill="1" applyBorder="1" applyAlignment="1">
      <alignment horizontal="left"/>
    </xf>
    <xf numFmtId="0" fontId="7" fillId="0" borderId="136" xfId="0" applyFont="1" applyFill="1" applyBorder="1" applyAlignment="1">
      <alignment horizontal="left"/>
    </xf>
    <xf numFmtId="0" fontId="7" fillId="0" borderId="137" xfId="0" applyFont="1" applyFill="1" applyBorder="1" applyAlignment="1">
      <alignment horizontal="left"/>
    </xf>
    <xf numFmtId="4" fontId="6" fillId="0" borderId="137" xfId="31" applyNumberFormat="1" applyFont="1" applyFill="1" applyBorder="1" applyAlignment="1"/>
    <xf numFmtId="0" fontId="6" fillId="0" borderId="137" xfId="0" applyFont="1" applyFill="1" applyBorder="1" applyAlignment="1"/>
    <xf numFmtId="4" fontId="7" fillId="0" borderId="137" xfId="31" applyNumberFormat="1" applyFont="1" applyFill="1" applyBorder="1" applyAlignment="1"/>
    <xf numFmtId="0" fontId="5" fillId="0" borderId="137" xfId="0" applyFont="1" applyFill="1" applyBorder="1" applyAlignment="1"/>
    <xf numFmtId="0" fontId="7" fillId="0" borderId="137" xfId="0" applyFont="1" applyFill="1" applyBorder="1" applyAlignment="1"/>
    <xf numFmtId="0" fontId="6" fillId="0" borderId="137" xfId="0" applyFont="1" applyFill="1" applyBorder="1"/>
    <xf numFmtId="0" fontId="7" fillId="0" borderId="137" xfId="0" applyFont="1" applyFill="1" applyBorder="1"/>
    <xf numFmtId="0" fontId="7" fillId="0" borderId="137" xfId="0" applyFont="1" applyBorder="1"/>
    <xf numFmtId="0" fontId="6" fillId="0" borderId="137" xfId="0" applyFont="1" applyBorder="1"/>
    <xf numFmtId="0" fontId="5" fillId="0" borderId="137" xfId="0" applyFont="1" applyFill="1" applyBorder="1"/>
    <xf numFmtId="4" fontId="7" fillId="0" borderId="137" xfId="31" applyNumberFormat="1" applyFont="1" applyFill="1" applyBorder="1"/>
    <xf numFmtId="4" fontId="6" fillId="0" borderId="137" xfId="31" applyNumberFormat="1" applyFont="1" applyFill="1" applyBorder="1"/>
    <xf numFmtId="0" fontId="7" fillId="0" borderId="137" xfId="0" applyFont="1" applyFill="1" applyBorder="1" applyAlignment="1">
      <alignment vertical="justify" wrapText="1"/>
    </xf>
    <xf numFmtId="0" fontId="6" fillId="0" borderId="138" xfId="0" applyFont="1" applyFill="1" applyBorder="1"/>
    <xf numFmtId="4" fontId="2" fillId="27" borderId="101" xfId="31" applyNumberFormat="1" applyFont="1" applyFill="1" applyBorder="1" applyAlignment="1">
      <alignment horizontal="center"/>
    </xf>
    <xf numFmtId="167" fontId="3" fillId="0" borderId="92" xfId="31" applyNumberFormat="1" applyFont="1" applyFill="1" applyBorder="1"/>
    <xf numFmtId="167" fontId="1" fillId="0" borderId="92" xfId="31" applyNumberFormat="1" applyFill="1" applyBorder="1"/>
    <xf numFmtId="164" fontId="2" fillId="0" borderId="112" xfId="38" applyFont="1" applyFill="1" applyBorder="1"/>
    <xf numFmtId="164" fontId="2" fillId="0" borderId="142" xfId="38" applyFont="1" applyFill="1" applyBorder="1"/>
    <xf numFmtId="164" fontId="2" fillId="0" borderId="143" xfId="38" applyFont="1" applyFill="1" applyBorder="1"/>
    <xf numFmtId="164" fontId="2" fillId="0" borderId="61" xfId="38" applyFont="1" applyFill="1" applyBorder="1"/>
    <xf numFmtId="164" fontId="3" fillId="0" borderId="62" xfId="38" applyFont="1" applyFill="1" applyBorder="1"/>
    <xf numFmtId="164" fontId="3" fillId="0" borderId="61" xfId="38" applyFont="1" applyFill="1" applyBorder="1"/>
    <xf numFmtId="164" fontId="2" fillId="0" borderId="144" xfId="38" applyFont="1" applyFill="1" applyBorder="1"/>
    <xf numFmtId="164" fontId="3" fillId="0" borderId="143" xfId="38" applyFont="1" applyFill="1" applyBorder="1"/>
    <xf numFmtId="164" fontId="3" fillId="0" borderId="145" xfId="38" applyFont="1" applyFill="1" applyBorder="1"/>
    <xf numFmtId="164" fontId="2" fillId="0" borderId="145" xfId="38" applyFont="1" applyFill="1" applyBorder="1"/>
    <xf numFmtId="164" fontId="3" fillId="0" borderId="63" xfId="38" applyFont="1" applyFill="1" applyBorder="1"/>
    <xf numFmtId="164" fontId="2" fillId="0" borderId="91" xfId="38" applyFont="1" applyFill="1" applyBorder="1"/>
    <xf numFmtId="164" fontId="1" fillId="0" borderId="91" xfId="38" applyFill="1" applyBorder="1"/>
    <xf numFmtId="164" fontId="1" fillId="0" borderId="93" xfId="38" applyFill="1" applyBorder="1"/>
    <xf numFmtId="164" fontId="2" fillId="0" borderId="93" xfId="38" applyFont="1" applyFill="1" applyBorder="1"/>
    <xf numFmtId="164" fontId="3" fillId="0" borderId="91" xfId="38" applyFont="1" applyFill="1" applyBorder="1"/>
    <xf numFmtId="164" fontId="3" fillId="0" borderId="93" xfId="38" applyFont="1" applyFill="1" applyBorder="1"/>
    <xf numFmtId="164" fontId="1" fillId="0" borderId="62" xfId="38" applyFill="1" applyBorder="1"/>
    <xf numFmtId="164" fontId="1" fillId="0" borderId="63" xfId="38" applyFill="1" applyBorder="1"/>
    <xf numFmtId="164" fontId="1" fillId="0" borderId="81" xfId="38" applyFill="1" applyBorder="1"/>
    <xf numFmtId="164" fontId="1" fillId="0" borderId="64" xfId="38" applyFill="1" applyBorder="1"/>
    <xf numFmtId="167" fontId="2" fillId="27" borderId="124" xfId="31" applyNumberFormat="1" applyFont="1" applyFill="1" applyBorder="1"/>
    <xf numFmtId="167" fontId="2" fillId="0" borderId="112" xfId="31" applyNumberFormat="1" applyFont="1" applyFill="1" applyBorder="1"/>
    <xf numFmtId="167" fontId="2" fillId="0" borderId="142" xfId="31" applyNumberFormat="1" applyFont="1" applyFill="1" applyBorder="1"/>
    <xf numFmtId="167" fontId="2" fillId="0" borderId="91" xfId="31" applyNumberFormat="1" applyFont="1" applyFill="1" applyBorder="1"/>
    <xf numFmtId="167" fontId="2" fillId="0" borderId="63" xfId="31" applyNumberFormat="1" applyFont="1" applyFill="1" applyBorder="1"/>
    <xf numFmtId="167" fontId="3" fillId="0" borderId="91" xfId="31" applyNumberFormat="1" applyFont="1" applyFill="1" applyBorder="1"/>
    <xf numFmtId="167" fontId="3" fillId="0" borderId="63" xfId="31" applyNumberFormat="1" applyFont="1" applyFill="1" applyBorder="1"/>
    <xf numFmtId="4" fontId="2" fillId="0" borderId="62" xfId="31" applyNumberFormat="1" applyFont="1" applyFill="1" applyBorder="1"/>
    <xf numFmtId="167" fontId="3" fillId="0" borderId="62" xfId="31" applyNumberFormat="1" applyFont="1" applyFill="1" applyBorder="1"/>
    <xf numFmtId="167" fontId="2" fillId="0" borderId="62" xfId="31" applyNumberFormat="1" applyFont="1" applyFill="1" applyBorder="1"/>
    <xf numFmtId="167" fontId="1" fillId="0" borderId="62" xfId="31" applyNumberFormat="1" applyFill="1" applyBorder="1"/>
    <xf numFmtId="167" fontId="1" fillId="0" borderId="91" xfId="31" applyNumberFormat="1" applyFill="1" applyBorder="1"/>
    <xf numFmtId="167" fontId="2" fillId="0" borderId="145" xfId="31" applyNumberFormat="1" applyFont="1" applyFill="1" applyBorder="1"/>
    <xf numFmtId="167" fontId="1" fillId="0" borderId="81" xfId="31" applyNumberFormat="1" applyFill="1" applyBorder="1"/>
    <xf numFmtId="167" fontId="2" fillId="0" borderId="150" xfId="31" applyNumberFormat="1" applyFont="1" applyFill="1" applyBorder="1"/>
    <xf numFmtId="167" fontId="2" fillId="27" borderId="120" xfId="31" applyNumberFormat="1" applyFont="1" applyFill="1" applyBorder="1"/>
    <xf numFmtId="167" fontId="2" fillId="27" borderId="151" xfId="31" applyNumberFormat="1" applyFont="1" applyFill="1" applyBorder="1"/>
    <xf numFmtId="167" fontId="3" fillId="0" borderId="64" xfId="31" applyNumberFormat="1" applyFont="1" applyFill="1" applyBorder="1"/>
    <xf numFmtId="167" fontId="2" fillId="0" borderId="147" xfId="31" applyNumberFormat="1" applyFont="1" applyFill="1" applyBorder="1"/>
    <xf numFmtId="167" fontId="3" fillId="0" borderId="92" xfId="0" applyNumberFormat="1" applyFont="1" applyFill="1" applyBorder="1"/>
    <xf numFmtId="167" fontId="1" fillId="0" borderId="97" xfId="31" applyNumberFormat="1" applyFill="1" applyBorder="1"/>
    <xf numFmtId="167" fontId="2" fillId="27" borderId="154" xfId="31" applyNumberFormat="1" applyFont="1" applyFill="1" applyBorder="1"/>
    <xf numFmtId="167" fontId="3" fillId="0" borderId="62" xfId="0" applyNumberFormat="1" applyFont="1" applyFill="1" applyBorder="1"/>
    <xf numFmtId="167" fontId="1" fillId="0" borderId="63" xfId="31" applyNumberFormat="1" applyFill="1" applyBorder="1"/>
    <xf numFmtId="167" fontId="1" fillId="0" borderId="64" xfId="31" applyNumberFormat="1" applyFill="1" applyBorder="1"/>
    <xf numFmtId="167" fontId="2" fillId="27" borderId="146" xfId="31" applyNumberFormat="1" applyFont="1" applyFill="1" applyBorder="1"/>
    <xf numFmtId="167" fontId="1" fillId="27" borderId="121" xfId="31" applyNumberFormat="1" applyFill="1" applyBorder="1"/>
    <xf numFmtId="4" fontId="2" fillId="0" borderId="134" xfId="31" applyNumberFormat="1" applyFont="1" applyBorder="1" applyAlignment="1">
      <alignment horizontal="center"/>
    </xf>
    <xf numFmtId="167" fontId="2" fillId="0" borderId="136" xfId="31" applyNumberFormat="1" applyFont="1" applyFill="1" applyBorder="1"/>
    <xf numFmtId="167" fontId="2" fillId="0" borderId="155" xfId="31" applyNumberFormat="1" applyFont="1" applyFill="1" applyBorder="1"/>
    <xf numFmtId="167" fontId="3" fillId="0" borderId="155" xfId="31" applyNumberFormat="1" applyFont="1" applyFill="1" applyBorder="1"/>
    <xf numFmtId="167" fontId="2" fillId="0" borderId="134" xfId="31" applyNumberFormat="1" applyFont="1" applyFill="1" applyBorder="1"/>
    <xf numFmtId="167" fontId="2" fillId="27" borderId="101" xfId="31" applyNumberFormat="1" applyFont="1" applyFill="1" applyBorder="1"/>
    <xf numFmtId="8" fontId="2" fillId="0" borderId="19" xfId="0" applyNumberFormat="1" applyFont="1" applyFill="1" applyBorder="1" applyAlignment="1">
      <alignment horizontal="center"/>
    </xf>
    <xf numFmtId="0" fontId="56" fillId="27" borderId="20" xfId="0" applyFont="1" applyFill="1" applyBorder="1" applyAlignment="1">
      <alignment horizontal="left" vertical="center" wrapText="1"/>
    </xf>
    <xf numFmtId="0" fontId="56" fillId="0" borderId="25" xfId="0" applyFont="1" applyBorder="1" applyAlignment="1">
      <alignment horizontal="left"/>
    </xf>
    <xf numFmtId="49" fontId="3" fillId="0" borderId="20" xfId="0" applyNumberFormat="1" applyFont="1" applyFill="1" applyBorder="1"/>
    <xf numFmtId="49" fontId="3" fillId="0" borderId="34" xfId="0" applyNumberFormat="1" applyFont="1" applyFill="1" applyBorder="1"/>
    <xf numFmtId="49" fontId="3" fillId="0" borderId="0" xfId="0" applyNumberFormat="1" applyFont="1" applyFill="1" applyBorder="1"/>
    <xf numFmtId="0" fontId="3" fillId="0" borderId="21" xfId="0" applyFont="1" applyFill="1" applyBorder="1"/>
    <xf numFmtId="49" fontId="3" fillId="0" borderId="44" xfId="0" applyNumberFormat="1" applyFont="1" applyFill="1" applyBorder="1"/>
    <xf numFmtId="49" fontId="3" fillId="0" borderId="35" xfId="0" applyNumberFormat="1" applyFont="1" applyFill="1" applyBorder="1"/>
    <xf numFmtId="49" fontId="3" fillId="0" borderId="31" xfId="0" applyNumberFormat="1" applyFont="1" applyFill="1" applyBorder="1"/>
    <xf numFmtId="164" fontId="3" fillId="0" borderId="35" xfId="38" applyFont="1" applyFill="1" applyBorder="1"/>
    <xf numFmtId="174" fontId="3" fillId="0" borderId="0" xfId="0" applyNumberFormat="1" applyFont="1" applyFill="1"/>
    <xf numFmtId="49" fontId="1" fillId="0" borderId="18" xfId="0" applyNumberFormat="1" applyFont="1" applyFill="1" applyBorder="1" applyAlignment="1">
      <alignment horizontal="center"/>
    </xf>
    <xf numFmtId="173" fontId="1" fillId="0" borderId="10" xfId="0" applyNumberFormat="1" applyFont="1" applyFill="1" applyBorder="1"/>
    <xf numFmtId="173" fontId="3" fillId="0" borderId="38" xfId="0" applyNumberFormat="1" applyFont="1" applyFill="1" applyBorder="1"/>
    <xf numFmtId="174" fontId="3" fillId="27" borderId="0" xfId="0" applyNumberFormat="1" applyFont="1" applyFill="1"/>
    <xf numFmtId="164" fontId="3" fillId="0" borderId="0" xfId="38" applyFont="1"/>
    <xf numFmtId="164" fontId="3" fillId="0" borderId="0" xfId="0" applyNumberFormat="1" applyFont="1"/>
    <xf numFmtId="0" fontId="57" fillId="0" borderId="0" xfId="0" applyFont="1"/>
    <xf numFmtId="168" fontId="2" fillId="27" borderId="0" xfId="0" applyNumberFormat="1" applyFont="1" applyFill="1"/>
    <xf numFmtId="174" fontId="2" fillId="0" borderId="18" xfId="0" applyNumberFormat="1" applyFont="1" applyFill="1" applyBorder="1"/>
    <xf numFmtId="174" fontId="2" fillId="0" borderId="10" xfId="0" applyNumberFormat="1" applyFont="1" applyFill="1" applyBorder="1"/>
    <xf numFmtId="174" fontId="3" fillId="0" borderId="10" xfId="0" applyNumberFormat="1" applyFont="1" applyFill="1" applyBorder="1"/>
    <xf numFmtId="174" fontId="3" fillId="0" borderId="77" xfId="0" applyNumberFormat="1" applyFont="1" applyFill="1" applyBorder="1"/>
    <xf numFmtId="174" fontId="3" fillId="0" borderId="80" xfId="0" applyNumberFormat="1" applyFont="1" applyFill="1" applyBorder="1"/>
    <xf numFmtId="174" fontId="3" fillId="0" borderId="158" xfId="0" applyNumberFormat="1" applyFont="1" applyFill="1" applyBorder="1"/>
    <xf numFmtId="174" fontId="2" fillId="0" borderId="46" xfId="0" applyNumberFormat="1" applyFont="1" applyFill="1" applyBorder="1"/>
    <xf numFmtId="174" fontId="2" fillId="0" borderId="11" xfId="0" applyNumberFormat="1" applyFont="1" applyFill="1" applyBorder="1"/>
    <xf numFmtId="164" fontId="1" fillId="0" borderId="91" xfId="38" applyFont="1" applyFill="1" applyBorder="1"/>
    <xf numFmtId="164" fontId="1" fillId="0" borderId="10" xfId="38" applyFont="1" applyFill="1" applyBorder="1"/>
    <xf numFmtId="164" fontId="1" fillId="0" borderId="46" xfId="38" applyFont="1" applyFill="1" applyBorder="1"/>
    <xf numFmtId="164" fontId="1" fillId="0" borderId="73" xfId="38" applyFont="1" applyFill="1" applyBorder="1"/>
    <xf numFmtId="167" fontId="1" fillId="0" borderId="62" xfId="31" applyNumberFormat="1" applyFont="1" applyFill="1" applyBorder="1"/>
    <xf numFmtId="167" fontId="1" fillId="0" borderId="10" xfId="31" applyNumberFormat="1" applyFont="1" applyFill="1" applyBorder="1"/>
    <xf numFmtId="167" fontId="1" fillId="0" borderId="63" xfId="31" applyNumberFormat="1" applyFont="1" applyFill="1" applyBorder="1"/>
    <xf numFmtId="167" fontId="1" fillId="0" borderId="92" xfId="31" applyNumberFormat="1" applyFont="1" applyFill="1" applyBorder="1"/>
    <xf numFmtId="167" fontId="1" fillId="0" borderId="119" xfId="31" applyNumberFormat="1" applyFont="1" applyFill="1" applyBorder="1"/>
    <xf numFmtId="167" fontId="1" fillId="0" borderId="12" xfId="31" applyNumberFormat="1" applyFont="1" applyFill="1" applyBorder="1"/>
    <xf numFmtId="167" fontId="1" fillId="0" borderId="13" xfId="31" applyNumberFormat="1" applyFont="1" applyFill="1" applyBorder="1"/>
    <xf numFmtId="167" fontId="1" fillId="0" borderId="38" xfId="31" applyNumberFormat="1" applyFont="1" applyFill="1" applyBorder="1"/>
    <xf numFmtId="171" fontId="2" fillId="0" borderId="0" xfId="31" applyNumberFormat="1" applyFont="1" applyFill="1"/>
    <xf numFmtId="171" fontId="1" fillId="0" borderId="0" xfId="31" applyNumberFormat="1" applyFont="1" applyFill="1"/>
    <xf numFmtId="49" fontId="1" fillId="0" borderId="0" xfId="31" applyNumberFormat="1" applyFont="1" applyAlignment="1">
      <alignment horizontal="left"/>
    </xf>
    <xf numFmtId="4" fontId="1" fillId="0" borderId="0" xfId="31" applyNumberFormat="1" applyFont="1"/>
    <xf numFmtId="174" fontId="1" fillId="0" borderId="0" xfId="31" applyNumberFormat="1" applyFont="1"/>
    <xf numFmtId="174" fontId="1" fillId="0" borderId="0" xfId="31" applyNumberFormat="1" applyFont="1" applyBorder="1"/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4" fontId="3" fillId="0" borderId="0" xfId="31" applyNumberFormat="1" applyFont="1" applyFill="1" applyBorder="1" applyAlignment="1">
      <alignment wrapText="1"/>
    </xf>
    <xf numFmtId="4" fontId="2" fillId="0" borderId="0" xfId="31" applyNumberFormat="1" applyFont="1" applyFill="1" applyBorder="1"/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4" fontId="3" fillId="0" borderId="0" xfId="31" applyNumberFormat="1" applyFont="1" applyFill="1" applyBorder="1"/>
    <xf numFmtId="0" fontId="1" fillId="0" borderId="0" xfId="0" applyFont="1" applyFill="1" applyBorder="1" applyAlignment="1">
      <alignment horizontal="left" vertical="center" wrapText="1"/>
    </xf>
    <xf numFmtId="0" fontId="56" fillId="0" borderId="0" xfId="0" applyFont="1" applyFill="1" applyAlignment="1">
      <alignment horizontal="right"/>
    </xf>
    <xf numFmtId="165" fontId="56" fillId="0" borderId="0" xfId="0" applyNumberFormat="1" applyFont="1" applyFill="1"/>
    <xf numFmtId="0" fontId="56" fillId="0" borderId="0" xfId="0" applyFont="1" applyFill="1"/>
    <xf numFmtId="0" fontId="3" fillId="25" borderId="63" xfId="0" applyFont="1" applyFill="1" applyBorder="1" applyAlignment="1">
      <alignment horizontal="justify" vertical="top" wrapText="1"/>
    </xf>
    <xf numFmtId="0" fontId="0" fillId="25" borderId="63" xfId="0" applyFill="1" applyBorder="1" applyAlignment="1">
      <alignment horizontal="justify" vertical="top" wrapText="1"/>
    </xf>
    <xf numFmtId="0" fontId="58" fillId="27" borderId="66" xfId="0" applyFont="1" applyFill="1" applyBorder="1" applyAlignment="1">
      <alignment horizontal="center" vertical="center" wrapText="1"/>
    </xf>
    <xf numFmtId="0" fontId="58" fillId="27" borderId="56" xfId="0" applyFont="1" applyFill="1" applyBorder="1" applyAlignment="1">
      <alignment horizontal="center" vertical="center" wrapText="1"/>
    </xf>
    <xf numFmtId="0" fontId="58" fillId="27" borderId="55" xfId="0" applyFont="1" applyFill="1" applyBorder="1" applyAlignment="1">
      <alignment horizontal="center" vertical="center" wrapText="1"/>
    </xf>
    <xf numFmtId="4" fontId="3" fillId="27" borderId="0" xfId="31" applyNumberFormat="1" applyFont="1" applyFill="1" applyBorder="1" applyAlignment="1">
      <alignment vertical="center" wrapText="1"/>
    </xf>
    <xf numFmtId="174" fontId="3" fillId="0" borderId="22" xfId="31" applyNumberFormat="1" applyFont="1" applyBorder="1" applyAlignment="1">
      <alignment vertical="center"/>
    </xf>
    <xf numFmtId="174" fontId="3" fillId="27" borderId="22" xfId="38" applyNumberFormat="1" applyFont="1" applyFill="1" applyBorder="1" applyAlignment="1">
      <alignment horizontal="center" vertical="center" wrapText="1"/>
    </xf>
    <xf numFmtId="174" fontId="3" fillId="0" borderId="21" xfId="31" applyNumberFormat="1" applyFont="1" applyBorder="1" applyAlignment="1">
      <alignment vertical="center"/>
    </xf>
    <xf numFmtId="4" fontId="2" fillId="0" borderId="133" xfId="31" applyNumberFormat="1" applyFont="1" applyBorder="1" applyAlignment="1">
      <alignment horizontal="center"/>
    </xf>
    <xf numFmtId="4" fontId="2" fillId="0" borderId="31" xfId="31" applyNumberFormat="1" applyFont="1" applyBorder="1" applyAlignment="1"/>
    <xf numFmtId="4" fontId="2" fillId="0" borderId="140" xfId="31" applyNumberFormat="1" applyFont="1" applyBorder="1" applyAlignment="1"/>
    <xf numFmtId="4" fontId="2" fillId="0" borderId="32" xfId="31" applyNumberFormat="1" applyFont="1" applyBorder="1" applyAlignment="1">
      <alignment horizontal="center"/>
    </xf>
    <xf numFmtId="4" fontId="2" fillId="0" borderId="0" xfId="31" applyNumberFormat="1" applyFont="1" applyBorder="1" applyAlignment="1">
      <alignment horizontal="center"/>
    </xf>
    <xf numFmtId="4" fontId="4" fillId="0" borderId="10" xfId="31" applyNumberFormat="1" applyFont="1" applyBorder="1" applyAlignment="1">
      <alignment horizontal="center"/>
    </xf>
    <xf numFmtId="4" fontId="4" fillId="0" borderId="33" xfId="31" applyNumberFormat="1" applyFont="1" applyBorder="1" applyAlignment="1">
      <alignment horizontal="center"/>
    </xf>
    <xf numFmtId="4" fontId="4" fillId="0" borderId="84" xfId="31" applyNumberFormat="1" applyFont="1" applyBorder="1" applyAlignment="1">
      <alignment horizontal="center"/>
    </xf>
    <xf numFmtId="4" fontId="4" fillId="0" borderId="34" xfId="31" applyNumberFormat="1" applyFont="1" applyBorder="1" applyAlignment="1">
      <alignment horizontal="center"/>
    </xf>
    <xf numFmtId="4" fontId="4" fillId="0" borderId="23" xfId="31" applyNumberFormat="1" applyFont="1" applyBorder="1" applyAlignment="1">
      <alignment horizontal="center"/>
    </xf>
    <xf numFmtId="49" fontId="4" fillId="0" borderId="81" xfId="31" applyNumberFormat="1" applyFont="1" applyBorder="1" applyAlignment="1">
      <alignment horizontal="center"/>
    </xf>
    <xf numFmtId="49" fontId="4" fillId="0" borderId="52" xfId="31" applyNumberFormat="1" applyFont="1" applyBorder="1" applyAlignment="1">
      <alignment horizontal="center"/>
    </xf>
    <xf numFmtId="49" fontId="4" fillId="0" borderId="0" xfId="31" applyNumberFormat="1" applyFont="1" applyBorder="1" applyAlignment="1">
      <alignment horizontal="center"/>
    </xf>
    <xf numFmtId="49" fontId="4" fillId="0" borderId="107" xfId="31" applyNumberFormat="1" applyFont="1" applyBorder="1" applyAlignment="1">
      <alignment horizontal="center"/>
    </xf>
    <xf numFmtId="49" fontId="4" fillId="0" borderId="33" xfId="31" applyNumberFormat="1" applyFont="1" applyBorder="1" applyAlignment="1">
      <alignment horizontal="center"/>
    </xf>
    <xf numFmtId="49" fontId="4" fillId="0" borderId="84" xfId="31" applyNumberFormat="1" applyFont="1" applyBorder="1" applyAlignment="1">
      <alignment horizontal="center"/>
    </xf>
    <xf numFmtId="4" fontId="4" fillId="0" borderId="148" xfId="31" applyNumberFormat="1" applyFont="1" applyBorder="1" applyAlignment="1">
      <alignment horizontal="center" vertical="center" wrapText="1"/>
    </xf>
    <xf numFmtId="4" fontId="4" fillId="0" borderId="82" xfId="31" applyNumberFormat="1" applyFont="1" applyBorder="1" applyAlignment="1">
      <alignment horizontal="center" vertical="center" wrapText="1"/>
    </xf>
    <xf numFmtId="4" fontId="4" fillId="0" borderId="153" xfId="31" applyNumberFormat="1" applyFont="1" applyBorder="1" applyAlignment="1">
      <alignment horizontal="center" vertical="center" wrapText="1"/>
    </xf>
    <xf numFmtId="4" fontId="4" fillId="0" borderId="109" xfId="31" applyNumberFormat="1" applyFont="1" applyBorder="1" applyAlignment="1">
      <alignment horizontal="center" vertical="center" wrapText="1"/>
    </xf>
    <xf numFmtId="4" fontId="4" fillId="0" borderId="110" xfId="31" applyNumberFormat="1" applyFont="1" applyBorder="1" applyAlignment="1">
      <alignment horizontal="center" vertical="center" wrapText="1"/>
    </xf>
    <xf numFmtId="4" fontId="4" fillId="0" borderId="132" xfId="31" applyNumberFormat="1" applyFont="1" applyBorder="1" applyAlignment="1">
      <alignment horizontal="center" vertical="center" wrapText="1"/>
    </xf>
    <xf numFmtId="4" fontId="4" fillId="0" borderId="110" xfId="31" applyNumberFormat="1" applyFont="1" applyBorder="1" applyAlignment="1">
      <alignment horizontal="center"/>
    </xf>
    <xf numFmtId="4" fontId="2" fillId="0" borderId="135" xfId="31" applyNumberFormat="1" applyFont="1" applyBorder="1" applyAlignment="1">
      <alignment horizontal="center"/>
    </xf>
    <xf numFmtId="0" fontId="2" fillId="0" borderId="77" xfId="0" applyFont="1" applyFill="1" applyBorder="1" applyAlignment="1">
      <alignment horizontal="center" vertical="center" wrapText="1"/>
    </xf>
    <xf numFmtId="173" fontId="3" fillId="0" borderId="0" xfId="0" applyNumberFormat="1" applyFont="1" applyFill="1" applyBorder="1"/>
    <xf numFmtId="0" fontId="0" fillId="0" borderId="66" xfId="0" applyBorder="1"/>
    <xf numFmtId="0" fontId="2" fillId="0" borderId="30" xfId="0" applyFont="1" applyBorder="1"/>
    <xf numFmtId="0" fontId="58" fillId="0" borderId="66" xfId="0" applyFont="1" applyFill="1" applyBorder="1" applyAlignment="1">
      <alignment horizontal="center" wrapText="1"/>
    </xf>
    <xf numFmtId="0" fontId="58" fillId="0" borderId="56" xfId="0" applyFont="1" applyBorder="1" applyAlignment="1">
      <alignment horizontal="center" wrapText="1"/>
    </xf>
    <xf numFmtId="0" fontId="58" fillId="0" borderId="55" xfId="0" applyFont="1" applyBorder="1" applyAlignment="1">
      <alignment horizontal="center" wrapText="1"/>
    </xf>
    <xf numFmtId="0" fontId="2" fillId="0" borderId="73" xfId="0" applyFont="1" applyFill="1" applyBorder="1"/>
    <xf numFmtId="0" fontId="2" fillId="0" borderId="38" xfId="0" applyFont="1" applyFill="1" applyBorder="1"/>
    <xf numFmtId="0" fontId="3" fillId="0" borderId="38" xfId="0" applyFont="1" applyFill="1" applyBorder="1"/>
    <xf numFmtId="0" fontId="55" fillId="0" borderId="38" xfId="0" applyFont="1" applyFill="1" applyBorder="1"/>
    <xf numFmtId="0" fontId="3" fillId="0" borderId="76" xfId="0" applyFont="1" applyFill="1" applyBorder="1" applyAlignment="1">
      <alignment vertical="justify" wrapText="1"/>
    </xf>
    <xf numFmtId="173" fontId="2" fillId="0" borderId="68" xfId="0" applyNumberFormat="1" applyFont="1" applyFill="1" applyBorder="1"/>
    <xf numFmtId="173" fontId="2" fillId="0" borderId="36" xfId="0" applyNumberFormat="1" applyFont="1" applyFill="1" applyBorder="1"/>
    <xf numFmtId="173" fontId="3" fillId="0" borderId="36" xfId="0" applyNumberFormat="1" applyFont="1" applyFill="1" applyBorder="1"/>
    <xf numFmtId="173" fontId="3" fillId="0" borderId="69" xfId="0" applyNumberFormat="1" applyFont="1" applyFill="1" applyBorder="1"/>
    <xf numFmtId="173" fontId="2" fillId="0" borderId="47" xfId="0" applyNumberFormat="1" applyFont="1" applyFill="1" applyBorder="1"/>
    <xf numFmtId="0" fontId="2" fillId="0" borderId="14" xfId="0" applyFont="1" applyFill="1" applyBorder="1" applyAlignment="1">
      <alignment horizontal="center" vertical="center" wrapText="1"/>
    </xf>
    <xf numFmtId="173" fontId="2" fillId="0" borderId="67" xfId="0" applyNumberFormat="1" applyFont="1" applyFill="1" applyBorder="1"/>
    <xf numFmtId="173" fontId="3" fillId="0" borderId="39" xfId="0" applyNumberFormat="1" applyFont="1" applyFill="1" applyBorder="1"/>
    <xf numFmtId="173" fontId="2" fillId="0" borderId="12" xfId="0" applyNumberFormat="1" applyFont="1" applyFill="1" applyBorder="1"/>
    <xf numFmtId="173" fontId="3" fillId="0" borderId="13" xfId="0" applyNumberFormat="1" applyFont="1" applyFill="1" applyBorder="1"/>
    <xf numFmtId="173" fontId="3" fillId="0" borderId="12" xfId="0" applyNumberFormat="1" applyFont="1" applyFill="1" applyBorder="1"/>
    <xf numFmtId="173" fontId="2" fillId="0" borderId="13" xfId="0" applyNumberFormat="1" applyFont="1" applyFill="1" applyBorder="1"/>
    <xf numFmtId="173" fontId="1" fillId="0" borderId="12" xfId="0" applyNumberFormat="1" applyFont="1" applyFill="1" applyBorder="1"/>
    <xf numFmtId="173" fontId="1" fillId="0" borderId="13" xfId="0" applyNumberFormat="1" applyFont="1" applyFill="1" applyBorder="1"/>
    <xf numFmtId="173" fontId="3" fillId="0" borderId="48" xfId="0" applyNumberFormat="1" applyFont="1" applyFill="1" applyBorder="1"/>
    <xf numFmtId="173" fontId="3" fillId="0" borderId="51" xfId="0" applyNumberFormat="1" applyFont="1" applyFill="1" applyBorder="1"/>
    <xf numFmtId="173" fontId="2" fillId="0" borderId="73" xfId="0" applyNumberFormat="1" applyFont="1" applyFill="1" applyBorder="1"/>
    <xf numFmtId="173" fontId="2" fillId="0" borderId="38" xfId="0" applyNumberFormat="1" applyFont="1" applyFill="1" applyBorder="1"/>
    <xf numFmtId="173" fontId="3" fillId="0" borderId="76" xfId="0" applyNumberFormat="1" applyFont="1" applyFill="1" applyBorder="1"/>
    <xf numFmtId="173" fontId="2" fillId="0" borderId="66" xfId="0" applyNumberFormat="1" applyFont="1" applyFill="1" applyBorder="1"/>
    <xf numFmtId="173" fontId="2" fillId="27" borderId="49" xfId="0" applyNumberFormat="1" applyFont="1" applyFill="1" applyBorder="1"/>
    <xf numFmtId="173" fontId="2" fillId="27" borderId="162" xfId="0" applyNumberFormat="1" applyFont="1" applyFill="1" applyBorder="1"/>
    <xf numFmtId="173" fontId="3" fillId="27" borderId="162" xfId="0" applyNumberFormat="1" applyFont="1" applyFill="1" applyBorder="1"/>
    <xf numFmtId="173" fontId="2" fillId="27" borderId="47" xfId="0" applyNumberFormat="1" applyFont="1" applyFill="1" applyBorder="1"/>
    <xf numFmtId="173" fontId="2" fillId="0" borderId="37" xfId="0" applyNumberFormat="1" applyFont="1" applyFill="1" applyBorder="1"/>
    <xf numFmtId="173" fontId="2" fillId="0" borderId="163" xfId="0" applyNumberFormat="1" applyFont="1" applyFill="1" applyBorder="1"/>
    <xf numFmtId="173" fontId="3" fillId="0" borderId="163" xfId="0" applyNumberFormat="1" applyFont="1" applyFill="1" applyBorder="1"/>
    <xf numFmtId="173" fontId="3" fillId="0" borderId="164" xfId="0" applyNumberFormat="1" applyFont="1" applyFill="1" applyBorder="1"/>
    <xf numFmtId="0" fontId="7" fillId="0" borderId="30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/>
    </xf>
    <xf numFmtId="0" fontId="1" fillId="25" borderId="63" xfId="0" applyFont="1" applyFill="1" applyBorder="1" applyAlignment="1">
      <alignment horizontal="justify" vertical="top" wrapText="1"/>
    </xf>
    <xf numFmtId="0" fontId="1" fillId="0" borderId="38" xfId="0" applyFont="1" applyFill="1" applyBorder="1"/>
    <xf numFmtId="4" fontId="7" fillId="0" borderId="38" xfId="31" applyNumberFormat="1" applyFont="1" applyFill="1" applyBorder="1"/>
    <xf numFmtId="4" fontId="7" fillId="0" borderId="38" xfId="31" applyNumberFormat="1" applyFont="1" applyBorder="1"/>
    <xf numFmtId="0" fontId="6" fillId="0" borderId="16" xfId="0" applyFont="1" applyFill="1" applyBorder="1" applyAlignment="1">
      <alignment vertical="center" wrapText="1"/>
    </xf>
    <xf numFmtId="174" fontId="2" fillId="0" borderId="17" xfId="0" applyNumberFormat="1" applyFont="1" applyFill="1" applyBorder="1"/>
    <xf numFmtId="174" fontId="2" fillId="0" borderId="12" xfId="0" applyNumberFormat="1" applyFont="1" applyFill="1" applyBorder="1"/>
    <xf numFmtId="174" fontId="3" fillId="0" borderId="12" xfId="0" applyNumberFormat="1" applyFont="1" applyFill="1" applyBorder="1"/>
    <xf numFmtId="174" fontId="3" fillId="0" borderId="14" xfId="0" applyNumberFormat="1" applyFont="1" applyFill="1" applyBorder="1"/>
    <xf numFmtId="174" fontId="3" fillId="0" borderId="79" xfId="0" applyNumberFormat="1" applyFont="1" applyFill="1" applyBorder="1"/>
    <xf numFmtId="174" fontId="3" fillId="0" borderId="157" xfId="0" applyNumberFormat="1" applyFont="1" applyFill="1" applyBorder="1"/>
    <xf numFmtId="174" fontId="2" fillId="0" borderId="67" xfId="0" applyNumberFormat="1" applyFont="1" applyFill="1" applyBorder="1"/>
    <xf numFmtId="174" fontId="2" fillId="0" borderId="165" xfId="0" applyNumberFormat="1" applyFont="1" applyFill="1" applyBorder="1"/>
    <xf numFmtId="174" fontId="2" fillId="0" borderId="38" xfId="0" applyNumberFormat="1" applyFont="1" applyFill="1" applyBorder="1"/>
    <xf numFmtId="174" fontId="3" fillId="0" borderId="38" xfId="0" applyNumberFormat="1" applyFont="1" applyFill="1" applyBorder="1"/>
    <xf numFmtId="174" fontId="3" fillId="0" borderId="16" xfId="0" applyNumberFormat="1" applyFont="1" applyFill="1" applyBorder="1"/>
    <xf numFmtId="174" fontId="3" fillId="0" borderId="166" xfId="0" applyNumberFormat="1" applyFont="1" applyFill="1" applyBorder="1"/>
    <xf numFmtId="174" fontId="3" fillId="0" borderId="167" xfId="0" applyNumberFormat="1" applyFont="1" applyFill="1" applyBorder="1"/>
    <xf numFmtId="174" fontId="2" fillId="0" borderId="73" xfId="0" applyNumberFormat="1" applyFont="1" applyFill="1" applyBorder="1"/>
    <xf numFmtId="174" fontId="2" fillId="0" borderId="168" xfId="0" applyNumberFormat="1" applyFont="1" applyBorder="1"/>
    <xf numFmtId="174" fontId="2" fillId="0" borderId="163" xfId="0" applyNumberFormat="1" applyFont="1" applyBorder="1"/>
    <xf numFmtId="174" fontId="0" fillId="0" borderId="163" xfId="0" applyNumberFormat="1" applyFill="1" applyBorder="1"/>
    <xf numFmtId="174" fontId="0" fillId="0" borderId="163" xfId="0" applyNumberFormat="1" applyBorder="1"/>
    <xf numFmtId="174" fontId="0" fillId="0" borderId="89" xfId="0" applyNumberFormat="1" applyBorder="1"/>
    <xf numFmtId="174" fontId="0" fillId="0" borderId="169" xfId="0" applyNumberFormat="1" applyBorder="1"/>
    <xf numFmtId="174" fontId="0" fillId="0" borderId="169" xfId="0" applyNumberFormat="1" applyFill="1" applyBorder="1"/>
    <xf numFmtId="174" fontId="0" fillId="0" borderId="170" xfId="0" applyNumberFormat="1" applyBorder="1"/>
    <xf numFmtId="174" fontId="2" fillId="0" borderId="37" xfId="0" applyNumberFormat="1" applyFont="1" applyBorder="1"/>
    <xf numFmtId="0" fontId="7" fillId="0" borderId="94" xfId="0" applyFont="1" applyBorder="1"/>
    <xf numFmtId="0" fontId="7" fillId="0" borderId="92" xfId="0" applyFont="1" applyBorder="1"/>
    <xf numFmtId="0" fontId="6" fillId="0" borderId="92" xfId="0" applyFont="1" applyBorder="1"/>
    <xf numFmtId="0" fontId="5" fillId="0" borderId="92" xfId="0" applyFont="1" applyBorder="1"/>
    <xf numFmtId="0" fontId="6" fillId="0" borderId="171" xfId="0" applyFont="1" applyBorder="1"/>
    <xf numFmtId="0" fontId="6" fillId="0" borderId="172" xfId="0" applyFont="1" applyBorder="1"/>
    <xf numFmtId="0" fontId="6" fillId="0" borderId="173" xfId="0" applyFont="1" applyBorder="1"/>
    <xf numFmtId="0" fontId="7" fillId="0" borderId="83" xfId="0" applyFont="1" applyBorder="1"/>
    <xf numFmtId="0" fontId="7" fillId="0" borderId="168" xfId="0" applyFont="1" applyBorder="1" applyAlignment="1">
      <alignment horizontal="left"/>
    </xf>
    <xf numFmtId="0" fontId="7" fillId="0" borderId="163" xfId="0" applyFont="1" applyBorder="1" applyAlignment="1">
      <alignment horizontal="left"/>
    </xf>
    <xf numFmtId="0" fontId="6" fillId="0" borderId="163" xfId="0" applyFont="1" applyBorder="1" applyAlignment="1">
      <alignment horizontal="left"/>
    </xf>
    <xf numFmtId="0" fontId="6" fillId="0" borderId="89" xfId="0" applyFont="1" applyBorder="1" applyAlignment="1">
      <alignment horizontal="left"/>
    </xf>
    <xf numFmtId="0" fontId="6" fillId="0" borderId="169" xfId="0" applyFont="1" applyBorder="1" applyAlignment="1">
      <alignment horizontal="left"/>
    </xf>
    <xf numFmtId="0" fontId="6" fillId="0" borderId="170" xfId="0" applyFont="1" applyBorder="1" applyAlignment="1">
      <alignment horizontal="left"/>
    </xf>
    <xf numFmtId="0" fontId="7" fillId="0" borderId="37" xfId="0" applyFont="1" applyBorder="1" applyAlignment="1">
      <alignment horizontal="left"/>
    </xf>
    <xf numFmtId="174" fontId="2" fillId="0" borderId="99" xfId="0" applyNumberFormat="1" applyFont="1" applyBorder="1"/>
    <xf numFmtId="174" fontId="2" fillId="0" borderId="162" xfId="0" applyNumberFormat="1" applyFont="1" applyBorder="1"/>
    <xf numFmtId="174" fontId="0" fillId="0" borderId="162" xfId="0" applyNumberFormat="1" applyBorder="1"/>
    <xf numFmtId="174" fontId="0" fillId="0" borderId="162" xfId="0" applyNumberFormat="1" applyFill="1" applyBorder="1"/>
    <xf numFmtId="174" fontId="2" fillId="27" borderId="162" xfId="0" applyNumberFormat="1" applyFont="1" applyFill="1" applyBorder="1"/>
    <xf numFmtId="174" fontId="3" fillId="0" borderId="162" xfId="0" applyNumberFormat="1" applyFont="1" applyBorder="1"/>
    <xf numFmtId="174" fontId="0" fillId="0" borderId="75" xfId="0" applyNumberFormat="1" applyFill="1" applyBorder="1"/>
    <xf numFmtId="174" fontId="2" fillId="0" borderId="47" xfId="0" applyNumberFormat="1" applyFont="1" applyBorder="1"/>
    <xf numFmtId="174" fontId="2" fillId="0" borderId="19" xfId="0" applyNumberFormat="1" applyFont="1" applyFill="1" applyBorder="1"/>
    <xf numFmtId="174" fontId="2" fillId="0" borderId="13" xfId="0" applyNumberFormat="1" applyFont="1" applyFill="1" applyBorder="1"/>
    <xf numFmtId="174" fontId="3" fillId="0" borderId="13" xfId="0" applyNumberFormat="1" applyFont="1" applyFill="1" applyBorder="1"/>
    <xf numFmtId="174" fontId="1" fillId="0" borderId="13" xfId="0" applyNumberFormat="1" applyFont="1" applyFill="1" applyBorder="1"/>
    <xf numFmtId="174" fontId="3" fillId="0" borderId="15" xfId="0" applyNumberFormat="1" applyFont="1" applyFill="1" applyBorder="1"/>
    <xf numFmtId="174" fontId="2" fillId="0" borderId="30" xfId="0" applyNumberFormat="1" applyFont="1" applyFill="1" applyBorder="1"/>
    <xf numFmtId="0" fontId="6" fillId="0" borderId="92" xfId="0" applyFont="1" applyFill="1" applyBorder="1"/>
    <xf numFmtId="4" fontId="7" fillId="0" borderId="92" xfId="31" applyNumberFormat="1" applyFont="1" applyFill="1" applyBorder="1"/>
    <xf numFmtId="4" fontId="7" fillId="0" borderId="92" xfId="31" applyNumberFormat="1" applyFont="1" applyBorder="1"/>
    <xf numFmtId="0" fontId="6" fillId="0" borderId="171" xfId="0" applyFont="1" applyFill="1" applyBorder="1" applyAlignment="1">
      <alignment vertical="center" wrapText="1"/>
    </xf>
    <xf numFmtId="0" fontId="2" fillId="0" borderId="32" xfId="0" applyFont="1" applyBorder="1"/>
    <xf numFmtId="0" fontId="6" fillId="0" borderId="163" xfId="0" applyFont="1" applyFill="1" applyBorder="1" applyAlignment="1">
      <alignment horizontal="left"/>
    </xf>
    <xf numFmtId="0" fontId="5" fillId="0" borderId="163" xfId="0" applyFont="1" applyBorder="1" applyAlignment="1">
      <alignment horizontal="left"/>
    </xf>
    <xf numFmtId="49" fontId="7" fillId="0" borderId="163" xfId="31" applyNumberFormat="1" applyFont="1" applyFill="1" applyBorder="1" applyAlignment="1">
      <alignment horizontal="left"/>
    </xf>
    <xf numFmtId="49" fontId="6" fillId="0" borderId="89" xfId="31" applyNumberFormat="1" applyFont="1" applyFill="1" applyBorder="1" applyAlignment="1">
      <alignment horizontal="left"/>
    </xf>
    <xf numFmtId="0" fontId="0" fillId="0" borderId="30" xfId="0" applyBorder="1"/>
    <xf numFmtId="167" fontId="2" fillId="0" borderId="165" xfId="0" applyNumberFormat="1" applyFont="1" applyFill="1" applyBorder="1" applyAlignment="1">
      <alignment vertical="center"/>
    </xf>
    <xf numFmtId="167" fontId="2" fillId="0" borderId="38" xfId="0" quotePrefix="1" applyNumberFormat="1" applyFont="1" applyFill="1" applyBorder="1" applyAlignment="1">
      <alignment wrapText="1"/>
    </xf>
    <xf numFmtId="167" fontId="1" fillId="0" borderId="38" xfId="34" quotePrefix="1" applyNumberFormat="1" applyFill="1" applyBorder="1" applyAlignment="1">
      <alignment wrapText="1"/>
    </xf>
    <xf numFmtId="167" fontId="2" fillId="0" borderId="38" xfId="34" quotePrefix="1" applyNumberFormat="1" applyFont="1" applyFill="1" applyBorder="1" applyAlignment="1">
      <alignment wrapText="1"/>
    </xf>
    <xf numFmtId="167" fontId="1" fillId="0" borderId="38" xfId="34" applyNumberFormat="1" applyFill="1" applyBorder="1" applyAlignment="1"/>
    <xf numFmtId="167" fontId="2" fillId="0" borderId="38" xfId="34" applyNumberFormat="1" applyFont="1" applyFill="1" applyBorder="1" applyAlignment="1"/>
    <xf numFmtId="167" fontId="1" fillId="0" borderId="73" xfId="34" applyNumberFormat="1" applyFill="1" applyBorder="1" applyAlignment="1"/>
    <xf numFmtId="167" fontId="2" fillId="0" borderId="38" xfId="0" applyNumberFormat="1" applyFont="1" applyFill="1" applyBorder="1" applyAlignment="1"/>
    <xf numFmtId="167" fontId="0" fillId="0" borderId="38" xfId="0" applyNumberFormat="1" applyFill="1" applyBorder="1" applyAlignment="1"/>
    <xf numFmtId="167" fontId="3" fillId="0" borderId="38" xfId="0" applyNumberFormat="1" applyFont="1" applyFill="1" applyBorder="1" applyAlignment="1"/>
    <xf numFmtId="167" fontId="0" fillId="0" borderId="76" xfId="0" applyNumberFormat="1" applyFill="1" applyBorder="1" applyAlignment="1"/>
    <xf numFmtId="167" fontId="2" fillId="0" borderId="56" xfId="0" applyNumberFormat="1" applyFont="1" applyFill="1" applyBorder="1"/>
    <xf numFmtId="167" fontId="2" fillId="0" borderId="168" xfId="0" applyNumberFormat="1" applyFont="1" applyFill="1" applyBorder="1" applyAlignment="1">
      <alignment vertical="center"/>
    </xf>
    <xf numFmtId="167" fontId="2" fillId="0" borderId="163" xfId="0" quotePrefix="1" applyNumberFormat="1" applyFont="1" applyFill="1" applyBorder="1" applyAlignment="1">
      <alignment wrapText="1"/>
    </xf>
    <xf numFmtId="167" fontId="1" fillId="0" borderId="163" xfId="34" quotePrefix="1" applyNumberFormat="1" applyFill="1" applyBorder="1" applyAlignment="1">
      <alignment wrapText="1"/>
    </xf>
    <xf numFmtId="167" fontId="2" fillId="0" borderId="163" xfId="34" quotePrefix="1" applyNumberFormat="1" applyFont="1" applyFill="1" applyBorder="1" applyAlignment="1">
      <alignment wrapText="1"/>
    </xf>
    <xf numFmtId="167" fontId="2" fillId="0" borderId="163" xfId="33" applyNumberFormat="1" applyFont="1" applyFill="1" applyBorder="1" applyAlignment="1">
      <alignment vertical="center"/>
    </xf>
    <xf numFmtId="167" fontId="2" fillId="0" borderId="37" xfId="34" quotePrefix="1" applyNumberFormat="1" applyFont="1" applyFill="1" applyBorder="1" applyAlignment="1">
      <alignment wrapText="1"/>
    </xf>
    <xf numFmtId="167" fontId="3" fillId="0" borderId="163" xfId="34" quotePrefix="1" applyNumberFormat="1" applyFont="1" applyFill="1" applyBorder="1" applyAlignment="1">
      <alignment wrapText="1"/>
    </xf>
    <xf numFmtId="167" fontId="1" fillId="0" borderId="164" xfId="34" quotePrefix="1" applyNumberFormat="1" applyFill="1" applyBorder="1" applyAlignment="1">
      <alignment wrapText="1"/>
    </xf>
    <xf numFmtId="167" fontId="2" fillId="0" borderId="30" xfId="0" applyNumberFormat="1" applyFont="1" applyFill="1" applyBorder="1"/>
    <xf numFmtId="165" fontId="2" fillId="0" borderId="17" xfId="33" applyNumberFormat="1" applyFont="1" applyFill="1" applyBorder="1" applyAlignment="1">
      <alignment vertical="center"/>
    </xf>
    <xf numFmtId="165" fontId="2" fillId="0" borderId="12" xfId="33" applyNumberFormat="1" applyFont="1" applyFill="1" applyBorder="1" applyAlignment="1">
      <alignment vertical="center"/>
    </xf>
    <xf numFmtId="165" fontId="3" fillId="0" borderId="12" xfId="33" applyNumberFormat="1" applyFont="1" applyFill="1" applyBorder="1" applyAlignment="1">
      <alignment vertical="center"/>
    </xf>
    <xf numFmtId="165" fontId="2" fillId="0" borderId="12" xfId="34" applyNumberFormat="1" applyFont="1" applyFill="1" applyBorder="1" applyAlignment="1"/>
    <xf numFmtId="165" fontId="1" fillId="0" borderId="12" xfId="34" applyNumberFormat="1" applyFill="1" applyBorder="1" applyAlignment="1"/>
    <xf numFmtId="165" fontId="2" fillId="0" borderId="67" xfId="34" applyNumberFormat="1" applyFont="1" applyFill="1" applyBorder="1" applyAlignment="1"/>
    <xf numFmtId="165" fontId="3" fillId="0" borderId="12" xfId="34" applyNumberFormat="1" applyFont="1" applyFill="1" applyBorder="1" applyAlignment="1"/>
    <xf numFmtId="165" fontId="7" fillId="0" borderId="12" xfId="31" applyNumberFormat="1" applyFont="1" applyFill="1" applyBorder="1" applyAlignment="1">
      <alignment vertical="center" wrapText="1"/>
    </xf>
    <xf numFmtId="165" fontId="6" fillId="0" borderId="51" xfId="0" applyNumberFormat="1" applyFont="1" applyFill="1" applyBorder="1" applyAlignment="1">
      <alignment vertical="center" wrapText="1"/>
    </xf>
    <xf numFmtId="165" fontId="2" fillId="0" borderId="53" xfId="0" applyNumberFormat="1" applyFont="1" applyFill="1" applyBorder="1"/>
    <xf numFmtId="165" fontId="7" fillId="0" borderId="30" xfId="0" applyNumberFormat="1" applyFont="1" applyFill="1" applyBorder="1" applyAlignment="1">
      <alignment horizontal="center" wrapText="1"/>
    </xf>
    <xf numFmtId="0" fontId="7" fillId="0" borderId="30" xfId="0" applyFont="1" applyFill="1" applyBorder="1" applyAlignment="1">
      <alignment horizontal="center" wrapText="1"/>
    </xf>
    <xf numFmtId="0" fontId="7" fillId="0" borderId="94" xfId="0" applyFont="1" applyFill="1" applyBorder="1" applyAlignment="1">
      <alignment horizontal="left"/>
    </xf>
    <xf numFmtId="0" fontId="7" fillId="0" borderId="92" xfId="0" applyFont="1" applyFill="1" applyBorder="1" applyAlignment="1">
      <alignment horizontal="left"/>
    </xf>
    <xf numFmtId="4" fontId="6" fillId="0" borderId="92" xfId="31" applyNumberFormat="1" applyFont="1" applyFill="1" applyBorder="1" applyAlignment="1"/>
    <xf numFmtId="0" fontId="6" fillId="0" borderId="92" xfId="0" applyFont="1" applyFill="1" applyBorder="1" applyAlignment="1"/>
    <xf numFmtId="4" fontId="7" fillId="0" borderId="92" xfId="31" applyNumberFormat="1" applyFont="1" applyFill="1" applyBorder="1" applyAlignment="1"/>
    <xf numFmtId="4" fontId="7" fillId="0" borderId="92" xfId="31" applyNumberFormat="1" applyFont="1" applyFill="1" applyBorder="1" applyAlignment="1">
      <alignment vertical="center" wrapText="1"/>
    </xf>
    <xf numFmtId="0" fontId="7" fillId="0" borderId="92" xfId="0" applyFont="1" applyFill="1" applyBorder="1" applyAlignment="1"/>
    <xf numFmtId="0" fontId="7" fillId="0" borderId="92" xfId="0" applyFont="1" applyFill="1" applyBorder="1"/>
    <xf numFmtId="0" fontId="6" fillId="0" borderId="92" xfId="0" applyFont="1" applyFill="1" applyBorder="1" applyAlignment="1">
      <alignment vertical="center" wrapText="1"/>
    </xf>
    <xf numFmtId="0" fontId="7" fillId="0" borderId="83" xfId="0" applyFont="1" applyFill="1" applyBorder="1"/>
    <xf numFmtId="0" fontId="5" fillId="0" borderId="92" xfId="0" applyFont="1" applyFill="1" applyBorder="1" applyAlignment="1">
      <alignment vertical="center" wrapText="1"/>
    </xf>
    <xf numFmtId="4" fontId="7" fillId="0" borderId="0" xfId="31" applyNumberFormat="1" applyFont="1" applyBorder="1"/>
    <xf numFmtId="4" fontId="6" fillId="0" borderId="92" xfId="31" applyNumberFormat="1" applyFont="1" applyFill="1" applyBorder="1"/>
    <xf numFmtId="0" fontId="6" fillId="0" borderId="97" xfId="0" applyFont="1" applyFill="1" applyBorder="1" applyAlignment="1">
      <alignment vertical="center" wrapText="1"/>
    </xf>
    <xf numFmtId="0" fontId="7" fillId="0" borderId="168" xfId="0" applyFont="1" applyFill="1" applyBorder="1" applyAlignment="1">
      <alignment horizontal="left"/>
    </xf>
    <xf numFmtId="0" fontId="7" fillId="0" borderId="163" xfId="0" applyFont="1" applyFill="1" applyBorder="1" applyAlignment="1">
      <alignment horizontal="left"/>
    </xf>
    <xf numFmtId="49" fontId="6" fillId="0" borderId="163" xfId="31" applyNumberFormat="1" applyFont="1" applyFill="1" applyBorder="1" applyAlignment="1">
      <alignment horizontal="left"/>
    </xf>
    <xf numFmtId="0" fontId="7" fillId="0" borderId="37" xfId="0" applyFont="1" applyFill="1" applyBorder="1" applyAlignment="1">
      <alignment horizontal="left"/>
    </xf>
    <xf numFmtId="0" fontId="6" fillId="0" borderId="164" xfId="0" applyFont="1" applyFill="1" applyBorder="1" applyAlignment="1">
      <alignment horizontal="left"/>
    </xf>
    <xf numFmtId="0" fontId="0" fillId="0" borderId="30" xfId="0" applyFill="1" applyBorder="1"/>
    <xf numFmtId="4" fontId="3" fillId="0" borderId="43" xfId="31" applyNumberFormat="1" applyFont="1" applyFill="1" applyBorder="1"/>
    <xf numFmtId="167" fontId="3" fillId="0" borderId="23" xfId="31" applyNumberFormat="1" applyFont="1" applyFill="1" applyBorder="1" applyAlignment="1">
      <alignment horizontal="right"/>
    </xf>
    <xf numFmtId="164" fontId="3" fillId="27" borderId="25" xfId="38" applyNumberFormat="1" applyFont="1" applyFill="1" applyBorder="1" applyAlignment="1">
      <alignment horizontal="center" wrapText="1"/>
    </xf>
    <xf numFmtId="164" fontId="3" fillId="27" borderId="27" xfId="38" applyNumberFormat="1" applyFont="1" applyFill="1" applyBorder="1" applyAlignment="1">
      <alignment horizontal="center" wrapText="1"/>
    </xf>
    <xf numFmtId="164" fontId="2" fillId="27" borderId="24" xfId="38" applyNumberFormat="1" applyFont="1" applyFill="1" applyBorder="1" applyAlignment="1">
      <alignment horizontal="center" wrapText="1"/>
    </xf>
    <xf numFmtId="164" fontId="2" fillId="27" borderId="21" xfId="38" applyNumberFormat="1" applyFont="1" applyFill="1" applyBorder="1" applyAlignment="1">
      <alignment horizontal="center" wrapText="1"/>
    </xf>
    <xf numFmtId="164" fontId="2" fillId="0" borderId="24" xfId="38" applyNumberFormat="1" applyFont="1" applyFill="1" applyBorder="1" applyAlignment="1">
      <alignment horizontal="center" wrapText="1"/>
    </xf>
    <xf numFmtId="164" fontId="3" fillId="27" borderId="21" xfId="38" applyNumberFormat="1" applyFont="1" applyFill="1" applyBorder="1" applyAlignment="1">
      <alignment horizontal="center" wrapText="1"/>
    </xf>
    <xf numFmtId="164" fontId="3" fillId="0" borderId="24" xfId="38" applyNumberFormat="1" applyFont="1" applyFill="1" applyBorder="1" applyAlignment="1">
      <alignment horizontal="center" wrapText="1"/>
    </xf>
    <xf numFmtId="167" fontId="2" fillId="0" borderId="24" xfId="31" applyNumberFormat="1" applyFont="1" applyFill="1" applyBorder="1" applyAlignment="1">
      <alignment horizontal="right"/>
    </xf>
    <xf numFmtId="167" fontId="2" fillId="27" borderId="21" xfId="31" applyNumberFormat="1" applyFont="1" applyFill="1" applyBorder="1" applyAlignment="1">
      <alignment horizontal="right"/>
    </xf>
    <xf numFmtId="167" fontId="3" fillId="0" borderId="24" xfId="31" applyNumberFormat="1" applyFont="1" applyFill="1" applyBorder="1" applyAlignment="1">
      <alignment horizontal="right"/>
    </xf>
    <xf numFmtId="167" fontId="3" fillId="27" borderId="21" xfId="31" applyNumberFormat="1" applyFont="1" applyFill="1" applyBorder="1" applyAlignment="1">
      <alignment horizontal="right"/>
    </xf>
    <xf numFmtId="164" fontId="3" fillId="27" borderId="24" xfId="38" applyNumberFormat="1" applyFont="1" applyFill="1" applyBorder="1" applyAlignment="1">
      <alignment horizontal="center" wrapText="1"/>
    </xf>
    <xf numFmtId="0" fontId="3" fillId="27" borderId="20" xfId="0" applyFont="1" applyFill="1" applyBorder="1" applyAlignment="1">
      <alignment horizontal="left"/>
    </xf>
    <xf numFmtId="0" fontId="56" fillId="27" borderId="20" xfId="0" applyFont="1" applyFill="1" applyBorder="1" applyAlignment="1">
      <alignment horizontal="left"/>
    </xf>
    <xf numFmtId="49" fontId="6" fillId="27" borderId="25" xfId="0" applyNumberFormat="1" applyFont="1" applyFill="1" applyBorder="1" applyAlignment="1">
      <alignment horizontal="center" vertical="center" wrapText="1"/>
    </xf>
    <xf numFmtId="49" fontId="6" fillId="27" borderId="24" xfId="0" applyNumberFormat="1" applyFont="1" applyFill="1" applyBorder="1" applyAlignment="1">
      <alignment horizontal="center" vertical="center" wrapText="1"/>
    </xf>
    <xf numFmtId="49" fontId="6" fillId="0" borderId="24" xfId="0" applyNumberFormat="1" applyFont="1" applyFill="1" applyBorder="1" applyAlignment="1">
      <alignment horizontal="center" vertical="center" wrapText="1"/>
    </xf>
    <xf numFmtId="49" fontId="7" fillId="0" borderId="24" xfId="0" applyNumberFormat="1" applyFont="1" applyFill="1" applyBorder="1" applyAlignment="1">
      <alignment horizontal="left" vertical="center" wrapText="1"/>
    </xf>
    <xf numFmtId="49" fontId="7" fillId="0" borderId="24" xfId="0" applyNumberFormat="1" applyFont="1" applyFill="1" applyBorder="1" applyAlignment="1">
      <alignment horizontal="center" vertical="center" wrapText="1"/>
    </xf>
    <xf numFmtId="49" fontId="5" fillId="0" borderId="24" xfId="0" applyNumberFormat="1" applyFont="1" applyFill="1" applyBorder="1" applyAlignment="1">
      <alignment horizontal="left" vertical="center" wrapText="1"/>
    </xf>
    <xf numFmtId="49" fontId="3" fillId="0" borderId="24" xfId="0" applyNumberFormat="1" applyFont="1" applyFill="1" applyBorder="1" applyAlignment="1">
      <alignment horizontal="left"/>
    </xf>
    <xf numFmtId="49" fontId="5" fillId="0" borderId="24" xfId="0" applyNumberFormat="1" applyFont="1" applyFill="1" applyBorder="1" applyAlignment="1">
      <alignment vertical="center" wrapText="1"/>
    </xf>
    <xf numFmtId="49" fontId="6" fillId="0" borderId="24" xfId="0" applyNumberFormat="1" applyFont="1" applyFill="1" applyBorder="1" applyAlignment="1">
      <alignment vertical="center" wrapText="1"/>
    </xf>
    <xf numFmtId="0" fontId="3" fillId="27" borderId="66" xfId="0" applyFont="1" applyFill="1" applyBorder="1" applyAlignment="1">
      <alignment horizontal="left" vertical="center" wrapText="1"/>
    </xf>
    <xf numFmtId="49" fontId="6" fillId="27" borderId="53" xfId="0" applyNumberFormat="1" applyFont="1" applyFill="1" applyBorder="1" applyAlignment="1">
      <alignment horizontal="center" vertical="center" wrapText="1"/>
    </xf>
    <xf numFmtId="0" fontId="2" fillId="27" borderId="56" xfId="0" applyFont="1" applyFill="1" applyBorder="1" applyAlignment="1">
      <alignment horizontal="left" vertical="center" wrapText="1"/>
    </xf>
    <xf numFmtId="164" fontId="2" fillId="27" borderId="53" xfId="38" applyNumberFormat="1" applyFont="1" applyFill="1" applyBorder="1" applyAlignment="1">
      <alignment horizontal="center" wrapText="1"/>
    </xf>
    <xf numFmtId="164" fontId="2" fillId="27" borderId="54" xfId="38" applyNumberFormat="1" applyFont="1" applyFill="1" applyBorder="1" applyAlignment="1">
      <alignment horizontal="center" wrapText="1"/>
    </xf>
    <xf numFmtId="164" fontId="2" fillId="27" borderId="55" xfId="38" applyNumberFormat="1" applyFont="1" applyFill="1" applyBorder="1" applyAlignment="1">
      <alignment horizontal="center" wrapText="1"/>
    </xf>
    <xf numFmtId="164" fontId="2" fillId="0" borderId="47" xfId="38" applyNumberFormat="1" applyFont="1" applyFill="1" applyBorder="1" applyAlignment="1">
      <alignment horizontal="center" wrapText="1"/>
    </xf>
    <xf numFmtId="0" fontId="56" fillId="27" borderId="50" xfId="0" applyFont="1" applyFill="1" applyBorder="1" applyAlignment="1">
      <alignment horizontal="left" vertical="center" wrapText="1"/>
    </xf>
    <xf numFmtId="49" fontId="5" fillId="0" borderId="67" xfId="0" applyNumberFormat="1" applyFont="1" applyFill="1" applyBorder="1" applyAlignment="1">
      <alignment vertical="center" wrapText="1"/>
    </xf>
    <xf numFmtId="0" fontId="3" fillId="0" borderId="83" xfId="0" applyFont="1" applyFill="1" applyBorder="1" applyAlignment="1">
      <alignment horizontal="left" vertical="center" wrapText="1"/>
    </xf>
    <xf numFmtId="164" fontId="3" fillId="0" borderId="67" xfId="38" applyNumberFormat="1" applyFont="1" applyFill="1" applyBorder="1" applyAlignment="1">
      <alignment horizontal="center" wrapText="1"/>
    </xf>
    <xf numFmtId="164" fontId="3" fillId="27" borderId="46" xfId="38" applyNumberFormat="1" applyFont="1" applyFill="1" applyBorder="1" applyAlignment="1">
      <alignment horizontal="center" wrapText="1"/>
    </xf>
    <xf numFmtId="164" fontId="3" fillId="27" borderId="39" xfId="38" applyNumberFormat="1" applyFont="1" applyFill="1" applyBorder="1" applyAlignment="1">
      <alignment horizontal="center" wrapText="1"/>
    </xf>
    <xf numFmtId="167" fontId="3" fillId="0" borderId="49" xfId="31" applyNumberFormat="1" applyFont="1" applyBorder="1" applyAlignment="1">
      <alignment horizontal="right"/>
    </xf>
    <xf numFmtId="4" fontId="3" fillId="0" borderId="42" xfId="31" applyNumberFormat="1" applyFont="1" applyBorder="1"/>
    <xf numFmtId="0" fontId="2" fillId="27" borderId="43" xfId="0" applyFont="1" applyFill="1" applyBorder="1"/>
    <xf numFmtId="4" fontId="2" fillId="0" borderId="43" xfId="31" applyNumberFormat="1" applyFont="1" applyBorder="1"/>
    <xf numFmtId="4" fontId="3" fillId="0" borderId="43" xfId="31" applyNumberFormat="1" applyFont="1" applyBorder="1"/>
    <xf numFmtId="4" fontId="3" fillId="27" borderId="43" xfId="31" applyNumberFormat="1" applyFont="1" applyFill="1" applyBorder="1"/>
    <xf numFmtId="4" fontId="2" fillId="27" borderId="43" xfId="31" applyNumberFormat="1" applyFont="1" applyFill="1" applyBorder="1"/>
    <xf numFmtId="4" fontId="1" fillId="0" borderId="43" xfId="31" applyNumberFormat="1" applyFont="1" applyFill="1" applyBorder="1" applyAlignment="1">
      <alignment vertical="center" wrapText="1"/>
    </xf>
    <xf numFmtId="4" fontId="2" fillId="0" borderId="43" xfId="31" applyNumberFormat="1" applyFont="1" applyFill="1" applyBorder="1"/>
    <xf numFmtId="4" fontId="3" fillId="0" borderId="43" xfId="31" quotePrefix="1" applyNumberFormat="1" applyFont="1" applyFill="1" applyBorder="1"/>
    <xf numFmtId="4" fontId="3" fillId="0" borderId="43" xfId="31" applyNumberFormat="1" applyFont="1" applyFill="1" applyBorder="1" applyAlignment="1">
      <alignment vertical="center" wrapText="1"/>
    </xf>
    <xf numFmtId="4" fontId="1" fillId="0" borderId="43" xfId="31" applyNumberFormat="1" applyFont="1" applyFill="1" applyBorder="1"/>
    <xf numFmtId="4" fontId="2" fillId="0" borderId="56" xfId="31" applyNumberFormat="1" applyFont="1" applyBorder="1"/>
    <xf numFmtId="0" fontId="58" fillId="0" borderId="47" xfId="0" applyFont="1" applyBorder="1" applyAlignment="1">
      <alignment horizontal="center" wrapText="1"/>
    </xf>
    <xf numFmtId="174" fontId="3" fillId="0" borderId="159" xfId="31" applyNumberFormat="1" applyFont="1" applyBorder="1"/>
    <xf numFmtId="174" fontId="3" fillId="0" borderId="160" xfId="31" applyNumberFormat="1" applyFont="1" applyBorder="1"/>
    <xf numFmtId="174" fontId="3" fillId="0" borderId="160" xfId="31" applyNumberFormat="1" applyFont="1" applyBorder="1" applyAlignment="1">
      <alignment vertical="center"/>
    </xf>
    <xf numFmtId="174" fontId="2" fillId="0" borderId="160" xfId="38" applyNumberFormat="1" applyFont="1" applyBorder="1" applyAlignment="1">
      <alignment horizontal="center" wrapText="1"/>
    </xf>
    <xf numFmtId="174" fontId="2" fillId="0" borderId="160" xfId="31" applyNumberFormat="1" applyFont="1" applyBorder="1" applyAlignment="1">
      <alignment horizontal="right"/>
    </xf>
    <xf numFmtId="174" fontId="3" fillId="0" borderId="160" xfId="31" applyNumberFormat="1" applyFont="1" applyBorder="1" applyAlignment="1">
      <alignment horizontal="right"/>
    </xf>
    <xf numFmtId="174" fontId="2" fillId="0" borderId="100" xfId="31" applyNumberFormat="1" applyFont="1" applyBorder="1" applyAlignment="1">
      <alignment horizontal="right"/>
    </xf>
    <xf numFmtId="174" fontId="3" fillId="0" borderId="25" xfId="31" applyNumberFormat="1" applyFont="1" applyFill="1" applyBorder="1"/>
    <xf numFmtId="174" fontId="2" fillId="0" borderId="24" xfId="31" applyNumberFormat="1" applyFont="1" applyFill="1" applyBorder="1"/>
    <xf numFmtId="174" fontId="3" fillId="0" borderId="24" xfId="31" applyNumberFormat="1" applyFont="1" applyFill="1" applyBorder="1"/>
    <xf numFmtId="174" fontId="3" fillId="27" borderId="24" xfId="31" applyNumberFormat="1" applyFont="1" applyFill="1" applyBorder="1" applyAlignment="1">
      <alignment vertical="center"/>
    </xf>
    <xf numFmtId="174" fontId="3" fillId="27" borderId="24" xfId="31" applyNumberFormat="1" applyFont="1" applyFill="1" applyBorder="1"/>
    <xf numFmtId="174" fontId="2" fillId="27" borderId="24" xfId="38" applyNumberFormat="1" applyFont="1" applyFill="1" applyBorder="1" applyAlignment="1">
      <alignment horizontal="center" wrapText="1"/>
    </xf>
    <xf numFmtId="174" fontId="2" fillId="27" borderId="24" xfId="31" applyNumberFormat="1" applyFont="1" applyFill="1" applyBorder="1" applyAlignment="1">
      <alignment horizontal="right"/>
    </xf>
    <xf numFmtId="174" fontId="3" fillId="27" borderId="24" xfId="31" applyNumberFormat="1" applyFont="1" applyFill="1" applyBorder="1" applyAlignment="1">
      <alignment horizontal="right"/>
    </xf>
    <xf numFmtId="174" fontId="3" fillId="0" borderId="24" xfId="38" applyNumberFormat="1" applyFont="1" applyFill="1" applyBorder="1" applyAlignment="1">
      <alignment horizontal="center" wrapText="1"/>
    </xf>
    <xf numFmtId="174" fontId="3" fillId="0" borderId="24" xfId="31" applyNumberFormat="1" applyFont="1" applyFill="1" applyBorder="1" applyAlignment="1">
      <alignment horizontal="right"/>
    </xf>
    <xf numFmtId="174" fontId="2" fillId="0" borderId="24" xfId="31" applyNumberFormat="1" applyFont="1" applyFill="1" applyBorder="1" applyAlignment="1">
      <alignment horizontal="right"/>
    </xf>
    <xf numFmtId="174" fontId="2" fillId="0" borderId="53" xfId="31" applyNumberFormat="1" applyFont="1" applyFill="1" applyBorder="1" applyAlignment="1">
      <alignment horizontal="right"/>
    </xf>
    <xf numFmtId="0" fontId="2" fillId="0" borderId="66" xfId="0" applyFont="1" applyBorder="1" applyAlignment="1">
      <alignment horizontal="left"/>
    </xf>
    <xf numFmtId="49" fontId="0" fillId="0" borderId="24" xfId="0" applyNumberFormat="1" applyBorder="1" applyAlignment="1">
      <alignment horizontal="left"/>
    </xf>
    <xf numFmtId="49" fontId="3" fillId="0" borderId="24" xfId="0" applyNumberFormat="1" applyFont="1" applyBorder="1" applyAlignment="1">
      <alignment horizontal="left" vertical="center"/>
    </xf>
    <xf numFmtId="49" fontId="6" fillId="0" borderId="24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left"/>
    </xf>
    <xf numFmtId="49" fontId="3" fillId="0" borderId="24" xfId="0" applyNumberFormat="1" applyFont="1" applyBorder="1" applyAlignment="1">
      <alignment horizontal="left"/>
    </xf>
    <xf numFmtId="49" fontId="0" fillId="27" borderId="24" xfId="0" applyNumberFormat="1" applyFill="1" applyBorder="1" applyAlignment="1">
      <alignment horizontal="left"/>
    </xf>
    <xf numFmtId="49" fontId="2" fillId="27" borderId="24" xfId="0" applyNumberFormat="1" applyFont="1" applyFill="1" applyBorder="1" applyAlignment="1">
      <alignment horizontal="left"/>
    </xf>
    <xf numFmtId="49" fontId="0" fillId="0" borderId="24" xfId="0" applyNumberFormat="1" applyFill="1" applyBorder="1" applyAlignment="1">
      <alignment horizontal="left"/>
    </xf>
    <xf numFmtId="0" fontId="52" fillId="27" borderId="30" xfId="0" applyFont="1" applyFill="1" applyBorder="1" applyAlignment="1">
      <alignment horizontal="center" wrapText="1"/>
    </xf>
    <xf numFmtId="0" fontId="52" fillId="0" borderId="30" xfId="0" applyFont="1" applyBorder="1" applyAlignment="1">
      <alignment horizontal="center" wrapText="1"/>
    </xf>
    <xf numFmtId="0" fontId="52" fillId="0" borderId="53" xfId="0" applyFont="1" applyBorder="1" applyAlignment="1">
      <alignment horizontal="center" wrapText="1"/>
    </xf>
    <xf numFmtId="0" fontId="7" fillId="0" borderId="20" xfId="0" applyFont="1" applyBorder="1" applyAlignment="1">
      <alignment horizontal="left"/>
    </xf>
    <xf numFmtId="49" fontId="6" fillId="0" borderId="20" xfId="31" applyNumberFormat="1" applyFont="1" applyFill="1" applyBorder="1" applyAlignment="1">
      <alignment horizontal="left"/>
    </xf>
    <xf numFmtId="0" fontId="6" fillId="0" borderId="20" xfId="0" applyFont="1" applyBorder="1" applyAlignment="1">
      <alignment horizontal="left"/>
    </xf>
    <xf numFmtId="49" fontId="7" fillId="0" borderId="20" xfId="31" applyNumberFormat="1" applyFont="1" applyFill="1" applyBorder="1" applyAlignment="1">
      <alignment horizontal="left"/>
    </xf>
    <xf numFmtId="49" fontId="7" fillId="0" borderId="20" xfId="31" applyNumberFormat="1" applyFont="1" applyBorder="1" applyAlignment="1">
      <alignment horizontal="left"/>
    </xf>
    <xf numFmtId="49" fontId="6" fillId="0" borderId="20" xfId="31" applyNumberFormat="1" applyFont="1" applyBorder="1" applyAlignment="1">
      <alignment horizontal="left"/>
    </xf>
    <xf numFmtId="49" fontId="1" fillId="0" borderId="66" xfId="31" applyNumberFormat="1" applyBorder="1" applyAlignment="1">
      <alignment horizontal="left"/>
    </xf>
    <xf numFmtId="174" fontId="3" fillId="0" borderId="23" xfId="31" applyNumberFormat="1" applyFont="1" applyFill="1" applyBorder="1"/>
    <xf numFmtId="174" fontId="2" fillId="0" borderId="47" xfId="31" applyNumberFormat="1" applyFont="1" applyBorder="1"/>
    <xf numFmtId="0" fontId="7" fillId="0" borderId="33" xfId="0" applyFont="1" applyBorder="1" applyAlignment="1">
      <alignment horizontal="left"/>
    </xf>
    <xf numFmtId="174" fontId="8" fillId="0" borderId="33" xfId="31" applyNumberFormat="1" applyFont="1" applyFill="1" applyBorder="1"/>
    <xf numFmtId="174" fontId="2" fillId="0" borderId="33" xfId="31" applyNumberFormat="1" applyFont="1" applyBorder="1"/>
    <xf numFmtId="0" fontId="7" fillId="0" borderId="34" xfId="0" applyFont="1" applyBorder="1" applyAlignment="1">
      <alignment horizontal="left"/>
    </xf>
    <xf numFmtId="174" fontId="2" fillId="0" borderId="34" xfId="31" applyNumberFormat="1" applyFont="1" applyFill="1" applyBorder="1"/>
    <xf numFmtId="174" fontId="2" fillId="0" borderId="34" xfId="31" applyNumberFormat="1" applyFont="1" applyBorder="1"/>
    <xf numFmtId="4" fontId="6" fillId="0" borderId="34" xfId="31" applyNumberFormat="1" applyFont="1" applyFill="1" applyBorder="1" applyAlignment="1"/>
    <xf numFmtId="174" fontId="3" fillId="0" borderId="34" xfId="31" applyNumberFormat="1" applyFont="1" applyBorder="1"/>
    <xf numFmtId="174" fontId="1" fillId="0" borderId="34" xfId="31" applyNumberFormat="1" applyBorder="1"/>
    <xf numFmtId="4" fontId="7" fillId="0" borderId="34" xfId="31" applyNumberFormat="1" applyFont="1" applyFill="1" applyBorder="1" applyAlignment="1"/>
    <xf numFmtId="0" fontId="6" fillId="0" borderId="34" xfId="0" applyFont="1" applyBorder="1" applyAlignment="1"/>
    <xf numFmtId="0" fontId="7" fillId="0" borderId="34" xfId="0" applyFont="1" applyBorder="1" applyAlignment="1">
      <alignment vertical="justify" wrapText="1"/>
    </xf>
    <xf numFmtId="0" fontId="7" fillId="0" borderId="34" xfId="0" applyFont="1" applyBorder="1" applyAlignment="1"/>
    <xf numFmtId="0" fontId="6" fillId="0" borderId="34" xfId="0" applyFont="1" applyBorder="1"/>
    <xf numFmtId="0" fontId="7" fillId="0" borderId="34" xfId="0" applyFont="1" applyBorder="1"/>
    <xf numFmtId="0" fontId="5" fillId="0" borderId="34" xfId="0" applyFont="1" applyBorder="1"/>
    <xf numFmtId="174" fontId="3" fillId="0" borderId="34" xfId="31" applyNumberFormat="1" applyFont="1" applyFill="1" applyBorder="1"/>
    <xf numFmtId="0" fontId="7" fillId="0" borderId="34" xfId="0" applyFont="1" applyFill="1" applyBorder="1"/>
    <xf numFmtId="4" fontId="7" fillId="0" borderId="34" xfId="31" applyNumberFormat="1" applyFont="1" applyBorder="1"/>
    <xf numFmtId="4" fontId="6" fillId="0" borderId="34" xfId="31" applyNumberFormat="1" applyFont="1" applyBorder="1"/>
    <xf numFmtId="4" fontId="2" fillId="0" borderId="30" xfId="31" applyNumberFormat="1" applyFont="1" applyBorder="1" applyAlignment="1">
      <alignment horizontal="center"/>
    </xf>
    <xf numFmtId="174" fontId="2" fillId="0" borderId="30" xfId="31" applyNumberFormat="1" applyFont="1" applyBorder="1"/>
    <xf numFmtId="0" fontId="6" fillId="0" borderId="50" xfId="0" applyFont="1" applyBorder="1" applyAlignment="1">
      <alignment horizontal="left"/>
    </xf>
    <xf numFmtId="0" fontId="6" fillId="0" borderId="37" xfId="0" applyFont="1" applyBorder="1"/>
    <xf numFmtId="174" fontId="3" fillId="0" borderId="37" xfId="31" applyNumberFormat="1" applyFont="1" applyBorder="1"/>
    <xf numFmtId="174" fontId="1" fillId="0" borderId="37" xfId="31" applyNumberFormat="1" applyBorder="1"/>
    <xf numFmtId="174" fontId="1" fillId="0" borderId="49" xfId="31" applyNumberFormat="1" applyBorder="1"/>
    <xf numFmtId="49" fontId="7" fillId="0" borderId="50" xfId="31" applyNumberFormat="1" applyFont="1" applyBorder="1" applyAlignment="1">
      <alignment horizontal="left"/>
    </xf>
    <xf numFmtId="4" fontId="7" fillId="0" borderId="37" xfId="31" applyNumberFormat="1" applyFont="1" applyBorder="1"/>
    <xf numFmtId="174" fontId="2" fillId="0" borderId="49" xfId="31" applyNumberFormat="1" applyFont="1" applyBorder="1"/>
    <xf numFmtId="164" fontId="2" fillId="27" borderId="120" xfId="38" applyFont="1" applyFill="1" applyBorder="1"/>
    <xf numFmtId="164" fontId="2" fillId="27" borderId="174" xfId="38" applyFont="1" applyFill="1" applyBorder="1"/>
    <xf numFmtId="164" fontId="2" fillId="27" borderId="151" xfId="38" applyFont="1" applyFill="1" applyBorder="1"/>
    <xf numFmtId="167" fontId="2" fillId="27" borderId="174" xfId="31" applyNumberFormat="1" applyFont="1" applyFill="1" applyBorder="1"/>
    <xf numFmtId="165" fontId="59" fillId="0" borderId="0" xfId="0" applyNumberFormat="1" applyFont="1" applyFill="1"/>
    <xf numFmtId="0" fontId="12" fillId="25" borderId="64" xfId="0" applyFont="1" applyFill="1" applyBorder="1" applyAlignment="1">
      <alignment horizontal="justify" vertical="top" wrapText="1"/>
    </xf>
    <xf numFmtId="0" fontId="12" fillId="25" borderId="90" xfId="0" applyFont="1" applyFill="1" applyBorder="1" applyAlignment="1">
      <alignment horizontal="justify" vertical="top" wrapText="1"/>
    </xf>
    <xf numFmtId="0" fontId="17" fillId="25" borderId="0" xfId="0" applyFont="1" applyFill="1" applyAlignment="1">
      <alignment horizontal="center"/>
    </xf>
    <xf numFmtId="49" fontId="2" fillId="25" borderId="91" xfId="0" applyNumberFormat="1" applyFont="1" applyFill="1" applyBorder="1" applyAlignment="1">
      <alignment horizontal="center"/>
    </xf>
    <xf numFmtId="49" fontId="2" fillId="25" borderId="92" xfId="0" applyNumberFormat="1" applyFont="1" applyFill="1" applyBorder="1" applyAlignment="1">
      <alignment horizontal="center"/>
    </xf>
    <xf numFmtId="49" fontId="2" fillId="25" borderId="93" xfId="0" applyNumberFormat="1" applyFont="1" applyFill="1" applyBorder="1" applyAlignment="1">
      <alignment horizontal="center"/>
    </xf>
    <xf numFmtId="0" fontId="12" fillId="25" borderId="61" xfId="0" applyFont="1" applyFill="1" applyBorder="1" applyAlignment="1">
      <alignment horizontal="justify" vertical="top" wrapText="1"/>
    </xf>
    <xf numFmtId="170" fontId="3" fillId="0" borderId="0" xfId="0" applyNumberFormat="1" applyFont="1" applyFill="1" applyAlignment="1">
      <alignment horizontal="center"/>
    </xf>
    <xf numFmtId="0" fontId="2" fillId="0" borderId="48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77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/>
    </xf>
    <xf numFmtId="0" fontId="2" fillId="0" borderId="66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27" borderId="84" xfId="0" applyFont="1" applyFill="1" applyBorder="1" applyAlignment="1">
      <alignment horizontal="center" vertical="center" wrapText="1"/>
    </xf>
    <xf numFmtId="0" fontId="2" fillId="27" borderId="23" xfId="0" applyFont="1" applyFill="1" applyBorder="1" applyAlignment="1">
      <alignment horizontal="center" vertical="center" wrapText="1"/>
    </xf>
    <xf numFmtId="0" fontId="2" fillId="27" borderId="85" xfId="0" applyFont="1" applyFill="1" applyBorder="1" applyAlignment="1">
      <alignment horizontal="center" vertical="center" wrapText="1"/>
    </xf>
    <xf numFmtId="0" fontId="2" fillId="0" borderId="159" xfId="0" applyFont="1" applyFill="1" applyBorder="1" applyAlignment="1">
      <alignment horizontal="center" vertical="center" wrapText="1"/>
    </xf>
    <xf numFmtId="0" fontId="2" fillId="0" borderId="160" xfId="0" applyFont="1" applyFill="1" applyBorder="1" applyAlignment="1">
      <alignment horizontal="center" vertical="center" wrapText="1"/>
    </xf>
    <xf numFmtId="0" fontId="2" fillId="0" borderId="161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/>
    </xf>
    <xf numFmtId="0" fontId="2" fillId="0" borderId="78" xfId="0" applyFont="1" applyFill="1" applyBorder="1" applyAlignment="1">
      <alignment horizontal="center"/>
    </xf>
    <xf numFmtId="0" fontId="2" fillId="0" borderId="84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 vertical="center" wrapText="1"/>
    </xf>
    <xf numFmtId="0" fontId="2" fillId="0" borderId="8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2" fillId="0" borderId="66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100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98" xfId="0" applyFont="1" applyFill="1" applyBorder="1" applyAlignment="1">
      <alignment horizontal="center" vertical="center" wrapText="1"/>
    </xf>
    <xf numFmtId="0" fontId="2" fillId="0" borderId="94" xfId="0" applyFont="1" applyFill="1" applyBorder="1" applyAlignment="1">
      <alignment horizontal="center" vertical="center" wrapText="1"/>
    </xf>
    <xf numFmtId="0" fontId="2" fillId="0" borderId="95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92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96" xfId="0" applyFont="1" applyFill="1" applyBorder="1" applyAlignment="1">
      <alignment horizontal="center" vertical="center" wrapText="1"/>
    </xf>
    <xf numFmtId="0" fontId="2" fillId="0" borderId="97" xfId="0" applyFont="1" applyFill="1" applyBorder="1" applyAlignment="1">
      <alignment horizontal="center" vertical="center" wrapText="1"/>
    </xf>
    <xf numFmtId="0" fontId="2" fillId="0" borderId="69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wrapText="1"/>
    </xf>
    <xf numFmtId="0" fontId="40" fillId="0" borderId="0" xfId="0" applyFont="1" applyAlignment="1">
      <alignment horizontal="center"/>
    </xf>
    <xf numFmtId="0" fontId="40" fillId="0" borderId="0" xfId="0" applyFont="1" applyBorder="1" applyAlignment="1">
      <alignment horizontal="center"/>
    </xf>
    <xf numFmtId="0" fontId="39" fillId="0" borderId="0" xfId="0" applyFont="1" applyFill="1" applyBorder="1" applyAlignment="1">
      <alignment horizontal="center" vertical="center" wrapText="1"/>
    </xf>
    <xf numFmtId="0" fontId="39" fillId="26" borderId="30" xfId="0" applyFont="1" applyFill="1" applyBorder="1" applyAlignment="1">
      <alignment horizontal="center" vertical="center" wrapText="1"/>
    </xf>
    <xf numFmtId="0" fontId="39" fillId="0" borderId="38" xfId="0" applyFont="1" applyBorder="1" applyAlignment="1">
      <alignment horizontal="center" vertical="center" wrapText="1"/>
    </xf>
    <xf numFmtId="0" fontId="39" fillId="0" borderId="92" xfId="0" applyFont="1" applyBorder="1" applyAlignment="1">
      <alignment horizontal="center" vertical="center" wrapText="1"/>
    </xf>
    <xf numFmtId="0" fontId="39" fillId="0" borderId="36" xfId="0" applyFont="1" applyBorder="1" applyAlignment="1">
      <alignment horizontal="center" vertical="center" wrapText="1"/>
    </xf>
    <xf numFmtId="0" fontId="39" fillId="0" borderId="76" xfId="0" applyFont="1" applyBorder="1" applyAlignment="1">
      <alignment horizontal="center" vertical="center" wrapText="1"/>
    </xf>
    <xf numFmtId="0" fontId="39" fillId="0" borderId="97" xfId="0" applyFont="1" applyBorder="1" applyAlignment="1">
      <alignment horizontal="center" vertical="center" wrapText="1"/>
    </xf>
    <xf numFmtId="0" fontId="39" fillId="0" borderId="69" xfId="0" applyFont="1" applyBorder="1" applyAlignment="1">
      <alignment horizontal="center" vertical="center" wrapText="1"/>
    </xf>
    <xf numFmtId="167" fontId="0" fillId="0" borderId="0" xfId="0" applyNumberFormat="1" applyAlignment="1">
      <alignment horizontal="center"/>
    </xf>
    <xf numFmtId="0" fontId="41" fillId="0" borderId="33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41" fillId="0" borderId="41" xfId="0" applyFont="1" applyFill="1" applyBorder="1" applyAlignment="1">
      <alignment horizontal="center" vertical="center" wrapText="1"/>
    </xf>
    <xf numFmtId="0" fontId="41" fillId="0" borderId="84" xfId="0" applyFont="1" applyFill="1" applyBorder="1" applyAlignment="1">
      <alignment horizontal="center" vertical="center" wrapText="1"/>
    </xf>
    <xf numFmtId="0" fontId="41" fillId="0" borderId="44" xfId="0" applyFont="1" applyFill="1" applyBorder="1" applyAlignment="1">
      <alignment horizontal="center" vertical="center" wrapText="1"/>
    </xf>
    <xf numFmtId="0" fontId="41" fillId="0" borderId="85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41" fillId="0" borderId="35" xfId="0" applyFont="1" applyFill="1" applyBorder="1" applyAlignment="1">
      <alignment horizontal="center" vertical="center" wrapText="1"/>
    </xf>
    <xf numFmtId="0" fontId="41" fillId="0" borderId="33" xfId="0" applyFont="1" applyFill="1" applyBorder="1" applyAlignment="1">
      <alignment horizontal="center" vertical="center"/>
    </xf>
    <xf numFmtId="0" fontId="41" fillId="0" borderId="34" xfId="0" applyFont="1" applyFill="1" applyBorder="1" applyAlignment="1">
      <alignment horizontal="center" vertical="center"/>
    </xf>
    <xf numFmtId="0" fontId="41" fillId="0" borderId="35" xfId="0" applyFont="1" applyFill="1" applyBorder="1" applyAlignment="1">
      <alignment horizontal="center" vertical="center"/>
    </xf>
    <xf numFmtId="0" fontId="41" fillId="27" borderId="33" xfId="0" applyFont="1" applyFill="1" applyBorder="1" applyAlignment="1">
      <alignment horizontal="center" vertical="center"/>
    </xf>
    <xf numFmtId="0" fontId="41" fillId="27" borderId="3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41" fillId="0" borderId="41" xfId="0" applyFont="1" applyFill="1" applyBorder="1" applyAlignment="1">
      <alignment horizontal="center" vertical="center"/>
    </xf>
    <xf numFmtId="0" fontId="41" fillId="0" borderId="20" xfId="0" applyFont="1" applyFill="1" applyBorder="1" applyAlignment="1">
      <alignment horizontal="center" vertical="center"/>
    </xf>
    <xf numFmtId="0" fontId="41" fillId="0" borderId="44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9" fontId="7" fillId="0" borderId="66" xfId="0" applyNumberFormat="1" applyFont="1" applyFill="1" applyBorder="1" applyAlignment="1">
      <alignment horizontal="center" vertical="center"/>
    </xf>
    <xf numFmtId="9" fontId="41" fillId="0" borderId="32" xfId="0" applyNumberFormat="1" applyFont="1" applyFill="1" applyBorder="1" applyAlignment="1">
      <alignment horizontal="center" vertical="center"/>
    </xf>
    <xf numFmtId="9" fontId="41" fillId="0" borderId="47" xfId="0" applyNumberFormat="1" applyFont="1" applyFill="1" applyBorder="1" applyAlignment="1">
      <alignment horizontal="center" vertical="center"/>
    </xf>
    <xf numFmtId="10" fontId="41" fillId="0" borderId="66" xfId="0" applyNumberFormat="1" applyFont="1" applyFill="1" applyBorder="1" applyAlignment="1">
      <alignment horizontal="center" vertical="center"/>
    </xf>
    <xf numFmtId="10" fontId="41" fillId="0" borderId="32" xfId="0" applyNumberFormat="1" applyFont="1" applyFill="1" applyBorder="1" applyAlignment="1">
      <alignment horizontal="center" vertical="center"/>
    </xf>
    <xf numFmtId="0" fontId="41" fillId="0" borderId="32" xfId="0" applyFont="1" applyFill="1" applyBorder="1" applyAlignment="1">
      <alignment horizontal="center" vertical="center"/>
    </xf>
    <xf numFmtId="0" fontId="41" fillId="0" borderId="4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74" fontId="2" fillId="0" borderId="33" xfId="31" applyNumberFormat="1" applyFont="1" applyFill="1" applyBorder="1" applyAlignment="1">
      <alignment horizontal="center" vertical="center" wrapText="1"/>
    </xf>
    <xf numFmtId="174" fontId="2" fillId="0" borderId="35" xfId="0" applyNumberFormat="1" applyFont="1" applyFill="1" applyBorder="1" applyAlignment="1">
      <alignment horizontal="center" vertical="center" wrapText="1"/>
    </xf>
    <xf numFmtId="4" fontId="2" fillId="0" borderId="33" xfId="31" applyNumberFormat="1" applyFont="1" applyFill="1" applyBorder="1" applyAlignment="1">
      <alignment horizontal="center" vertical="center" wrapText="1"/>
    </xf>
    <xf numFmtId="4" fontId="2" fillId="0" borderId="34" xfId="31" applyNumberFormat="1" applyFont="1" applyFill="1" applyBorder="1" applyAlignment="1">
      <alignment horizontal="center" vertical="center" wrapText="1"/>
    </xf>
    <xf numFmtId="4" fontId="2" fillId="0" borderId="35" xfId="31" applyNumberFormat="1" applyFont="1" applyFill="1" applyBorder="1" applyAlignment="1">
      <alignment horizontal="center" vertical="center" wrapText="1"/>
    </xf>
    <xf numFmtId="174" fontId="2" fillId="0" borderId="41" xfId="31" applyNumberFormat="1" applyFont="1" applyFill="1" applyBorder="1" applyAlignment="1">
      <alignment horizontal="center"/>
    </xf>
    <xf numFmtId="174" fontId="2" fillId="0" borderId="78" xfId="31" applyNumberFormat="1" applyFont="1" applyFill="1" applyBorder="1" applyAlignment="1">
      <alignment horizontal="center"/>
    </xf>
    <xf numFmtId="174" fontId="2" fillId="0" borderId="84" xfId="31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30" xfId="0" applyFont="1" applyFill="1" applyBorder="1" applyAlignment="1">
      <alignment horizontal="center"/>
    </xf>
    <xf numFmtId="0" fontId="7" fillId="0" borderId="33" xfId="0" applyFont="1" applyFill="1" applyBorder="1" applyAlignment="1">
      <alignment horizontal="center" vertical="center"/>
    </xf>
    <xf numFmtId="0" fontId="0" fillId="0" borderId="35" xfId="0" applyFill="1" applyBorder="1" applyAlignment="1"/>
    <xf numFmtId="0" fontId="7" fillId="0" borderId="0" xfId="0" applyFont="1" applyFill="1" applyBorder="1" applyAlignment="1">
      <alignment horizontal="left"/>
    </xf>
    <xf numFmtId="0" fontId="19" fillId="0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58" fillId="27" borderId="33" xfId="0" applyFont="1" applyFill="1" applyBorder="1" applyAlignment="1">
      <alignment horizontal="center" vertical="center" wrapText="1"/>
    </xf>
    <xf numFmtId="0" fontId="58" fillId="27" borderId="35" xfId="0" applyFont="1" applyFill="1" applyBorder="1" applyAlignment="1">
      <alignment horizontal="center" vertical="center" wrapText="1"/>
    </xf>
    <xf numFmtId="49" fontId="58" fillId="27" borderId="33" xfId="0" applyNumberFormat="1" applyFont="1" applyFill="1" applyBorder="1" applyAlignment="1">
      <alignment horizontal="center" vertical="center" wrapText="1"/>
    </xf>
    <xf numFmtId="49" fontId="58" fillId="27" borderId="35" xfId="0" applyNumberFormat="1" applyFont="1" applyFill="1" applyBorder="1" applyAlignment="1">
      <alignment horizontal="center" vertical="center" wrapText="1"/>
    </xf>
    <xf numFmtId="4" fontId="58" fillId="27" borderId="33" xfId="31" applyNumberFormat="1" applyFont="1" applyFill="1" applyBorder="1" applyAlignment="1">
      <alignment horizontal="center" vertical="center" wrapText="1"/>
    </xf>
    <xf numFmtId="0" fontId="58" fillId="0" borderId="33" xfId="0" applyFont="1" applyBorder="1" applyAlignment="1">
      <alignment horizontal="center" vertical="center" wrapText="1"/>
    </xf>
    <xf numFmtId="0" fontId="58" fillId="0" borderId="35" xfId="0" applyFont="1" applyBorder="1" applyAlignment="1">
      <alignment horizontal="center" vertical="center" wrapText="1"/>
    </xf>
    <xf numFmtId="0" fontId="58" fillId="27" borderId="41" xfId="0" applyFont="1" applyFill="1" applyBorder="1" applyAlignment="1">
      <alignment horizontal="center" vertical="center" wrapText="1"/>
    </xf>
    <xf numFmtId="0" fontId="58" fillId="27" borderId="78" xfId="0" applyFont="1" applyFill="1" applyBorder="1" applyAlignment="1">
      <alignment horizontal="center" vertical="center" wrapText="1"/>
    </xf>
    <xf numFmtId="0" fontId="58" fillId="27" borderId="8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4" fontId="58" fillId="0" borderId="33" xfId="31" applyNumberFormat="1" applyFont="1" applyBorder="1" applyAlignment="1">
      <alignment horizontal="center" vertical="center" wrapText="1"/>
    </xf>
    <xf numFmtId="0" fontId="58" fillId="0" borderId="44" xfId="0" applyFont="1" applyBorder="1" applyAlignment="1">
      <alignment horizontal="center" vertical="center" wrapText="1"/>
    </xf>
    <xf numFmtId="0" fontId="58" fillId="0" borderId="41" xfId="0" applyFont="1" applyBorder="1" applyAlignment="1">
      <alignment horizontal="center" vertical="center" wrapText="1"/>
    </xf>
    <xf numFmtId="0" fontId="58" fillId="0" borderId="78" xfId="0" applyFont="1" applyBorder="1" applyAlignment="1">
      <alignment horizontal="center" vertical="center" wrapText="1"/>
    </xf>
    <xf numFmtId="0" fontId="58" fillId="0" borderId="84" xfId="0" applyFont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8" fillId="0" borderId="41" xfId="0" applyFont="1" applyBorder="1" applyAlignment="1">
      <alignment horizontal="center" vertical="center" wrapText="1"/>
    </xf>
    <xf numFmtId="0" fontId="48" fillId="0" borderId="78" xfId="0" applyFont="1" applyBorder="1" applyAlignment="1">
      <alignment horizontal="center" vertical="center" wrapText="1"/>
    </xf>
    <xf numFmtId="0" fontId="48" fillId="0" borderId="84" xfId="0" applyFont="1" applyBorder="1" applyAlignment="1">
      <alignment horizontal="center" vertical="center" wrapText="1"/>
    </xf>
    <xf numFmtId="0" fontId="48" fillId="0" borderId="33" xfId="0" applyFont="1" applyBorder="1" applyAlignment="1">
      <alignment horizontal="center" vertical="center" wrapText="1"/>
    </xf>
    <xf numFmtId="0" fontId="48" fillId="0" borderId="35" xfId="0" applyFont="1" applyBorder="1" applyAlignment="1">
      <alignment horizontal="center" vertical="center" wrapText="1"/>
    </xf>
    <xf numFmtId="4" fontId="48" fillId="0" borderId="33" xfId="31" applyNumberFormat="1" applyFont="1" applyBorder="1" applyAlignment="1">
      <alignment horizontal="center" vertical="center" wrapText="1"/>
    </xf>
    <xf numFmtId="4" fontId="48" fillId="0" borderId="35" xfId="31" applyNumberFormat="1" applyFont="1" applyBorder="1" applyAlignment="1">
      <alignment horizontal="center" vertical="center" wrapText="1"/>
    </xf>
    <xf numFmtId="0" fontId="48" fillId="0" borderId="0" xfId="0" applyFont="1" applyAlignment="1">
      <alignment horizontal="left"/>
    </xf>
    <xf numFmtId="4" fontId="2" fillId="0" borderId="106" xfId="31" applyNumberFormat="1" applyFont="1" applyBorder="1" applyAlignment="1">
      <alignment horizontal="center" vertical="center" wrapText="1"/>
    </xf>
    <xf numFmtId="4" fontId="2" fillId="0" borderId="85" xfId="31" applyNumberFormat="1" applyFont="1" applyBorder="1" applyAlignment="1">
      <alignment horizontal="center" vertical="center" wrapText="1"/>
    </xf>
    <xf numFmtId="49" fontId="7" fillId="0" borderId="126" xfId="31" applyNumberFormat="1" applyFont="1" applyBorder="1" applyAlignment="1">
      <alignment horizontal="center" vertical="center" textRotation="90" wrapText="1"/>
    </xf>
    <xf numFmtId="0" fontId="2" fillId="0" borderId="127" xfId="0" applyFont="1" applyBorder="1" applyAlignment="1">
      <alignment horizontal="center" vertical="center" textRotation="90" wrapText="1"/>
    </xf>
    <xf numFmtId="0" fontId="2" fillId="0" borderId="128" xfId="0" applyFont="1" applyBorder="1" applyAlignment="1">
      <alignment horizontal="center" vertical="center" textRotation="90" wrapText="1"/>
    </xf>
    <xf numFmtId="4" fontId="8" fillId="0" borderId="133" xfId="31" applyNumberFormat="1" applyFont="1" applyBorder="1" applyAlignment="1">
      <alignment horizontal="center" vertical="center" wrapText="1"/>
    </xf>
    <xf numFmtId="0" fontId="8" fillId="0" borderId="134" xfId="0" applyFont="1" applyBorder="1" applyAlignment="1">
      <alignment horizontal="center" vertical="center" wrapText="1"/>
    </xf>
    <xf numFmtId="0" fontId="8" fillId="0" borderId="135" xfId="0" applyFont="1" applyBorder="1" applyAlignment="1">
      <alignment horizontal="center" vertical="center" wrapText="1"/>
    </xf>
    <xf numFmtId="4" fontId="4" fillId="0" borderId="127" xfId="31" applyNumberFormat="1" applyFont="1" applyBorder="1" applyAlignment="1">
      <alignment horizontal="center"/>
    </xf>
    <xf numFmtId="4" fontId="4" fillId="0" borderId="0" xfId="31" applyNumberFormat="1" applyFont="1" applyBorder="1" applyAlignment="1">
      <alignment horizontal="center"/>
    </xf>
    <xf numFmtId="4" fontId="4" fillId="0" borderId="139" xfId="31" applyNumberFormat="1" applyFont="1" applyBorder="1" applyAlignment="1">
      <alignment horizontal="center"/>
    </xf>
    <xf numFmtId="4" fontId="4" fillId="0" borderId="10" xfId="31" applyNumberFormat="1" applyFont="1" applyBorder="1" applyAlignment="1">
      <alignment horizontal="center"/>
    </xf>
    <xf numFmtId="164" fontId="4" fillId="0" borderId="52" xfId="38" applyFont="1" applyBorder="1" applyAlignment="1">
      <alignment horizontal="center" vertical="center" wrapText="1"/>
    </xf>
    <xf numFmtId="164" fontId="4" fillId="0" borderId="82" xfId="38" applyFont="1" applyBorder="1" applyAlignment="1">
      <alignment horizontal="center" vertical="center" wrapText="1"/>
    </xf>
    <xf numFmtId="4" fontId="4" fillId="0" borderId="62" xfId="31" applyNumberFormat="1" applyFont="1" applyBorder="1" applyAlignment="1">
      <alignment horizontal="center"/>
    </xf>
    <xf numFmtId="4" fontId="2" fillId="0" borderId="91" xfId="31" applyNumberFormat="1" applyFont="1" applyBorder="1" applyAlignment="1">
      <alignment horizontal="center"/>
    </xf>
    <xf numFmtId="4" fontId="2" fillId="0" borderId="92" xfId="31" applyNumberFormat="1" applyFont="1" applyBorder="1" applyAlignment="1">
      <alignment horizontal="center"/>
    </xf>
    <xf numFmtId="4" fontId="2" fillId="0" borderId="93" xfId="31" applyNumberFormat="1" applyFont="1" applyBorder="1" applyAlignment="1">
      <alignment horizontal="center"/>
    </xf>
    <xf numFmtId="4" fontId="2" fillId="0" borderId="36" xfId="31" applyNumberFormat="1" applyFont="1" applyBorder="1" applyAlignment="1">
      <alignment horizontal="center"/>
    </xf>
    <xf numFmtId="4" fontId="4" fillId="0" borderId="149" xfId="31" applyNumberFormat="1" applyFont="1" applyBorder="1" applyAlignment="1">
      <alignment horizontal="center" vertical="center" wrapText="1"/>
    </xf>
    <xf numFmtId="4" fontId="4" fillId="0" borderId="139" xfId="31" applyNumberFormat="1" applyFont="1" applyBorder="1" applyAlignment="1">
      <alignment horizontal="center" vertical="center" wrapText="1"/>
    </xf>
    <xf numFmtId="4" fontId="4" fillId="0" borderId="152" xfId="31" applyNumberFormat="1" applyFont="1" applyBorder="1" applyAlignment="1">
      <alignment horizontal="center" vertical="center" wrapText="1"/>
    </xf>
    <xf numFmtId="164" fontId="2" fillId="0" borderId="129" xfId="38" applyFont="1" applyBorder="1" applyAlignment="1">
      <alignment horizontal="center"/>
    </xf>
    <xf numFmtId="164" fontId="2" fillId="0" borderId="147" xfId="38" applyFont="1" applyBorder="1" applyAlignment="1">
      <alignment horizontal="center"/>
    </xf>
    <xf numFmtId="164" fontId="2" fillId="0" borderId="117" xfId="38" applyFont="1" applyBorder="1" applyAlignment="1">
      <alignment horizontal="center"/>
    </xf>
    <xf numFmtId="4" fontId="2" fillId="0" borderId="127" xfId="31" applyNumberFormat="1" applyFont="1" applyBorder="1" applyAlignment="1">
      <alignment horizontal="center" wrapText="1"/>
    </xf>
    <xf numFmtId="4" fontId="2" fillId="0" borderId="143" xfId="31" applyNumberFormat="1" applyFont="1" applyBorder="1" applyAlignment="1">
      <alignment horizontal="center" wrapText="1"/>
    </xf>
    <xf numFmtId="164" fontId="4" fillId="0" borderId="127" xfId="38" applyFont="1" applyBorder="1" applyAlignment="1">
      <alignment horizontal="center"/>
    </xf>
    <xf numFmtId="164" fontId="4" fillId="0" borderId="0" xfId="38" applyFont="1" applyBorder="1" applyAlignment="1">
      <alignment horizontal="center"/>
    </xf>
    <xf numFmtId="164" fontId="4" fillId="0" borderId="139" xfId="38" applyFont="1" applyBorder="1" applyAlignment="1">
      <alignment horizontal="center"/>
    </xf>
    <xf numFmtId="164" fontId="4" fillId="0" borderId="81" xfId="38" applyFont="1" applyBorder="1" applyAlignment="1">
      <alignment horizontal="center" vertical="center" wrapText="1"/>
    </xf>
    <xf numFmtId="164" fontId="4" fillId="0" borderId="148" xfId="38" applyFont="1" applyBorder="1" applyAlignment="1">
      <alignment horizontal="center" vertical="center" wrapText="1"/>
    </xf>
    <xf numFmtId="4" fontId="2" fillId="0" borderId="126" xfId="31" applyNumberFormat="1" applyFont="1" applyBorder="1" applyAlignment="1">
      <alignment horizontal="center" vertical="center" wrapText="1"/>
    </xf>
    <xf numFmtId="4" fontId="2" fillId="0" borderId="105" xfId="31" applyNumberFormat="1" applyFont="1" applyBorder="1" applyAlignment="1">
      <alignment horizontal="center" vertical="center" wrapText="1"/>
    </xf>
    <xf numFmtId="4" fontId="2" fillId="0" borderId="149" xfId="31" applyNumberFormat="1" applyFont="1" applyBorder="1" applyAlignment="1">
      <alignment horizontal="center" vertical="center" wrapText="1"/>
    </xf>
    <xf numFmtId="4" fontId="4" fillId="0" borderId="141" xfId="31" applyNumberFormat="1" applyFont="1" applyBorder="1" applyAlignment="1">
      <alignment horizontal="center" vertical="center" wrapText="1"/>
    </xf>
    <xf numFmtId="4" fontId="4" fillId="0" borderId="108" xfId="31" applyNumberFormat="1" applyFont="1" applyBorder="1" applyAlignment="1">
      <alignment horizontal="center" vertical="center" wrapText="1"/>
    </xf>
    <xf numFmtId="4" fontId="4" fillId="0" borderId="111" xfId="31" applyNumberFormat="1" applyFont="1" applyBorder="1" applyAlignment="1">
      <alignment horizontal="center" vertical="center" wrapText="1"/>
    </xf>
    <xf numFmtId="4" fontId="2" fillId="0" borderId="134" xfId="31" applyNumberFormat="1" applyFont="1" applyBorder="1" applyAlignment="1">
      <alignment horizontal="center" vertical="center" wrapText="1"/>
    </xf>
    <xf numFmtId="4" fontId="2" fillId="0" borderId="155" xfId="31" applyNumberFormat="1" applyFont="1" applyBorder="1" applyAlignment="1">
      <alignment horizontal="center" vertical="center" wrapText="1"/>
    </xf>
    <xf numFmtId="4" fontId="4" fillId="0" borderId="52" xfId="31" applyNumberFormat="1" applyFont="1" applyBorder="1" applyAlignment="1">
      <alignment horizontal="center" vertical="center" wrapText="1"/>
    </xf>
    <xf numFmtId="4" fontId="4" fillId="0" borderId="82" xfId="31" applyNumberFormat="1" applyFont="1" applyBorder="1" applyAlignment="1">
      <alignment horizontal="center" vertical="center" wrapText="1"/>
    </xf>
    <xf numFmtId="4" fontId="4" fillId="0" borderId="81" xfId="31" applyNumberFormat="1" applyFont="1" applyBorder="1" applyAlignment="1">
      <alignment horizontal="center" vertical="center" wrapText="1"/>
    </xf>
    <xf numFmtId="4" fontId="4" fillId="0" borderId="148" xfId="31" applyNumberFormat="1" applyFont="1" applyBorder="1" applyAlignment="1">
      <alignment horizontal="center" vertical="center" wrapText="1"/>
    </xf>
    <xf numFmtId="164" fontId="4" fillId="0" borderId="64" xfId="38" applyFont="1" applyBorder="1" applyAlignment="1">
      <alignment horizontal="center" vertical="center" wrapText="1"/>
    </xf>
    <xf numFmtId="164" fontId="4" fillId="0" borderId="90" xfId="38" applyFont="1" applyBorder="1" applyAlignment="1">
      <alignment horizontal="center" vertical="center" wrapText="1"/>
    </xf>
    <xf numFmtId="164" fontId="2" fillId="0" borderId="126" xfId="38" applyFont="1" applyBorder="1" applyAlignment="1">
      <alignment horizontal="center" vertical="center"/>
    </xf>
    <xf numFmtId="164" fontId="2" fillId="0" borderId="105" xfId="38" applyFont="1" applyBorder="1" applyAlignment="1">
      <alignment horizontal="center" vertical="center"/>
    </xf>
    <xf numFmtId="164" fontId="2" fillId="0" borderId="149" xfId="38" applyFont="1" applyBorder="1" applyAlignment="1">
      <alignment horizontal="center" vertical="center"/>
    </xf>
    <xf numFmtId="164" fontId="2" fillId="0" borderId="143" xfId="38" applyFont="1" applyBorder="1" applyAlignment="1">
      <alignment horizontal="center" vertical="center"/>
    </xf>
    <xf numFmtId="164" fontId="2" fillId="0" borderId="83" xfId="38" applyFont="1" applyBorder="1" applyAlignment="1">
      <alignment horizontal="center" vertical="center"/>
    </xf>
    <xf numFmtId="164" fontId="2" fillId="0" borderId="145" xfId="38" applyFont="1" applyBorder="1" applyAlignment="1">
      <alignment horizontal="center" vertical="center"/>
    </xf>
    <xf numFmtId="4" fontId="2" fillId="0" borderId="127" xfId="31" applyNumberFormat="1" applyFont="1" applyBorder="1" applyAlignment="1">
      <alignment horizontal="center" vertical="center" wrapText="1"/>
    </xf>
    <xf numFmtId="4" fontId="4" fillId="0" borderId="41" xfId="31" applyNumberFormat="1" applyFont="1" applyBorder="1" applyAlignment="1">
      <alignment horizontal="center"/>
    </xf>
    <xf numFmtId="4" fontId="4" fillId="0" borderId="20" xfId="31" applyNumberFormat="1" applyFont="1" applyBorder="1" applyAlignment="1">
      <alignment horizontal="center"/>
    </xf>
    <xf numFmtId="4" fontId="4" fillId="0" borderId="156" xfId="31" applyNumberFormat="1" applyFont="1" applyBorder="1" applyAlignment="1">
      <alignment horizontal="center"/>
    </xf>
    <xf numFmtId="4" fontId="2" fillId="0" borderId="44" xfId="31" applyNumberFormat="1" applyFont="1" applyBorder="1" applyAlignment="1">
      <alignment horizontal="center"/>
    </xf>
    <xf numFmtId="4" fontId="2" fillId="0" borderId="31" xfId="31" applyNumberFormat="1" applyFont="1" applyBorder="1" applyAlignment="1">
      <alignment horizontal="center"/>
    </xf>
    <xf numFmtId="4" fontId="2" fillId="0" borderId="66" xfId="31" applyNumberFormat="1" applyFont="1" applyBorder="1" applyAlignment="1">
      <alignment horizontal="center"/>
    </xf>
    <xf numFmtId="4" fontId="2" fillId="0" borderId="32" xfId="31" applyNumberFormat="1" applyFont="1" applyBorder="1" applyAlignment="1">
      <alignment horizontal="center"/>
    </xf>
    <xf numFmtId="4" fontId="2" fillId="0" borderId="102" xfId="31" applyNumberFormat="1" applyFont="1" applyBorder="1" applyAlignment="1">
      <alignment horizontal="center"/>
    </xf>
    <xf numFmtId="4" fontId="2" fillId="0" borderId="103" xfId="31" applyNumberFormat="1" applyFont="1" applyBorder="1" applyAlignment="1">
      <alignment horizontal="center"/>
    </xf>
    <xf numFmtId="4" fontId="4" fillId="0" borderId="33" xfId="31" applyNumberFormat="1" applyFont="1" applyBorder="1" applyAlignment="1">
      <alignment horizontal="center"/>
    </xf>
    <xf numFmtId="4" fontId="4" fillId="0" borderId="34" xfId="31" applyNumberFormat="1" applyFont="1" applyBorder="1" applyAlignment="1">
      <alignment horizontal="center"/>
    </xf>
    <xf numFmtId="4" fontId="4" fillId="0" borderId="110" xfId="31" applyNumberFormat="1" applyFont="1" applyBorder="1" applyAlignment="1">
      <alignment horizontal="center"/>
    </xf>
    <xf numFmtId="4" fontId="2" fillId="0" borderId="104" xfId="31" applyNumberFormat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42" fillId="0" borderId="0" xfId="0" applyFont="1" applyFill="1" applyAlignment="1">
      <alignment horizontal="center"/>
    </xf>
    <xf numFmtId="0" fontId="43" fillId="0" borderId="0" xfId="0" applyFont="1" applyFill="1" applyAlignment="1">
      <alignment horizontal="center"/>
    </xf>
    <xf numFmtId="0" fontId="43" fillId="0" borderId="41" xfId="0" applyFont="1" applyFill="1" applyBorder="1" applyAlignment="1">
      <alignment horizontal="center"/>
    </xf>
    <xf numFmtId="0" fontId="43" fillId="0" borderId="78" xfId="0" applyFont="1" applyFill="1" applyBorder="1" applyAlignment="1">
      <alignment horizontal="center"/>
    </xf>
    <xf numFmtId="0" fontId="43" fillId="0" borderId="84" xfId="0" applyFont="1" applyFill="1" applyBorder="1" applyAlignment="1">
      <alignment horizontal="center"/>
    </xf>
    <xf numFmtId="49" fontId="43" fillId="0" borderId="20" xfId="0" applyNumberFormat="1" applyFont="1" applyFill="1" applyBorder="1" applyAlignment="1">
      <alignment horizontal="center"/>
    </xf>
    <xf numFmtId="49" fontId="43" fillId="0" borderId="0" xfId="0" applyNumberFormat="1" applyFont="1" applyFill="1" applyBorder="1" applyAlignment="1">
      <alignment horizontal="center"/>
    </xf>
    <xf numFmtId="49" fontId="43" fillId="0" borderId="23" xfId="0" applyNumberFormat="1" applyFont="1" applyFill="1" applyBorder="1" applyAlignment="1">
      <alignment horizontal="center"/>
    </xf>
    <xf numFmtId="0" fontId="43" fillId="0" borderId="20" xfId="0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43" fillId="0" borderId="23" xfId="0" applyFont="1" applyFill="1" applyBorder="1" applyAlignment="1">
      <alignment horizontal="center"/>
    </xf>
    <xf numFmtId="0" fontId="45" fillId="0" borderId="44" xfId="0" applyFont="1" applyFill="1" applyBorder="1" applyAlignment="1">
      <alignment horizontal="center"/>
    </xf>
    <xf numFmtId="0" fontId="45" fillId="0" borderId="31" xfId="0" applyFont="1" applyFill="1" applyBorder="1" applyAlignment="1">
      <alignment horizontal="center"/>
    </xf>
    <xf numFmtId="0" fontId="45" fillId="0" borderId="85" xfId="0" applyFont="1" applyFill="1" applyBorder="1" applyAlignment="1">
      <alignment horizontal="center"/>
    </xf>
    <xf numFmtId="49" fontId="42" fillId="0" borderId="0" xfId="0" applyNumberFormat="1" applyFont="1" applyFill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2" fillId="0" borderId="47" xfId="0" applyFont="1" applyFill="1" applyBorder="1" applyAlignment="1">
      <alignment horizontal="center"/>
    </xf>
    <xf numFmtId="0" fontId="42" fillId="0" borderId="0" xfId="0" applyFont="1" applyFill="1" applyAlignment="1">
      <alignment horizontal="center" vertical="center" wrapText="1"/>
    </xf>
    <xf numFmtId="49" fontId="42" fillId="0" borderId="31" xfId="0" applyNumberFormat="1" applyFont="1" applyFill="1" applyBorder="1" applyAlignment="1">
      <alignment horizontal="center"/>
    </xf>
    <xf numFmtId="0" fontId="46" fillId="0" borderId="33" xfId="0" applyFont="1" applyFill="1" applyBorder="1" applyAlignment="1">
      <alignment horizontal="center" vertical="center" wrapText="1"/>
    </xf>
    <xf numFmtId="0" fontId="47" fillId="0" borderId="35" xfId="0" applyFont="1" applyFill="1" applyBorder="1" applyAlignment="1">
      <alignment vertical="center" wrapText="1"/>
    </xf>
    <xf numFmtId="0" fontId="46" fillId="0" borderId="27" xfId="0" applyFont="1" applyFill="1" applyBorder="1" applyAlignment="1">
      <alignment horizontal="center" vertical="center" wrapText="1"/>
    </xf>
    <xf numFmtId="0" fontId="47" fillId="0" borderId="87" xfId="0" applyFont="1" applyFill="1" applyBorder="1" applyAlignment="1">
      <alignment vertical="center" wrapText="1"/>
    </xf>
    <xf numFmtId="164" fontId="42" fillId="0" borderId="0" xfId="38" applyFont="1" applyFill="1" applyAlignment="1">
      <alignment horizontal="center"/>
    </xf>
    <xf numFmtId="0" fontId="49" fillId="0" borderId="0" xfId="0" applyFont="1" applyFill="1" applyAlignment="1">
      <alignment horizontal="center"/>
    </xf>
    <xf numFmtId="49" fontId="49" fillId="0" borderId="0" xfId="0" applyNumberFormat="1" applyFont="1" applyFill="1" applyAlignment="1">
      <alignment horizontal="center"/>
    </xf>
    <xf numFmtId="49" fontId="50" fillId="0" borderId="33" xfId="0" applyNumberFormat="1" applyFont="1" applyFill="1" applyBorder="1" applyAlignment="1">
      <alignment horizontal="center" vertical="center" wrapText="1"/>
    </xf>
    <xf numFmtId="49" fontId="50" fillId="0" borderId="35" xfId="0" applyNumberFormat="1" applyFont="1" applyFill="1" applyBorder="1" applyAlignment="1">
      <alignment horizontal="center" vertical="center" wrapText="1"/>
    </xf>
    <xf numFmtId="49" fontId="49" fillId="0" borderId="0" xfId="0" applyNumberFormat="1" applyFont="1" applyFill="1" applyBorder="1" applyAlignment="1">
      <alignment horizontal="center"/>
    </xf>
    <xf numFmtId="0" fontId="50" fillId="0" borderId="33" xfId="0" applyFont="1" applyFill="1" applyBorder="1" applyAlignment="1">
      <alignment horizontal="center" vertical="center" wrapText="1"/>
    </xf>
    <xf numFmtId="0" fontId="51" fillId="0" borderId="35" xfId="0" applyFont="1" applyFill="1" applyBorder="1" applyAlignment="1">
      <alignment vertical="center" wrapText="1"/>
    </xf>
    <xf numFmtId="0" fontId="50" fillId="0" borderId="27" xfId="0" applyFont="1" applyFill="1" applyBorder="1" applyAlignment="1">
      <alignment horizontal="center" vertical="center" wrapText="1"/>
    </xf>
    <xf numFmtId="0" fontId="51" fillId="0" borderId="87" xfId="0" applyFont="1" applyFill="1" applyBorder="1" applyAlignment="1">
      <alignment vertical="center" wrapText="1"/>
    </xf>
    <xf numFmtId="0" fontId="60" fillId="0" borderId="0" xfId="0" applyFont="1" applyAlignment="1">
      <alignment horizontal="center" wrapText="1"/>
    </xf>
    <xf numFmtId="0" fontId="61" fillId="0" borderId="0" xfId="0" applyFont="1"/>
    <xf numFmtId="0" fontId="61" fillId="0" borderId="0" xfId="0" applyFont="1" applyFill="1"/>
    <xf numFmtId="0" fontId="60" fillId="0" borderId="0" xfId="0" applyFont="1" applyBorder="1" applyAlignment="1">
      <alignment wrapText="1"/>
    </xf>
    <xf numFmtId="0" fontId="60" fillId="0" borderId="30" xfId="0" applyFont="1" applyFill="1" applyBorder="1" applyAlignment="1">
      <alignment horizontal="center" vertical="center" wrapText="1"/>
    </xf>
    <xf numFmtId="0" fontId="60" fillId="0" borderId="66" xfId="0" applyFont="1" applyFill="1" applyBorder="1" applyAlignment="1">
      <alignment horizontal="center" vertical="center" wrapText="1"/>
    </xf>
    <xf numFmtId="0" fontId="62" fillId="0" borderId="30" xfId="0" applyFont="1" applyFill="1" applyBorder="1" applyAlignment="1">
      <alignment horizontal="center" vertical="center"/>
    </xf>
    <xf numFmtId="10" fontId="62" fillId="0" borderId="30" xfId="0" applyNumberFormat="1" applyFont="1" applyFill="1" applyBorder="1" applyAlignment="1">
      <alignment horizontal="center" vertical="center"/>
    </xf>
    <xf numFmtId="9" fontId="62" fillId="0" borderId="33" xfId="0" applyNumberFormat="1" applyFont="1" applyFill="1" applyBorder="1" applyAlignment="1">
      <alignment horizontal="center" vertical="center" wrapText="1"/>
    </xf>
    <xf numFmtId="9" fontId="62" fillId="0" borderId="30" xfId="0" applyNumberFormat="1" applyFont="1" applyFill="1" applyBorder="1" applyAlignment="1">
      <alignment horizontal="center" vertical="center"/>
    </xf>
    <xf numFmtId="9" fontId="62" fillId="0" borderId="34" xfId="0" applyNumberFormat="1" applyFont="1" applyFill="1" applyBorder="1" applyAlignment="1">
      <alignment horizontal="center" vertical="center" wrapText="1"/>
    </xf>
    <xf numFmtId="10" fontId="62" fillId="0" borderId="30" xfId="0" applyNumberFormat="1" applyFont="1" applyFill="1" applyBorder="1" applyAlignment="1">
      <alignment horizontal="center" vertical="center" wrapText="1"/>
    </xf>
    <xf numFmtId="9" fontId="62" fillId="0" borderId="35" xfId="0" applyNumberFormat="1" applyFont="1" applyFill="1" applyBorder="1" applyAlignment="1">
      <alignment horizontal="center" vertical="center" wrapText="1"/>
    </xf>
    <xf numFmtId="0" fontId="61" fillId="0" borderId="67" xfId="0" applyFont="1" applyFill="1" applyBorder="1" applyAlignment="1">
      <alignment vertical="center" wrapText="1"/>
    </xf>
    <xf numFmtId="0" fontId="61" fillId="0" borderId="73" xfId="0" applyFont="1" applyFill="1" applyBorder="1" applyAlignment="1">
      <alignment vertical="center" wrapText="1"/>
    </xf>
    <xf numFmtId="8" fontId="61" fillId="0" borderId="67" xfId="0" applyNumberFormat="1" applyFont="1" applyFill="1" applyBorder="1" applyAlignment="1">
      <alignment horizontal="center"/>
    </xf>
    <xf numFmtId="8" fontId="61" fillId="0" borderId="46" xfId="0" applyNumberFormat="1" applyFont="1" applyFill="1" applyBorder="1" applyAlignment="1">
      <alignment horizontal="center"/>
    </xf>
    <xf numFmtId="8" fontId="61" fillId="0" borderId="39" xfId="0" applyNumberFormat="1" applyFont="1" applyFill="1" applyBorder="1" applyAlignment="1">
      <alignment horizontal="center"/>
    </xf>
    <xf numFmtId="8" fontId="61" fillId="27" borderId="17" xfId="0" applyNumberFormat="1" applyFont="1" applyFill="1" applyBorder="1" applyAlignment="1">
      <alignment horizontal="center"/>
    </xf>
    <xf numFmtId="8" fontId="61" fillId="27" borderId="18" xfId="0" applyNumberFormat="1" applyFont="1" applyFill="1" applyBorder="1" applyAlignment="1">
      <alignment horizontal="center"/>
    </xf>
    <xf numFmtId="8" fontId="61" fillId="0" borderId="19" xfId="0" applyNumberFormat="1" applyFont="1" applyFill="1" applyBorder="1" applyAlignment="1">
      <alignment horizontal="center"/>
    </xf>
    <xf numFmtId="8" fontId="61" fillId="0" borderId="49" xfId="0" applyNumberFormat="1" applyFont="1" applyFill="1" applyBorder="1" applyAlignment="1">
      <alignment horizontal="center"/>
    </xf>
    <xf numFmtId="0" fontId="61" fillId="0" borderId="12" xfId="0" applyFont="1" applyFill="1" applyBorder="1" applyAlignment="1">
      <alignment vertical="center" wrapText="1"/>
    </xf>
    <xf numFmtId="0" fontId="61" fillId="0" borderId="38" xfId="0" applyFont="1" applyFill="1" applyBorder="1" applyAlignment="1">
      <alignment vertical="center" wrapText="1"/>
    </xf>
    <xf numFmtId="8" fontId="61" fillId="0" borderId="12" xfId="0" applyNumberFormat="1" applyFont="1" applyFill="1" applyBorder="1" applyAlignment="1">
      <alignment horizontal="center"/>
    </xf>
    <xf numFmtId="8" fontId="61" fillId="0" borderId="10" xfId="0" applyNumberFormat="1" applyFont="1" applyFill="1" applyBorder="1" applyAlignment="1">
      <alignment horizontal="center"/>
    </xf>
    <xf numFmtId="8" fontId="61" fillId="0" borderId="13" xfId="0" applyNumberFormat="1" applyFont="1" applyFill="1" applyBorder="1" applyAlignment="1">
      <alignment horizontal="center"/>
    </xf>
    <xf numFmtId="8" fontId="61" fillId="27" borderId="12" xfId="0" applyNumberFormat="1" applyFont="1" applyFill="1" applyBorder="1" applyAlignment="1">
      <alignment horizontal="center"/>
    </xf>
    <xf numFmtId="8" fontId="61" fillId="27" borderId="10" xfId="0" applyNumberFormat="1" applyFont="1" applyFill="1" applyBorder="1" applyAlignment="1">
      <alignment horizontal="center"/>
    </xf>
    <xf numFmtId="0" fontId="61" fillId="0" borderId="51" xfId="0" applyFont="1" applyFill="1" applyBorder="1" applyAlignment="1">
      <alignment vertical="center" wrapText="1"/>
    </xf>
    <xf numFmtId="0" fontId="61" fillId="0" borderId="76" xfId="0" applyFont="1" applyFill="1" applyBorder="1" applyAlignment="1">
      <alignment vertical="center" wrapText="1"/>
    </xf>
    <xf numFmtId="8" fontId="61" fillId="0" borderId="51" xfId="0" applyNumberFormat="1" applyFont="1" applyFill="1" applyBorder="1" applyAlignment="1">
      <alignment horizontal="center"/>
    </xf>
    <xf numFmtId="8" fontId="61" fillId="0" borderId="52" xfId="0" applyNumberFormat="1" applyFont="1" applyFill="1" applyBorder="1" applyAlignment="1">
      <alignment horizontal="center"/>
    </xf>
    <xf numFmtId="8" fontId="61" fillId="0" borderId="40" xfId="0" applyNumberFormat="1" applyFont="1" applyFill="1" applyBorder="1" applyAlignment="1">
      <alignment horizontal="center"/>
    </xf>
    <xf numFmtId="0" fontId="60" fillId="0" borderId="53" xfId="0" applyFont="1" applyFill="1" applyBorder="1" applyAlignment="1">
      <alignment horizontal="center" vertical="center" wrapText="1"/>
    </xf>
    <xf numFmtId="0" fontId="60" fillId="0" borderId="56" xfId="0" applyFont="1" applyFill="1" applyBorder="1" applyAlignment="1">
      <alignment horizontal="center" vertical="center" wrapText="1"/>
    </xf>
    <xf numFmtId="8" fontId="60" fillId="0" borderId="53" xfId="0" applyNumberFormat="1" applyFont="1" applyFill="1" applyBorder="1" applyAlignment="1">
      <alignment horizontal="center"/>
    </xf>
    <xf numFmtId="8" fontId="60" fillId="0" borderId="54" xfId="0" applyNumberFormat="1" applyFont="1" applyFill="1" applyBorder="1" applyAlignment="1">
      <alignment horizontal="center"/>
    </xf>
    <xf numFmtId="8" fontId="60" fillId="0" borderId="55" xfId="0" applyNumberFormat="1" applyFont="1" applyFill="1" applyBorder="1" applyAlignment="1">
      <alignment horizontal="center"/>
    </xf>
    <xf numFmtId="8" fontId="60" fillId="0" borderId="47" xfId="0" applyNumberFormat="1" applyFont="1" applyFill="1" applyBorder="1" applyAlignment="1">
      <alignment horizontal="center"/>
    </xf>
    <xf numFmtId="8" fontId="61" fillId="0" borderId="0" xfId="0" applyNumberFormat="1" applyFont="1"/>
    <xf numFmtId="8" fontId="63" fillId="0" borderId="0" xfId="0" applyNumberFormat="1" applyFont="1"/>
    <xf numFmtId="0" fontId="64" fillId="0" borderId="0" xfId="0" applyFont="1"/>
  </cellXfs>
  <cellStyles count="49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5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Millares" xfId="33" builtinId="3"/>
    <cellStyle name="Millares_bienes y servicios 2003 juayua" xfId="34"/>
    <cellStyle name="Millares_FORMATOS" xfId="35"/>
    <cellStyle name="Millares_Presupuesto_Ingresos2003" xfId="36"/>
    <cellStyle name="Millares_Presupuesto2003_Juayua_Modelo" xfId="37"/>
    <cellStyle name="Moneda" xfId="38" builtinId="4"/>
    <cellStyle name="Neutral" xfId="39" builtinId="28" customBuiltin="1"/>
    <cellStyle name="Normal" xfId="0" builtinId="0"/>
    <cellStyle name="Notas" xfId="40" builtinId="10" customBuiltin="1"/>
    <cellStyle name="Salida" xfId="41" builtinId="21" customBuiltin="1"/>
    <cellStyle name="Texto de advertencia" xfId="42" builtinId="11" customBuiltin="1"/>
    <cellStyle name="Texto explicativo" xfId="43" builtinId="53" customBuiltin="1"/>
    <cellStyle name="Título" xfId="44" builtinId="15" customBuiltin="1"/>
    <cellStyle name="Título 2" xfId="46" builtinId="17" customBuiltin="1"/>
    <cellStyle name="Título 3" xfId="47" builtinId="18" customBuiltin="1"/>
    <cellStyle name="Total" xfId="4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B1:E23"/>
  <sheetViews>
    <sheetView topLeftCell="A28" zoomScale="115" zoomScaleNormal="115" workbookViewId="0">
      <selection activeCell="D5" sqref="D5"/>
    </sheetView>
  </sheetViews>
  <sheetFormatPr baseColWidth="10" defaultRowHeight="12.75" x14ac:dyDescent="0.2"/>
  <cols>
    <col min="1" max="1" width="2.85546875" style="90" customWidth="1"/>
    <col min="2" max="2" width="8.7109375" style="90" customWidth="1"/>
    <col min="3" max="3" width="8.42578125" style="90" customWidth="1"/>
    <col min="4" max="4" width="40.85546875" style="90" customWidth="1"/>
    <col min="5" max="5" width="35.85546875" style="90" customWidth="1"/>
    <col min="6" max="16384" width="11.42578125" style="90"/>
  </cols>
  <sheetData>
    <row r="1" spans="2:5" x14ac:dyDescent="0.2">
      <c r="B1" s="976" t="s">
        <v>308</v>
      </c>
      <c r="C1" s="976"/>
      <c r="D1" s="976"/>
      <c r="E1" s="976"/>
    </row>
    <row r="2" spans="2:5" x14ac:dyDescent="0.2">
      <c r="B2" s="976" t="s">
        <v>472</v>
      </c>
      <c r="C2" s="976"/>
      <c r="D2" s="976"/>
      <c r="E2" s="976"/>
    </row>
    <row r="3" spans="2:5" ht="13.5" thickBot="1" x14ac:dyDescent="0.25">
      <c r="B3" s="976" t="s">
        <v>601</v>
      </c>
      <c r="C3" s="976"/>
      <c r="D3" s="976"/>
      <c r="E3" s="976"/>
    </row>
    <row r="4" spans="2:5" ht="39.75" thickTop="1" thickBot="1" x14ac:dyDescent="0.25">
      <c r="B4" s="104" t="s">
        <v>672</v>
      </c>
      <c r="C4" s="105" t="s">
        <v>671</v>
      </c>
      <c r="D4" s="105" t="s">
        <v>105</v>
      </c>
      <c r="E4" s="106" t="s">
        <v>670</v>
      </c>
    </row>
    <row r="5" spans="2:5" x14ac:dyDescent="0.2">
      <c r="B5" s="107" t="s">
        <v>279</v>
      </c>
      <c r="C5" s="91"/>
      <c r="D5" s="91" t="s">
        <v>320</v>
      </c>
      <c r="E5" s="108"/>
    </row>
    <row r="6" spans="2:5" ht="40.5" customHeight="1" x14ac:dyDescent="0.2">
      <c r="B6" s="109"/>
      <c r="C6" s="92" t="s">
        <v>22</v>
      </c>
      <c r="D6" s="93" t="s">
        <v>485</v>
      </c>
      <c r="E6" s="652" t="s">
        <v>466</v>
      </c>
    </row>
    <row r="7" spans="2:5" ht="38.25" customHeight="1" x14ac:dyDescent="0.2">
      <c r="B7" s="109"/>
      <c r="C7" s="92" t="s">
        <v>23</v>
      </c>
      <c r="D7" s="93" t="s">
        <v>486</v>
      </c>
      <c r="E7" s="727" t="s">
        <v>701</v>
      </c>
    </row>
    <row r="8" spans="2:5" x14ac:dyDescent="0.2">
      <c r="B8" s="110" t="s">
        <v>283</v>
      </c>
      <c r="C8" s="94"/>
      <c r="D8" s="95" t="s">
        <v>284</v>
      </c>
      <c r="E8" s="111"/>
    </row>
    <row r="9" spans="2:5" ht="41.25" customHeight="1" x14ac:dyDescent="0.2">
      <c r="B9" s="109"/>
      <c r="C9" s="92" t="s">
        <v>26</v>
      </c>
      <c r="D9" s="96" t="s">
        <v>321</v>
      </c>
      <c r="E9" s="653" t="s">
        <v>673</v>
      </c>
    </row>
    <row r="10" spans="2:5" ht="25.5" x14ac:dyDescent="0.2">
      <c r="B10" s="109"/>
      <c r="C10" s="92" t="s">
        <v>258</v>
      </c>
      <c r="D10" s="93" t="s">
        <v>322</v>
      </c>
      <c r="E10" s="652" t="s">
        <v>467</v>
      </c>
    </row>
    <row r="11" spans="2:5" x14ac:dyDescent="0.2">
      <c r="B11" s="977" t="s">
        <v>323</v>
      </c>
      <c r="C11" s="978"/>
      <c r="D11" s="978"/>
      <c r="E11" s="979"/>
    </row>
    <row r="12" spans="2:5" x14ac:dyDescent="0.2">
      <c r="B12" s="110" t="s">
        <v>286</v>
      </c>
      <c r="C12" s="94"/>
      <c r="D12" s="95" t="s">
        <v>324</v>
      </c>
      <c r="E12" s="111"/>
    </row>
    <row r="13" spans="2:5" ht="45" customHeight="1" x14ac:dyDescent="0.2">
      <c r="B13" s="109"/>
      <c r="C13" s="283" t="s">
        <v>236</v>
      </c>
      <c r="D13" s="97" t="s">
        <v>325</v>
      </c>
      <c r="E13" s="974" t="s">
        <v>571</v>
      </c>
    </row>
    <row r="14" spans="2:5" ht="63.75" customHeight="1" x14ac:dyDescent="0.2">
      <c r="B14" s="109"/>
      <c r="C14" s="283" t="s">
        <v>237</v>
      </c>
      <c r="D14" s="97" t="s">
        <v>326</v>
      </c>
      <c r="E14" s="980"/>
    </row>
    <row r="15" spans="2:5" x14ac:dyDescent="0.2">
      <c r="B15" s="977" t="s">
        <v>327</v>
      </c>
      <c r="C15" s="978"/>
      <c r="D15" s="978"/>
      <c r="E15" s="979"/>
    </row>
    <row r="16" spans="2:5" x14ac:dyDescent="0.2">
      <c r="B16" s="110" t="s">
        <v>291</v>
      </c>
      <c r="C16" s="93"/>
      <c r="D16" s="95" t="s">
        <v>328</v>
      </c>
      <c r="E16" s="112"/>
    </row>
    <row r="17" spans="2:5" ht="83.25" customHeight="1" x14ac:dyDescent="0.2">
      <c r="B17" s="109"/>
      <c r="C17" s="97" t="s">
        <v>238</v>
      </c>
      <c r="D17" s="97" t="s">
        <v>484</v>
      </c>
      <c r="E17" s="974" t="s">
        <v>487</v>
      </c>
    </row>
    <row r="18" spans="2:5" ht="22.5" customHeight="1" x14ac:dyDescent="0.2">
      <c r="B18" s="109"/>
      <c r="C18" s="244" t="s">
        <v>481</v>
      </c>
      <c r="D18" s="245" t="s">
        <v>482</v>
      </c>
      <c r="E18" s="980"/>
    </row>
    <row r="19" spans="2:5" x14ac:dyDescent="0.2">
      <c r="B19" s="977" t="s">
        <v>329</v>
      </c>
      <c r="C19" s="978"/>
      <c r="D19" s="978"/>
      <c r="E19" s="979"/>
    </row>
    <row r="20" spans="2:5" x14ac:dyDescent="0.2">
      <c r="B20" s="110" t="s">
        <v>295</v>
      </c>
      <c r="C20" s="93"/>
      <c r="D20" s="95" t="s">
        <v>296</v>
      </c>
      <c r="E20" s="113"/>
    </row>
    <row r="21" spans="2:5" ht="60" customHeight="1" x14ac:dyDescent="0.2">
      <c r="B21" s="247"/>
      <c r="C21" s="97" t="s">
        <v>239</v>
      </c>
      <c r="D21" s="245" t="s">
        <v>494</v>
      </c>
      <c r="E21" s="974" t="s">
        <v>492</v>
      </c>
    </row>
    <row r="22" spans="2:5" ht="13.5" thickBot="1" x14ac:dyDescent="0.25">
      <c r="B22" s="114"/>
      <c r="C22" s="289" t="s">
        <v>493</v>
      </c>
      <c r="D22" s="248" t="s">
        <v>217</v>
      </c>
      <c r="E22" s="975"/>
    </row>
    <row r="23" spans="2:5" ht="13.5" thickTop="1" x14ac:dyDescent="0.2"/>
  </sheetData>
  <mergeCells count="9">
    <mergeCell ref="E21:E22"/>
    <mergeCell ref="B2:E2"/>
    <mergeCell ref="B1:E1"/>
    <mergeCell ref="B3:E3"/>
    <mergeCell ref="B19:E19"/>
    <mergeCell ref="B11:E11"/>
    <mergeCell ref="E13:E14"/>
    <mergeCell ref="B15:E15"/>
    <mergeCell ref="E17:E18"/>
  </mergeCells>
  <phoneticPr fontId="5" type="noConversion"/>
  <printOptions horizontalCentered="1"/>
  <pageMargins left="0.55118110236220474" right="0.31496062992125984" top="0.98425196850393704" bottom="0.98425196850393704" header="0" footer="0"/>
  <pageSetup orientation="portrait" horizontalDpi="4294967294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2:J58"/>
  <sheetViews>
    <sheetView showGridLines="0" topLeftCell="A10" zoomScaleNormal="100" workbookViewId="0">
      <selection activeCell="F4" sqref="F4"/>
    </sheetView>
  </sheetViews>
  <sheetFormatPr baseColWidth="10" defaultRowHeight="12.75" x14ac:dyDescent="0.2"/>
  <cols>
    <col min="1" max="1" width="9.7109375" style="22" customWidth="1"/>
    <col min="2" max="2" width="65.140625" customWidth="1"/>
    <col min="3" max="3" width="17.85546875" style="246" customWidth="1"/>
    <col min="4" max="5" width="18.42578125" hidden="1" customWidth="1"/>
    <col min="6" max="6" width="14.140625" customWidth="1"/>
    <col min="7" max="7" width="18.140625" hidden="1" customWidth="1"/>
    <col min="8" max="8" width="15.85546875" customWidth="1"/>
  </cols>
  <sheetData>
    <row r="2" spans="1:8" ht="15" x14ac:dyDescent="0.2">
      <c r="A2" s="1101" t="s">
        <v>580</v>
      </c>
      <c r="B2" s="1101"/>
      <c r="C2" s="1101"/>
      <c r="D2" s="1101"/>
      <c r="E2" s="1101"/>
      <c r="F2" s="1101"/>
      <c r="G2" s="1101"/>
      <c r="H2" s="1101"/>
    </row>
    <row r="3" spans="1:8" x14ac:dyDescent="0.2">
      <c r="A3" s="1102" t="s">
        <v>695</v>
      </c>
      <c r="B3" s="1102"/>
      <c r="C3" s="1102"/>
      <c r="D3" s="1102"/>
      <c r="E3" s="1102"/>
      <c r="F3" s="1102"/>
      <c r="G3" s="1102"/>
      <c r="H3" s="1102"/>
    </row>
    <row r="4" spans="1:8" x14ac:dyDescent="0.2">
      <c r="A4" s="240"/>
      <c r="B4" s="240"/>
      <c r="C4" s="254"/>
      <c r="D4" s="240"/>
      <c r="E4" s="240"/>
      <c r="F4" s="240"/>
      <c r="G4" s="240"/>
      <c r="H4" s="240"/>
    </row>
    <row r="5" spans="1:8" ht="16.7" customHeight="1" x14ac:dyDescent="0.2">
      <c r="A5" s="1110" t="s">
        <v>479</v>
      </c>
      <c r="B5" s="1110"/>
      <c r="C5" s="1110"/>
      <c r="D5" s="1110"/>
      <c r="E5" s="1110"/>
      <c r="F5" s="1110"/>
      <c r="G5" s="1110"/>
      <c r="H5" s="1110"/>
    </row>
    <row r="6" spans="1:8" ht="16.7" customHeight="1" x14ac:dyDescent="0.2">
      <c r="A6" s="1110" t="s">
        <v>598</v>
      </c>
      <c r="B6" s="1110"/>
      <c r="C6" s="1110"/>
      <c r="D6" s="1110"/>
      <c r="E6" s="1110"/>
      <c r="F6" s="1110"/>
      <c r="G6" s="1110"/>
      <c r="H6" s="1110"/>
    </row>
    <row r="7" spans="1:8" ht="16.7" customHeight="1" x14ac:dyDescent="0.2">
      <c r="A7" s="1110" t="s">
        <v>337</v>
      </c>
      <c r="B7" s="1110"/>
      <c r="C7" s="1110"/>
      <c r="D7" s="1110"/>
      <c r="E7" s="1110"/>
      <c r="F7" s="1110"/>
      <c r="G7" s="1110"/>
      <c r="H7" s="1110"/>
    </row>
    <row r="8" spans="1:8" ht="16.7" customHeight="1" x14ac:dyDescent="0.2">
      <c r="A8" s="1110" t="s">
        <v>338</v>
      </c>
      <c r="B8" s="1110"/>
      <c r="C8" s="1110"/>
      <c r="D8" s="1110"/>
      <c r="E8" s="1110"/>
      <c r="F8" s="1110"/>
      <c r="G8" s="1110"/>
      <c r="H8" s="1110"/>
    </row>
    <row r="9" spans="1:8" ht="16.7" customHeight="1" x14ac:dyDescent="0.2">
      <c r="A9" s="1110" t="s">
        <v>599</v>
      </c>
      <c r="B9" s="1110"/>
      <c r="C9" s="1110"/>
      <c r="D9" s="1110"/>
      <c r="E9" s="1110"/>
      <c r="F9" s="1110"/>
      <c r="G9" s="1110"/>
      <c r="H9" s="1110"/>
    </row>
    <row r="10" spans="1:8" ht="13.5" thickBot="1" x14ac:dyDescent="0.25">
      <c r="A10" s="449"/>
      <c r="B10" s="449"/>
      <c r="C10" s="449"/>
      <c r="D10" s="449"/>
      <c r="E10" s="449"/>
      <c r="F10" s="449"/>
      <c r="G10" s="449"/>
      <c r="H10" s="449"/>
    </row>
    <row r="11" spans="1:8" ht="13.5" thickBot="1" x14ac:dyDescent="0.25">
      <c r="A11" s="143" t="s">
        <v>212</v>
      </c>
      <c r="B11" s="1108" t="s">
        <v>192</v>
      </c>
      <c r="C11" s="1103" t="s">
        <v>193</v>
      </c>
      <c r="D11" s="1104"/>
      <c r="E11" s="1104"/>
      <c r="F11" s="1104"/>
      <c r="G11" s="1105"/>
      <c r="H11" s="1106" t="s">
        <v>533</v>
      </c>
    </row>
    <row r="12" spans="1:8" ht="27.75" thickBot="1" x14ac:dyDescent="0.3">
      <c r="A12" s="144" t="s">
        <v>213</v>
      </c>
      <c r="B12" s="1109"/>
      <c r="C12" s="927" t="s">
        <v>194</v>
      </c>
      <c r="D12" s="928" t="s">
        <v>1</v>
      </c>
      <c r="E12" s="928" t="s">
        <v>2</v>
      </c>
      <c r="F12" s="929" t="s">
        <v>3</v>
      </c>
      <c r="G12" s="145" t="s">
        <v>123</v>
      </c>
      <c r="H12" s="1107"/>
    </row>
    <row r="13" spans="1:8" hidden="1" x14ac:dyDescent="0.2">
      <c r="A13" s="35"/>
      <c r="B13" s="38"/>
      <c r="C13" s="255"/>
      <c r="D13" s="36"/>
      <c r="E13" s="36"/>
      <c r="F13" s="36"/>
      <c r="G13" s="36"/>
      <c r="H13" s="37"/>
    </row>
    <row r="14" spans="1:8" hidden="1" x14ac:dyDescent="0.2">
      <c r="A14" s="29"/>
      <c r="B14" s="30"/>
      <c r="C14" s="256"/>
      <c r="D14" s="27"/>
      <c r="E14" s="27"/>
      <c r="F14" s="27"/>
      <c r="G14" s="27"/>
      <c r="H14" s="39"/>
    </row>
    <row r="15" spans="1:8" ht="7.5" customHeight="1" x14ac:dyDescent="0.2">
      <c r="A15" s="386"/>
      <c r="B15" s="387"/>
      <c r="C15" s="388"/>
      <c r="D15" s="389"/>
      <c r="E15" s="389"/>
      <c r="F15" s="389"/>
      <c r="G15" s="389"/>
      <c r="H15" s="389"/>
    </row>
    <row r="16" spans="1:8" ht="17.25" customHeight="1" x14ac:dyDescent="0.2">
      <c r="A16" s="390">
        <v>55</v>
      </c>
      <c r="B16" s="391" t="s">
        <v>85</v>
      </c>
      <c r="C16" s="392">
        <f>C17+C23</f>
        <v>35582.14</v>
      </c>
      <c r="D16" s="393">
        <f>+D17</f>
        <v>0</v>
      </c>
      <c r="E16" s="393">
        <f>+E17</f>
        <v>0</v>
      </c>
      <c r="F16" s="393">
        <f>+F17</f>
        <v>0</v>
      </c>
      <c r="G16" s="393">
        <f>+G17</f>
        <v>0</v>
      </c>
      <c r="H16" s="393">
        <f t="shared" ref="H16:H23" si="0">SUM(C16:G16)</f>
        <v>35582.14</v>
      </c>
    </row>
    <row r="17" spans="1:10" ht="17.25" customHeight="1" x14ac:dyDescent="0.2">
      <c r="A17" s="390">
        <v>553</v>
      </c>
      <c r="B17" s="394" t="s">
        <v>86</v>
      </c>
      <c r="C17" s="392">
        <f>SUM(C18:C21)</f>
        <v>35582.14</v>
      </c>
      <c r="D17" s="393">
        <f>SUM(D18:D21)</f>
        <v>0</v>
      </c>
      <c r="E17" s="393">
        <f>SUM(E18:E21)</f>
        <v>0</v>
      </c>
      <c r="F17" s="393">
        <f>SUM(F18:F21)</f>
        <v>0</v>
      </c>
      <c r="G17" s="393">
        <f>SUM(G18:G21)</f>
        <v>0</v>
      </c>
      <c r="H17" s="393">
        <f>SUM(C17:G17)</f>
        <v>35582.14</v>
      </c>
    </row>
    <row r="18" spans="1:10" ht="21" hidden="1" customHeight="1" x14ac:dyDescent="0.2">
      <c r="A18" s="386">
        <v>55303</v>
      </c>
      <c r="B18" s="395" t="s">
        <v>214</v>
      </c>
      <c r="C18" s="388"/>
      <c r="D18" s="389">
        <v>0</v>
      </c>
      <c r="E18" s="389">
        <v>0</v>
      </c>
      <c r="F18" s="389">
        <v>0</v>
      </c>
      <c r="G18" s="389">
        <v>0</v>
      </c>
      <c r="H18" s="389">
        <f t="shared" si="0"/>
        <v>0</v>
      </c>
    </row>
    <row r="19" spans="1:10" ht="21" customHeight="1" x14ac:dyDescent="0.2">
      <c r="A19" s="386">
        <v>55302</v>
      </c>
      <c r="B19" s="395" t="s">
        <v>603</v>
      </c>
      <c r="C19" s="388">
        <f>300*12</f>
        <v>3600</v>
      </c>
      <c r="D19" s="389"/>
      <c r="E19" s="389"/>
      <c r="F19" s="389"/>
      <c r="G19" s="389"/>
      <c r="H19" s="389">
        <f t="shared" si="0"/>
        <v>3600</v>
      </c>
    </row>
    <row r="20" spans="1:10" ht="21" hidden="1" customHeight="1" x14ac:dyDescent="0.2">
      <c r="A20" s="396">
        <v>55304</v>
      </c>
      <c r="B20" s="395" t="s">
        <v>215</v>
      </c>
      <c r="C20" s="388">
        <v>0</v>
      </c>
      <c r="D20" s="389">
        <v>0</v>
      </c>
      <c r="E20" s="389">
        <v>0</v>
      </c>
      <c r="F20" s="389">
        <v>0</v>
      </c>
      <c r="G20" s="389">
        <v>0</v>
      </c>
      <c r="H20" s="389">
        <f t="shared" si="0"/>
        <v>0</v>
      </c>
    </row>
    <row r="21" spans="1:10" ht="17.25" customHeight="1" x14ac:dyDescent="0.2">
      <c r="A21" s="386">
        <v>55304</v>
      </c>
      <c r="B21" s="395" t="s">
        <v>471</v>
      </c>
      <c r="C21" s="388">
        <v>31982.14</v>
      </c>
      <c r="D21" s="389">
        <v>0</v>
      </c>
      <c r="E21" s="389">
        <v>0</v>
      </c>
      <c r="F21" s="389">
        <v>0</v>
      </c>
      <c r="G21" s="389">
        <v>0</v>
      </c>
      <c r="H21" s="389">
        <f>SUM(C21:G21)</f>
        <v>31982.14</v>
      </c>
    </row>
    <row r="22" spans="1:10" ht="17.25" customHeight="1" x14ac:dyDescent="0.2">
      <c r="A22" s="386"/>
      <c r="B22" s="395"/>
      <c r="C22" s="388"/>
      <c r="D22" s="389"/>
      <c r="E22" s="389"/>
      <c r="F22" s="389"/>
      <c r="G22" s="389"/>
      <c r="H22" s="389"/>
    </row>
    <row r="23" spans="1:10" ht="17.25" hidden="1" customHeight="1" x14ac:dyDescent="0.2">
      <c r="A23" s="390">
        <v>556</v>
      </c>
      <c r="B23" s="397" t="s">
        <v>216</v>
      </c>
      <c r="C23" s="392">
        <f>C24</f>
        <v>0</v>
      </c>
      <c r="D23" s="393">
        <f>SUM(D24:D27)</f>
        <v>0</v>
      </c>
      <c r="E23" s="393">
        <f>SUM(E24:E27)</f>
        <v>0</v>
      </c>
      <c r="F23" s="393">
        <f>SUM(F24:F27)</f>
        <v>0</v>
      </c>
      <c r="G23" s="393">
        <f>SUM(G24:G27)</f>
        <v>0</v>
      </c>
      <c r="H23" s="393">
        <f t="shared" si="0"/>
        <v>0</v>
      </c>
      <c r="J23" s="49"/>
    </row>
    <row r="24" spans="1:10" ht="17.25" hidden="1" customHeight="1" x14ac:dyDescent="0.2">
      <c r="A24" s="386">
        <v>55603</v>
      </c>
      <c r="B24" s="398" t="s">
        <v>217</v>
      </c>
      <c r="C24" s="388"/>
      <c r="D24" s="389"/>
      <c r="E24" s="389"/>
      <c r="F24" s="389">
        <v>0</v>
      </c>
      <c r="G24" s="389"/>
      <c r="H24" s="389">
        <f>+C24</f>
        <v>0</v>
      </c>
    </row>
    <row r="25" spans="1:10" ht="17.25" customHeight="1" x14ac:dyDescent="0.2">
      <c r="A25" s="390">
        <v>71</v>
      </c>
      <c r="B25" s="394" t="s">
        <v>218</v>
      </c>
      <c r="C25" s="392">
        <f>+C26</f>
        <v>246410.18</v>
      </c>
      <c r="D25" s="393">
        <f>+D26</f>
        <v>0</v>
      </c>
      <c r="E25" s="393">
        <f>+E26</f>
        <v>0</v>
      </c>
      <c r="F25" s="393">
        <f>+F26</f>
        <v>0</v>
      </c>
      <c r="G25" s="393">
        <f>+G26</f>
        <v>0</v>
      </c>
      <c r="H25" s="393">
        <f>SUM(C25:G25)</f>
        <v>246410.18</v>
      </c>
    </row>
    <row r="26" spans="1:10" ht="17.25" customHeight="1" x14ac:dyDescent="0.2">
      <c r="A26" s="386">
        <v>713</v>
      </c>
      <c r="B26" s="394" t="s">
        <v>219</v>
      </c>
      <c r="C26" s="392">
        <f>SUM(C27:C28)</f>
        <v>246410.18</v>
      </c>
      <c r="D26" s="393">
        <f>SUM(D27:D28)</f>
        <v>0</v>
      </c>
      <c r="E26" s="393">
        <f>SUM(E27:E28)</f>
        <v>0</v>
      </c>
      <c r="F26" s="393">
        <f>SUM(F27:F28)</f>
        <v>0</v>
      </c>
      <c r="G26" s="393">
        <f>SUM(G27:G28)</f>
        <v>0</v>
      </c>
      <c r="H26" s="393">
        <f>SUM(C26:G26)</f>
        <v>246410.18</v>
      </c>
      <c r="J26" s="49"/>
    </row>
    <row r="27" spans="1:10" ht="21" hidden="1" customHeight="1" x14ac:dyDescent="0.2">
      <c r="A27" s="386">
        <v>71303</v>
      </c>
      <c r="B27" s="395" t="s">
        <v>214</v>
      </c>
      <c r="C27" s="388"/>
      <c r="D27" s="389">
        <v>0</v>
      </c>
      <c r="E27" s="389">
        <v>0</v>
      </c>
      <c r="F27" s="389">
        <v>0</v>
      </c>
      <c r="G27" s="389">
        <v>0</v>
      </c>
      <c r="H27" s="389">
        <f>SUM(C27:G27)</f>
        <v>0</v>
      </c>
    </row>
    <row r="28" spans="1:10" ht="17.25" customHeight="1" thickBot="1" x14ac:dyDescent="0.25">
      <c r="A28" s="386">
        <v>71304</v>
      </c>
      <c r="B28" s="395" t="s">
        <v>528</v>
      </c>
      <c r="C28" s="388">
        <v>246410.18</v>
      </c>
      <c r="D28" s="389">
        <v>0</v>
      </c>
      <c r="E28" s="389">
        <v>0</v>
      </c>
      <c r="F28" s="389">
        <v>0</v>
      </c>
      <c r="G28" s="389">
        <v>0</v>
      </c>
      <c r="H28" s="389">
        <f>SUM(C28:G28)</f>
        <v>246410.18</v>
      </c>
    </row>
    <row r="29" spans="1:10" hidden="1" x14ac:dyDescent="0.2">
      <c r="A29" s="28"/>
      <c r="B29" s="40"/>
      <c r="C29" s="299"/>
      <c r="D29" s="300"/>
      <c r="E29" s="300"/>
      <c r="F29" s="300"/>
      <c r="G29" s="300"/>
      <c r="H29" s="298"/>
      <c r="J29" s="49"/>
    </row>
    <row r="30" spans="1:10" hidden="1" x14ac:dyDescent="0.2">
      <c r="A30" s="29"/>
      <c r="B30" s="31"/>
      <c r="C30" s="299"/>
      <c r="D30" s="300"/>
      <c r="E30" s="300"/>
      <c r="F30" s="300"/>
      <c r="G30" s="300"/>
      <c r="H30" s="301"/>
    </row>
    <row r="31" spans="1:10" hidden="1" x14ac:dyDescent="0.2">
      <c r="A31" s="28"/>
      <c r="B31" s="40"/>
      <c r="C31" s="296"/>
      <c r="D31" s="297"/>
      <c r="E31" s="297"/>
      <c r="F31" s="297"/>
      <c r="G31" s="297"/>
      <c r="H31" s="301"/>
    </row>
    <row r="32" spans="1:10" hidden="1" x14ac:dyDescent="0.2">
      <c r="A32" s="28"/>
      <c r="B32" s="40"/>
      <c r="C32" s="302"/>
      <c r="D32" s="303"/>
      <c r="E32" s="303"/>
      <c r="F32" s="303"/>
      <c r="G32" s="303"/>
      <c r="H32" s="301"/>
    </row>
    <row r="33" spans="1:8" hidden="1" x14ac:dyDescent="0.2">
      <c r="A33" s="28"/>
      <c r="B33" s="40"/>
      <c r="C33" s="302"/>
      <c r="D33" s="303"/>
      <c r="E33" s="303"/>
      <c r="F33" s="303"/>
      <c r="G33" s="303"/>
      <c r="H33" s="301"/>
    </row>
    <row r="34" spans="1:8" hidden="1" x14ac:dyDescent="0.2">
      <c r="A34" s="28"/>
      <c r="B34" s="40"/>
      <c r="C34" s="296"/>
      <c r="D34" s="297"/>
      <c r="E34" s="297"/>
      <c r="F34" s="297"/>
      <c r="G34" s="297"/>
      <c r="H34" s="301"/>
    </row>
    <row r="35" spans="1:8" hidden="1" x14ac:dyDescent="0.2">
      <c r="A35" s="29"/>
      <c r="B35" s="41"/>
      <c r="C35" s="299"/>
      <c r="D35" s="300"/>
      <c r="E35" s="300"/>
      <c r="F35" s="300"/>
      <c r="G35" s="300"/>
      <c r="H35" s="301"/>
    </row>
    <row r="36" spans="1:8" hidden="1" x14ac:dyDescent="0.2">
      <c r="A36" s="28"/>
      <c r="B36" s="42"/>
      <c r="C36" s="296"/>
      <c r="D36" s="297"/>
      <c r="E36" s="297"/>
      <c r="F36" s="297"/>
      <c r="G36" s="297"/>
      <c r="H36" s="301"/>
    </row>
    <row r="37" spans="1:8" hidden="1" x14ac:dyDescent="0.2">
      <c r="A37" s="29"/>
      <c r="B37" s="41"/>
      <c r="C37" s="299"/>
      <c r="D37" s="300"/>
      <c r="E37" s="300"/>
      <c r="F37" s="300"/>
      <c r="G37" s="300"/>
      <c r="H37" s="301"/>
    </row>
    <row r="38" spans="1:8" hidden="1" x14ac:dyDescent="0.2">
      <c r="A38" s="28"/>
      <c r="B38" s="40"/>
      <c r="C38" s="296"/>
      <c r="D38" s="297"/>
      <c r="E38" s="297"/>
      <c r="F38" s="297"/>
      <c r="G38" s="297"/>
      <c r="H38" s="298"/>
    </row>
    <row r="39" spans="1:8" hidden="1" x14ac:dyDescent="0.2">
      <c r="A39" s="28"/>
      <c r="B39" s="40"/>
      <c r="C39" s="296"/>
      <c r="D39" s="297"/>
      <c r="E39" s="297"/>
      <c r="F39" s="297"/>
      <c r="G39" s="297"/>
      <c r="H39" s="298"/>
    </row>
    <row r="40" spans="1:8" hidden="1" x14ac:dyDescent="0.2">
      <c r="A40" s="28"/>
      <c r="B40" s="40"/>
      <c r="C40" s="296"/>
      <c r="D40" s="297"/>
      <c r="E40" s="297"/>
      <c r="F40" s="297"/>
      <c r="G40" s="297"/>
      <c r="H40" s="298"/>
    </row>
    <row r="41" spans="1:8" hidden="1" x14ac:dyDescent="0.2">
      <c r="A41" s="28"/>
      <c r="B41" s="40"/>
      <c r="C41" s="296"/>
      <c r="D41" s="297"/>
      <c r="E41" s="297"/>
      <c r="F41" s="297"/>
      <c r="G41" s="297"/>
      <c r="H41" s="301"/>
    </row>
    <row r="42" spans="1:8" hidden="1" x14ac:dyDescent="0.2">
      <c r="A42" s="28"/>
      <c r="B42" s="40"/>
      <c r="C42" s="296"/>
      <c r="D42" s="297"/>
      <c r="E42" s="297"/>
      <c r="F42" s="297"/>
      <c r="G42" s="297"/>
      <c r="H42" s="301"/>
    </row>
    <row r="43" spans="1:8" hidden="1" x14ac:dyDescent="0.2">
      <c r="A43" s="28"/>
      <c r="B43" s="40"/>
      <c r="C43" s="296"/>
      <c r="D43" s="297"/>
      <c r="E43" s="297"/>
      <c r="F43" s="297"/>
      <c r="G43" s="297"/>
      <c r="H43" s="304"/>
    </row>
    <row r="44" spans="1:8" ht="18" hidden="1" x14ac:dyDescent="0.25">
      <c r="A44" s="43"/>
      <c r="B44" s="44"/>
      <c r="C44" s="305"/>
      <c r="D44" s="306"/>
      <c r="E44" s="306"/>
      <c r="F44" s="306"/>
      <c r="G44" s="306"/>
      <c r="H44" s="307"/>
    </row>
    <row r="45" spans="1:8" hidden="1" x14ac:dyDescent="0.2">
      <c r="A45" s="28"/>
      <c r="B45" s="40"/>
      <c r="C45" s="302"/>
      <c r="D45" s="303"/>
      <c r="E45" s="303"/>
      <c r="F45" s="303"/>
      <c r="G45" s="303"/>
      <c r="H45" s="304"/>
    </row>
    <row r="46" spans="1:8" ht="13.5" hidden="1" thickBot="1" x14ac:dyDescent="0.25">
      <c r="A46" s="45"/>
      <c r="B46" s="46"/>
      <c r="C46" s="308"/>
      <c r="D46" s="309"/>
      <c r="E46" s="309"/>
      <c r="F46" s="309"/>
      <c r="G46" s="309"/>
      <c r="H46" s="310"/>
    </row>
    <row r="47" spans="1:8" ht="13.5" thickBot="1" x14ac:dyDescent="0.25">
      <c r="A47" s="47"/>
      <c r="B47" s="48" t="s">
        <v>187</v>
      </c>
      <c r="C47" s="311">
        <f>C16+C25</f>
        <v>281992.32000000001</v>
      </c>
      <c r="D47" s="312" t="e">
        <f>+D16+D20+D25+#REF!+D30</f>
        <v>#REF!</v>
      </c>
      <c r="E47" s="313" t="e">
        <f>+E16+E20+E25+#REF!+E30</f>
        <v>#REF!</v>
      </c>
      <c r="F47" s="312">
        <f>+F16+F20+F25+F30</f>
        <v>0</v>
      </c>
      <c r="G47" s="313" t="e">
        <f>+G16+G20+G25+#REF!+G30</f>
        <v>#REF!</v>
      </c>
      <c r="H47" s="313">
        <f>+H16+H25</f>
        <v>281992.32000000001</v>
      </c>
    </row>
    <row r="48" spans="1:8" x14ac:dyDescent="0.2">
      <c r="C48" s="257"/>
      <c r="H48" s="139"/>
    </row>
    <row r="49" spans="3:8" x14ac:dyDescent="0.2">
      <c r="H49" s="49"/>
    </row>
    <row r="50" spans="3:8" x14ac:dyDescent="0.2">
      <c r="H50" s="3"/>
    </row>
    <row r="51" spans="3:8" x14ac:dyDescent="0.2">
      <c r="C51" s="288"/>
      <c r="H51" s="3"/>
    </row>
    <row r="52" spans="3:8" x14ac:dyDescent="0.2">
      <c r="C52" s="258"/>
      <c r="H52" s="3"/>
    </row>
    <row r="53" spans="3:8" x14ac:dyDescent="0.2">
      <c r="C53" s="259"/>
    </row>
    <row r="54" spans="3:8" x14ac:dyDescent="0.2">
      <c r="C54" s="260"/>
      <c r="H54" s="3"/>
    </row>
    <row r="55" spans="3:8" x14ac:dyDescent="0.2">
      <c r="C55" s="261"/>
    </row>
    <row r="56" spans="3:8" x14ac:dyDescent="0.2">
      <c r="C56" s="257"/>
    </row>
    <row r="58" spans="3:8" x14ac:dyDescent="0.2">
      <c r="C58" s="257"/>
    </row>
  </sheetData>
  <mergeCells count="10">
    <mergeCell ref="A2:H2"/>
    <mergeCell ref="A3:H3"/>
    <mergeCell ref="C11:G11"/>
    <mergeCell ref="H11:H12"/>
    <mergeCell ref="B11:B12"/>
    <mergeCell ref="A5:H5"/>
    <mergeCell ref="A6:H6"/>
    <mergeCell ref="A7:H7"/>
    <mergeCell ref="A8:H8"/>
    <mergeCell ref="A9:H9"/>
  </mergeCells>
  <phoneticPr fontId="0" type="noConversion"/>
  <pageMargins left="0.74803149606299213" right="0.74803149606299213" top="0.98425196850393704" bottom="0.98425196850393704" header="0" footer="0"/>
  <pageSetup scale="85" orientation="landscape" horizontalDpi="4294967294" verticalDpi="18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2:AI173"/>
  <sheetViews>
    <sheetView topLeftCell="A151" zoomScaleNormal="100" workbookViewId="0">
      <selection sqref="A1:XFD1"/>
    </sheetView>
  </sheetViews>
  <sheetFormatPr baseColWidth="10" defaultRowHeight="18" customHeight="1" x14ac:dyDescent="0.2"/>
  <cols>
    <col min="1" max="1" width="6.42578125" style="62" customWidth="1"/>
    <col min="2" max="2" width="45" style="50" customWidth="1"/>
    <col min="3" max="7" width="13.140625" style="444" customWidth="1"/>
    <col min="8" max="12" width="13.140625" style="50" customWidth="1"/>
    <col min="13" max="15" width="13" style="50" customWidth="1"/>
    <col min="16" max="16" width="13.42578125" style="50" customWidth="1"/>
    <col min="17" max="17" width="13" style="50" customWidth="1"/>
    <col min="18" max="18" width="14" style="50" customWidth="1"/>
    <col min="19" max="20" width="13.140625" style="50" customWidth="1"/>
    <col min="21" max="21" width="15.42578125" style="50" hidden="1" customWidth="1"/>
    <col min="22" max="22" width="16.7109375" style="50" hidden="1" customWidth="1"/>
    <col min="23" max="23" width="15.42578125" style="50" hidden="1" customWidth="1"/>
    <col min="24" max="32" width="16.7109375" style="50" hidden="1" customWidth="1"/>
    <col min="33" max="33" width="14" style="50" customWidth="1"/>
    <col min="34" max="34" width="13.85546875" style="412" bestFit="1" customWidth="1"/>
    <col min="35" max="16384" width="11.42578125" style="50"/>
  </cols>
  <sheetData>
    <row r="2" spans="1:34" ht="18" customHeight="1" x14ac:dyDescent="0.25">
      <c r="A2" s="494" t="s">
        <v>600</v>
      </c>
      <c r="B2" s="494"/>
      <c r="C2" s="495"/>
      <c r="D2" s="495"/>
      <c r="E2" s="495"/>
      <c r="F2" s="495"/>
      <c r="G2" s="495"/>
      <c r="H2" s="494"/>
      <c r="I2" s="494"/>
      <c r="J2" s="494"/>
      <c r="K2" s="494"/>
      <c r="L2" s="494"/>
      <c r="M2" s="494"/>
      <c r="N2" s="494"/>
      <c r="O2" s="494"/>
      <c r="P2" s="494"/>
      <c r="Q2" s="494"/>
      <c r="R2" s="494"/>
      <c r="S2" s="494"/>
      <c r="T2" s="494"/>
      <c r="U2" s="494"/>
      <c r="V2" s="494"/>
      <c r="W2" s="494"/>
      <c r="X2" s="494"/>
      <c r="Y2" s="494"/>
      <c r="Z2" s="494"/>
      <c r="AA2" s="494"/>
      <c r="AB2" s="494"/>
      <c r="AC2" s="494"/>
      <c r="AD2" s="494"/>
      <c r="AE2" s="494"/>
      <c r="AF2" s="494"/>
      <c r="AG2" s="494"/>
    </row>
    <row r="3" spans="1:34" ht="18" customHeight="1" thickBot="1" x14ac:dyDescent="0.3">
      <c r="A3" s="494"/>
      <c r="B3" s="494"/>
      <c r="C3" s="495"/>
      <c r="D3" s="495"/>
      <c r="E3" s="495"/>
      <c r="F3" s="495"/>
      <c r="G3" s="495"/>
      <c r="H3" s="494"/>
      <c r="I3" s="494"/>
      <c r="J3" s="494"/>
      <c r="K3" s="494"/>
      <c r="L3" s="494"/>
      <c r="M3" s="494"/>
      <c r="N3" s="494"/>
      <c r="O3" s="494"/>
      <c r="P3" s="494"/>
      <c r="Q3" s="494"/>
      <c r="R3" s="494"/>
      <c r="S3" s="494"/>
      <c r="T3" s="494"/>
      <c r="U3" s="494"/>
      <c r="V3" s="494"/>
      <c r="W3" s="494"/>
      <c r="X3" s="494"/>
      <c r="Y3" s="494"/>
      <c r="Z3" s="494"/>
      <c r="AA3" s="494"/>
      <c r="AB3" s="494"/>
      <c r="AC3" s="494"/>
      <c r="AD3" s="494"/>
      <c r="AE3" s="494"/>
      <c r="AF3" s="494"/>
      <c r="AG3" s="494"/>
    </row>
    <row r="4" spans="1:34" ht="12.75" customHeight="1" thickTop="1" thickBot="1" x14ac:dyDescent="0.25">
      <c r="A4" s="1113" t="s">
        <v>119</v>
      </c>
      <c r="B4" s="1116" t="s">
        <v>105</v>
      </c>
      <c r="C4" s="1157" t="s">
        <v>221</v>
      </c>
      <c r="D4" s="1158"/>
      <c r="E4" s="1158"/>
      <c r="F4" s="1158"/>
      <c r="G4" s="1159"/>
      <c r="H4" s="1133" t="s">
        <v>220</v>
      </c>
      <c r="I4" s="1134"/>
      <c r="J4" s="1134"/>
      <c r="K4" s="1134"/>
      <c r="L4" s="1134"/>
      <c r="M4" s="1134"/>
      <c r="N4" s="1134"/>
      <c r="O4" s="1134"/>
      <c r="P4" s="1134"/>
      <c r="Q4" s="1135"/>
      <c r="R4" s="1130" t="s">
        <v>110</v>
      </c>
      <c r="S4" s="1143" t="s">
        <v>512</v>
      </c>
      <c r="T4" s="1143" t="s">
        <v>514</v>
      </c>
      <c r="U4" s="1144"/>
      <c r="V4" s="1145"/>
      <c r="W4" s="1111" t="s">
        <v>224</v>
      </c>
      <c r="X4" s="1171" t="s">
        <v>222</v>
      </c>
      <c r="Y4" s="1172"/>
      <c r="Z4" s="1176"/>
      <c r="AA4" s="1171" t="s">
        <v>223</v>
      </c>
      <c r="AB4" s="1172"/>
      <c r="AC4" s="1176"/>
      <c r="AD4" s="1171" t="s">
        <v>224</v>
      </c>
      <c r="AE4" s="1172"/>
      <c r="AF4" s="1172"/>
      <c r="AG4" s="661"/>
    </row>
    <row r="5" spans="1:34" ht="14.25" customHeight="1" thickBot="1" x14ac:dyDescent="0.25">
      <c r="A5" s="1114"/>
      <c r="B5" s="1117"/>
      <c r="C5" s="1160"/>
      <c r="D5" s="1161"/>
      <c r="E5" s="1161"/>
      <c r="F5" s="1161"/>
      <c r="G5" s="1162"/>
      <c r="H5" s="1126" t="s">
        <v>225</v>
      </c>
      <c r="I5" s="1127"/>
      <c r="J5" s="1127"/>
      <c r="K5" s="1127"/>
      <c r="L5" s="1128"/>
      <c r="M5" s="1126" t="s">
        <v>226</v>
      </c>
      <c r="N5" s="1127"/>
      <c r="O5" s="1127"/>
      <c r="P5" s="1127"/>
      <c r="Q5" s="1129"/>
      <c r="R5" s="1131"/>
      <c r="S5" s="1163"/>
      <c r="T5" s="1136" t="s">
        <v>586</v>
      </c>
      <c r="U5" s="662"/>
      <c r="V5" s="663"/>
      <c r="W5" s="1112"/>
      <c r="X5" s="1169" t="s">
        <v>227</v>
      </c>
      <c r="Y5" s="1170"/>
      <c r="Z5" s="664"/>
      <c r="AA5" s="1169" t="s">
        <v>227</v>
      </c>
      <c r="AB5" s="1170"/>
      <c r="AC5" s="664"/>
      <c r="AD5" s="1167" t="s">
        <v>227</v>
      </c>
      <c r="AE5" s="1168"/>
      <c r="AF5" s="665"/>
      <c r="AG5" s="589"/>
    </row>
    <row r="6" spans="1:34" ht="15" customHeight="1" x14ac:dyDescent="0.2">
      <c r="A6" s="1114"/>
      <c r="B6" s="1117"/>
      <c r="C6" s="1138" t="s">
        <v>489</v>
      </c>
      <c r="D6" s="1139"/>
      <c r="E6" s="1139"/>
      <c r="F6" s="1139"/>
      <c r="G6" s="1140"/>
      <c r="H6" s="1119" t="s">
        <v>489</v>
      </c>
      <c r="I6" s="1120"/>
      <c r="J6" s="1120"/>
      <c r="K6" s="1120"/>
      <c r="L6" s="1121"/>
      <c r="M6" s="1125" t="s">
        <v>228</v>
      </c>
      <c r="N6" s="1122"/>
      <c r="O6" s="666" t="s">
        <v>229</v>
      </c>
      <c r="P6" s="1122" t="s">
        <v>230</v>
      </c>
      <c r="Q6" s="1122"/>
      <c r="R6" s="1131"/>
      <c r="S6" s="1149" t="s">
        <v>465</v>
      </c>
      <c r="T6" s="1136"/>
      <c r="U6" s="667" t="s">
        <v>231</v>
      </c>
      <c r="V6" s="1146" t="s">
        <v>110</v>
      </c>
      <c r="W6" s="668" t="s">
        <v>228</v>
      </c>
      <c r="X6" s="667" t="s">
        <v>228</v>
      </c>
      <c r="Y6" s="667" t="s">
        <v>231</v>
      </c>
      <c r="Z6" s="1173" t="s">
        <v>110</v>
      </c>
      <c r="AA6" s="667" t="s">
        <v>228</v>
      </c>
      <c r="AB6" s="667" t="s">
        <v>231</v>
      </c>
      <c r="AC6" s="1173" t="s">
        <v>110</v>
      </c>
      <c r="AD6" s="667" t="s">
        <v>228</v>
      </c>
      <c r="AE6" s="667" t="s">
        <v>231</v>
      </c>
      <c r="AF6" s="1164" t="s">
        <v>110</v>
      </c>
      <c r="AG6" s="589" t="s">
        <v>232</v>
      </c>
    </row>
    <row r="7" spans="1:34" ht="12.75" customHeight="1" thickBot="1" x14ac:dyDescent="0.25">
      <c r="A7" s="1114"/>
      <c r="B7" s="1117"/>
      <c r="C7" s="1138" t="s">
        <v>491</v>
      </c>
      <c r="D7" s="1139"/>
      <c r="E7" s="1139"/>
      <c r="F7" s="1139"/>
      <c r="G7" s="1140"/>
      <c r="H7" s="1119" t="s">
        <v>490</v>
      </c>
      <c r="I7" s="1120"/>
      <c r="J7" s="1120"/>
      <c r="K7" s="1120"/>
      <c r="L7" s="1121"/>
      <c r="M7" s="1125" t="s">
        <v>233</v>
      </c>
      <c r="N7" s="1122"/>
      <c r="O7" s="666" t="s">
        <v>234</v>
      </c>
      <c r="P7" s="1122" t="s">
        <v>235</v>
      </c>
      <c r="Q7" s="1122"/>
      <c r="R7" s="1131"/>
      <c r="S7" s="1150"/>
      <c r="T7" s="1137"/>
      <c r="U7" s="669" t="s">
        <v>234</v>
      </c>
      <c r="V7" s="1147"/>
      <c r="W7" s="670" t="s">
        <v>233</v>
      </c>
      <c r="X7" s="669" t="s">
        <v>233</v>
      </c>
      <c r="Y7" s="669" t="s">
        <v>234</v>
      </c>
      <c r="Z7" s="1174"/>
      <c r="AA7" s="669" t="s">
        <v>233</v>
      </c>
      <c r="AB7" s="669" t="s">
        <v>234</v>
      </c>
      <c r="AC7" s="1174"/>
      <c r="AD7" s="669" t="s">
        <v>233</v>
      </c>
      <c r="AE7" s="669" t="s">
        <v>234</v>
      </c>
      <c r="AF7" s="1165"/>
      <c r="AG7" s="589" t="s">
        <v>27</v>
      </c>
    </row>
    <row r="8" spans="1:34" ht="11.25" customHeight="1" x14ac:dyDescent="0.2">
      <c r="A8" s="1114"/>
      <c r="B8" s="1117"/>
      <c r="C8" s="1141" t="s">
        <v>527</v>
      </c>
      <c r="D8" s="1123" t="s">
        <v>526</v>
      </c>
      <c r="E8" s="1123" t="s">
        <v>515</v>
      </c>
      <c r="F8" s="1123" t="s">
        <v>516</v>
      </c>
      <c r="G8" s="1155" t="s">
        <v>110</v>
      </c>
      <c r="H8" s="1153" t="s">
        <v>527</v>
      </c>
      <c r="I8" s="1151" t="s">
        <v>526</v>
      </c>
      <c r="J8" s="1151" t="s">
        <v>515</v>
      </c>
      <c r="K8" s="1151" t="s">
        <v>516</v>
      </c>
      <c r="L8" s="1155" t="s">
        <v>110</v>
      </c>
      <c r="M8" s="671" t="s">
        <v>236</v>
      </c>
      <c r="N8" s="672" t="s">
        <v>237</v>
      </c>
      <c r="O8" s="672" t="s">
        <v>238</v>
      </c>
      <c r="P8" s="672" t="s">
        <v>239</v>
      </c>
      <c r="Q8" s="672" t="s">
        <v>493</v>
      </c>
      <c r="R8" s="1131"/>
      <c r="S8" s="673" t="s">
        <v>481</v>
      </c>
      <c r="T8" s="674" t="s">
        <v>237</v>
      </c>
      <c r="U8" s="675" t="s">
        <v>238</v>
      </c>
      <c r="V8" s="1147"/>
      <c r="W8" s="676" t="s">
        <v>237</v>
      </c>
      <c r="X8" s="675" t="s">
        <v>236</v>
      </c>
      <c r="Y8" s="675" t="s">
        <v>238</v>
      </c>
      <c r="Z8" s="1174"/>
      <c r="AA8" s="675" t="s">
        <v>236</v>
      </c>
      <c r="AB8" s="675" t="s">
        <v>238</v>
      </c>
      <c r="AC8" s="1174"/>
      <c r="AD8" s="675" t="s">
        <v>236</v>
      </c>
      <c r="AE8" s="675" t="s">
        <v>238</v>
      </c>
      <c r="AF8" s="1165"/>
      <c r="AG8" s="589"/>
    </row>
    <row r="9" spans="1:34" ht="37.5" customHeight="1" thickBot="1" x14ac:dyDescent="0.25">
      <c r="A9" s="1115"/>
      <c r="B9" s="1118"/>
      <c r="C9" s="1142"/>
      <c r="D9" s="1124"/>
      <c r="E9" s="1124"/>
      <c r="F9" s="1124"/>
      <c r="G9" s="1156"/>
      <c r="H9" s="1154"/>
      <c r="I9" s="1152"/>
      <c r="J9" s="1152"/>
      <c r="K9" s="1152"/>
      <c r="L9" s="1156"/>
      <c r="M9" s="677" t="s">
        <v>581</v>
      </c>
      <c r="N9" s="678" t="s">
        <v>582</v>
      </c>
      <c r="O9" s="678" t="s">
        <v>583</v>
      </c>
      <c r="P9" s="678" t="s">
        <v>704</v>
      </c>
      <c r="Q9" s="678" t="s">
        <v>495</v>
      </c>
      <c r="R9" s="1132"/>
      <c r="S9" s="679" t="s">
        <v>584</v>
      </c>
      <c r="T9" s="680" t="s">
        <v>582</v>
      </c>
      <c r="U9" s="681" t="s">
        <v>585</v>
      </c>
      <c r="V9" s="1148"/>
      <c r="W9" s="682" t="s">
        <v>240</v>
      </c>
      <c r="X9" s="683" t="s">
        <v>240</v>
      </c>
      <c r="Y9" s="683" t="s">
        <v>241</v>
      </c>
      <c r="Z9" s="1175"/>
      <c r="AA9" s="683" t="s">
        <v>240</v>
      </c>
      <c r="AB9" s="683" t="s">
        <v>241</v>
      </c>
      <c r="AC9" s="1175"/>
      <c r="AD9" s="683" t="s">
        <v>240</v>
      </c>
      <c r="AE9" s="683" t="s">
        <v>241</v>
      </c>
      <c r="AF9" s="1166"/>
      <c r="AG9" s="684"/>
    </row>
    <row r="10" spans="1:34" s="59" customFormat="1" ht="18" customHeight="1" thickTop="1" x14ac:dyDescent="0.25">
      <c r="A10" s="512">
        <v>51</v>
      </c>
      <c r="B10" s="522" t="s">
        <v>124</v>
      </c>
      <c r="C10" s="541">
        <f>C11+C18+C23+C26+C29+C32+C35+C38+C40</f>
        <v>98068.287300000011</v>
      </c>
      <c r="D10" s="496">
        <f>D11+D18+D23+D26+D29+D32+D35+D38+D40</f>
        <v>28018.899999999998</v>
      </c>
      <c r="E10" s="496">
        <f>E11+E18+E23+E26+E29+E32+E35+E38+E40</f>
        <v>19481.41</v>
      </c>
      <c r="F10" s="496">
        <f>F11+F18+F23+F26+F29+F32+F35+F38+F40</f>
        <v>46057.104999999996</v>
      </c>
      <c r="G10" s="542">
        <f>+G11+G18+G23+G26+G29+G32+G40</f>
        <v>191625.7023</v>
      </c>
      <c r="H10" s="563">
        <f>H11+H18+H23+H26+H29+H32+H35+H38+H40</f>
        <v>98068.287300000011</v>
      </c>
      <c r="I10" s="497">
        <f>I11+I18+I23+I26+I29+I32+I35+I38</f>
        <v>28268.899999999998</v>
      </c>
      <c r="J10" s="497">
        <f>J11+J18+J23+J26+J29+J32+J35+J38</f>
        <v>19481.41</v>
      </c>
      <c r="K10" s="497">
        <f>K11+K18+K23+K26+K29+K32+K35+K38</f>
        <v>46307.104999999996</v>
      </c>
      <c r="L10" s="564">
        <f>L11+L18+L23+L26+L29+L32+L35+L38+L40</f>
        <v>192125.7023</v>
      </c>
      <c r="M10" s="498">
        <v>0</v>
      </c>
      <c r="N10" s="497">
        <v>0</v>
      </c>
      <c r="O10" s="497">
        <v>0</v>
      </c>
      <c r="P10" s="497">
        <v>0</v>
      </c>
      <c r="Q10" s="497">
        <v>0</v>
      </c>
      <c r="R10" s="564">
        <f>+M10+N10+O10+P10+Q10</f>
        <v>0</v>
      </c>
      <c r="S10" s="580">
        <v>0</v>
      </c>
      <c r="T10" s="563">
        <v>0</v>
      </c>
      <c r="U10" s="498">
        <v>0</v>
      </c>
      <c r="V10" s="504">
        <f>+T10+U10</f>
        <v>0</v>
      </c>
      <c r="W10" s="499"/>
      <c r="X10" s="500"/>
      <c r="Y10" s="501"/>
      <c r="Z10" s="502"/>
      <c r="AA10" s="499"/>
      <c r="AB10" s="501"/>
      <c r="AC10" s="503"/>
      <c r="AD10" s="500"/>
      <c r="AE10" s="501"/>
      <c r="AF10" s="503"/>
      <c r="AG10" s="590">
        <f>+L10+R10+G10+Z10+AC10+AF10+S10+V10+W10</f>
        <v>383751.40460000001</v>
      </c>
      <c r="AH10" s="635"/>
    </row>
    <row r="11" spans="1:34" s="59" customFormat="1" ht="18" customHeight="1" x14ac:dyDescent="0.2">
      <c r="A11" s="513">
        <v>511</v>
      </c>
      <c r="B11" s="523" t="s">
        <v>125</v>
      </c>
      <c r="C11" s="543">
        <f t="shared" ref="C11:L11" si="0">SUM(C12:C17)</f>
        <v>70270.5</v>
      </c>
      <c r="D11" s="430">
        <f t="shared" si="0"/>
        <v>28018.899999999998</v>
      </c>
      <c r="E11" s="430">
        <f t="shared" si="0"/>
        <v>19481.41</v>
      </c>
      <c r="F11" s="430">
        <f t="shared" si="0"/>
        <v>46057.104999999996</v>
      </c>
      <c r="G11" s="544">
        <f>SUM(G12:G17)</f>
        <v>163827.91500000001</v>
      </c>
      <c r="H11" s="565">
        <f t="shared" si="0"/>
        <v>70270.5</v>
      </c>
      <c r="I11" s="54">
        <f t="shared" si="0"/>
        <v>28018.899999999998</v>
      </c>
      <c r="J11" s="54">
        <f t="shared" si="0"/>
        <v>19481.41</v>
      </c>
      <c r="K11" s="53">
        <f t="shared" si="0"/>
        <v>46057.104999999996</v>
      </c>
      <c r="L11" s="566">
        <f t="shared" si="0"/>
        <v>163827.91500000001</v>
      </c>
      <c r="M11" s="53">
        <v>0</v>
      </c>
      <c r="N11" s="54">
        <v>0</v>
      </c>
      <c r="O11" s="54">
        <v>0</v>
      </c>
      <c r="P11" s="54">
        <v>0</v>
      </c>
      <c r="Q11" s="54">
        <v>0</v>
      </c>
      <c r="R11" s="568">
        <f>M11+N11+O11+P11+Q11</f>
        <v>0</v>
      </c>
      <c r="S11" s="493">
        <v>0</v>
      </c>
      <c r="T11" s="571">
        <v>0</v>
      </c>
      <c r="U11" s="53">
        <v>0</v>
      </c>
      <c r="V11" s="505">
        <f t="shared" ref="V11:V74" si="1">+T11+U11</f>
        <v>0</v>
      </c>
      <c r="W11" s="53"/>
      <c r="X11" s="52"/>
      <c r="Y11" s="54"/>
      <c r="Z11" s="55"/>
      <c r="AA11" s="53"/>
      <c r="AB11" s="54"/>
      <c r="AC11" s="56"/>
      <c r="AD11" s="52"/>
      <c r="AE11" s="54"/>
      <c r="AF11" s="56"/>
      <c r="AG11" s="591">
        <f t="shared" ref="AG11:AG74" si="2">+L11+R11+G11+Z11+AC11+AF11+S11+V11+W11</f>
        <v>327655.83</v>
      </c>
      <c r="AH11" s="635"/>
    </row>
    <row r="12" spans="1:34" s="64" customFormat="1" ht="18" customHeight="1" x14ac:dyDescent="0.2">
      <c r="A12" s="514" t="s">
        <v>126</v>
      </c>
      <c r="B12" s="524" t="s">
        <v>127</v>
      </c>
      <c r="C12" s="545">
        <f>'PLLA MUNICIPAL LEY SAL'!H14/2</f>
        <v>31500</v>
      </c>
      <c r="D12" s="431">
        <f>+'PLLA MUNICIPAL LEY SAL'!H21/2</f>
        <v>25863.599999999999</v>
      </c>
      <c r="E12" s="431">
        <f>+'PLLA MUNICIPAL LEY SAL'!H51/2</f>
        <v>17982.84</v>
      </c>
      <c r="F12" s="432">
        <f>+'PLLA MUNICIPAL LEY SAL'!H70/2</f>
        <v>40405.68</v>
      </c>
      <c r="G12" s="546">
        <f t="shared" ref="G12:G16" si="3">SUM(C12:F12)</f>
        <v>115752.12</v>
      </c>
      <c r="H12" s="567">
        <f>C12</f>
        <v>31500</v>
      </c>
      <c r="I12" s="69">
        <f>D12</f>
        <v>25863.599999999999</v>
      </c>
      <c r="J12" s="192">
        <f>E12</f>
        <v>17982.84</v>
      </c>
      <c r="K12" s="69">
        <f>F12</f>
        <v>40405.68</v>
      </c>
      <c r="L12" s="568">
        <f>SUM(H12:K12)</f>
        <v>115752.12</v>
      </c>
      <c r="M12" s="192">
        <v>0</v>
      </c>
      <c r="N12" s="69">
        <v>0</v>
      </c>
      <c r="O12" s="69">
        <v>0</v>
      </c>
      <c r="P12" s="69">
        <v>0</v>
      </c>
      <c r="Q12" s="69">
        <v>0</v>
      </c>
      <c r="R12" s="568">
        <f t="shared" ref="R12:R17" si="4">M12+N12+O12+P12+Q12</f>
        <v>0</v>
      </c>
      <c r="S12" s="539">
        <v>0</v>
      </c>
      <c r="T12" s="570">
        <v>0</v>
      </c>
      <c r="U12" s="192">
        <v>0</v>
      </c>
      <c r="V12" s="506">
        <f t="shared" si="1"/>
        <v>0</v>
      </c>
      <c r="W12" s="192"/>
      <c r="X12" s="57"/>
      <c r="Y12" s="69"/>
      <c r="Z12" s="55"/>
      <c r="AA12" s="192"/>
      <c r="AB12" s="69"/>
      <c r="AC12" s="56"/>
      <c r="AD12" s="57"/>
      <c r="AE12" s="69"/>
      <c r="AF12" s="56"/>
      <c r="AG12" s="592">
        <f t="shared" si="2"/>
        <v>231504.24</v>
      </c>
      <c r="AH12" s="412"/>
    </row>
    <row r="13" spans="1:34" s="59" customFormat="1" ht="18" hidden="1" customHeight="1" x14ac:dyDescent="0.2">
      <c r="A13" s="515">
        <v>51102</v>
      </c>
      <c r="B13" s="525" t="s">
        <v>128</v>
      </c>
      <c r="C13" s="547"/>
      <c r="D13" s="431"/>
      <c r="E13" s="431"/>
      <c r="F13" s="431"/>
      <c r="G13" s="546">
        <f t="shared" si="3"/>
        <v>0</v>
      </c>
      <c r="H13" s="569"/>
      <c r="I13" s="69"/>
      <c r="J13" s="69"/>
      <c r="K13" s="69"/>
      <c r="L13" s="568"/>
      <c r="M13" s="192">
        <v>0</v>
      </c>
      <c r="N13" s="69">
        <v>0</v>
      </c>
      <c r="O13" s="69">
        <v>0</v>
      </c>
      <c r="P13" s="69">
        <v>0</v>
      </c>
      <c r="Q13" s="69">
        <v>0</v>
      </c>
      <c r="R13" s="568">
        <f t="shared" si="4"/>
        <v>0</v>
      </c>
      <c r="S13" s="539">
        <v>0</v>
      </c>
      <c r="T13" s="570">
        <v>0</v>
      </c>
      <c r="U13" s="192">
        <v>0</v>
      </c>
      <c r="V13" s="506">
        <f t="shared" si="1"/>
        <v>0</v>
      </c>
      <c r="W13" s="192"/>
      <c r="X13" s="57"/>
      <c r="Y13" s="69"/>
      <c r="Z13" s="55"/>
      <c r="AA13" s="192"/>
      <c r="AB13" s="69"/>
      <c r="AC13" s="56"/>
      <c r="AD13" s="57"/>
      <c r="AE13" s="69"/>
      <c r="AF13" s="56"/>
      <c r="AG13" s="592">
        <f t="shared" si="2"/>
        <v>0</v>
      </c>
      <c r="AH13" s="635"/>
    </row>
    <row r="14" spans="1:34" s="64" customFormat="1" ht="18" customHeight="1" x14ac:dyDescent="0.2">
      <c r="A14" s="515">
        <v>51103</v>
      </c>
      <c r="B14" s="524" t="s">
        <v>129</v>
      </c>
      <c r="C14" s="545">
        <f>+'PLLA MUNICIPAL LEY SAL'!I14/2</f>
        <v>2625</v>
      </c>
      <c r="D14" s="431">
        <f>+'PLLA MUNICIPAL LEY SAL'!I21/2</f>
        <v>2155.3000000000002</v>
      </c>
      <c r="E14" s="431">
        <f>'PLLA MUNICIPAL LEY SAL'!I51/2</f>
        <v>1498.57</v>
      </c>
      <c r="F14" s="431">
        <f>+'PLLA MUNICIPAL LEY SAL'!I70/2</f>
        <v>3367.14</v>
      </c>
      <c r="G14" s="546">
        <f t="shared" si="3"/>
        <v>9646.01</v>
      </c>
      <c r="H14" s="570">
        <f>+C14</f>
        <v>2625</v>
      </c>
      <c r="I14" s="69">
        <f>+D14</f>
        <v>2155.3000000000002</v>
      </c>
      <c r="J14" s="69">
        <f>E14</f>
        <v>1498.57</v>
      </c>
      <c r="K14" s="69">
        <f>+F14</f>
        <v>3367.14</v>
      </c>
      <c r="L14" s="568">
        <f t="shared" ref="L14:L20" si="5">SUM(H14:K14)</f>
        <v>9646.01</v>
      </c>
      <c r="M14" s="192">
        <v>0</v>
      </c>
      <c r="N14" s="69">
        <v>0</v>
      </c>
      <c r="O14" s="69">
        <v>0</v>
      </c>
      <c r="P14" s="69">
        <v>0</v>
      </c>
      <c r="Q14" s="69">
        <v>0</v>
      </c>
      <c r="R14" s="568">
        <f t="shared" si="4"/>
        <v>0</v>
      </c>
      <c r="S14" s="539">
        <v>0</v>
      </c>
      <c r="T14" s="570">
        <v>0</v>
      </c>
      <c r="U14" s="192">
        <v>0</v>
      </c>
      <c r="V14" s="506">
        <f t="shared" si="1"/>
        <v>0</v>
      </c>
      <c r="W14" s="192"/>
      <c r="X14" s="57"/>
      <c r="Y14" s="69"/>
      <c r="Z14" s="55"/>
      <c r="AA14" s="192"/>
      <c r="AB14" s="69"/>
      <c r="AC14" s="56"/>
      <c r="AD14" s="57"/>
      <c r="AE14" s="69"/>
      <c r="AF14" s="56"/>
      <c r="AG14" s="592">
        <f t="shared" si="2"/>
        <v>19292.02</v>
      </c>
      <c r="AH14" s="412"/>
    </row>
    <row r="15" spans="1:34" s="59" customFormat="1" ht="18" hidden="1" customHeight="1" x14ac:dyDescent="0.2">
      <c r="A15" s="515">
        <v>51104</v>
      </c>
      <c r="B15" s="524" t="s">
        <v>130</v>
      </c>
      <c r="C15" s="548"/>
      <c r="D15" s="431"/>
      <c r="E15" s="431"/>
      <c r="F15" s="431"/>
      <c r="G15" s="549">
        <f t="shared" si="3"/>
        <v>0</v>
      </c>
      <c r="H15" s="570"/>
      <c r="I15" s="69"/>
      <c r="J15" s="69"/>
      <c r="K15" s="69"/>
      <c r="L15" s="568">
        <f t="shared" si="5"/>
        <v>0</v>
      </c>
      <c r="M15" s="192">
        <v>0</v>
      </c>
      <c r="N15" s="54">
        <v>0</v>
      </c>
      <c r="O15" s="54">
        <v>0</v>
      </c>
      <c r="P15" s="54">
        <v>0</v>
      </c>
      <c r="Q15" s="54">
        <v>0</v>
      </c>
      <c r="R15" s="568">
        <f t="shared" si="4"/>
        <v>0</v>
      </c>
      <c r="S15" s="493">
        <v>0</v>
      </c>
      <c r="T15" s="571">
        <v>0</v>
      </c>
      <c r="U15" s="53">
        <v>0</v>
      </c>
      <c r="V15" s="506">
        <f t="shared" si="1"/>
        <v>0</v>
      </c>
      <c r="W15" s="53"/>
      <c r="X15" s="57"/>
      <c r="Y15" s="69"/>
      <c r="Z15" s="55"/>
      <c r="AA15" s="192"/>
      <c r="AB15" s="69"/>
      <c r="AC15" s="56"/>
      <c r="AD15" s="57"/>
      <c r="AE15" s="69"/>
      <c r="AF15" s="56"/>
      <c r="AG15" s="592">
        <f t="shared" si="2"/>
        <v>0</v>
      </c>
      <c r="AH15" s="635"/>
    </row>
    <row r="16" spans="1:34" s="64" customFormat="1" ht="18" customHeight="1" x14ac:dyDescent="0.2">
      <c r="A16" s="514" t="s">
        <v>131</v>
      </c>
      <c r="B16" s="524" t="s">
        <v>132</v>
      </c>
      <c r="C16" s="548">
        <f>+'PLLA DIETAS'!D20/2</f>
        <v>33000</v>
      </c>
      <c r="D16" s="431">
        <v>0</v>
      </c>
      <c r="E16" s="431">
        <v>0</v>
      </c>
      <c r="F16" s="431">
        <v>0</v>
      </c>
      <c r="G16" s="549">
        <f t="shared" si="3"/>
        <v>33000</v>
      </c>
      <c r="H16" s="570">
        <f>+C16</f>
        <v>33000</v>
      </c>
      <c r="I16" s="69">
        <v>0</v>
      </c>
      <c r="J16" s="69">
        <v>0</v>
      </c>
      <c r="K16" s="69">
        <v>0</v>
      </c>
      <c r="L16" s="568">
        <f t="shared" si="5"/>
        <v>33000</v>
      </c>
      <c r="M16" s="192">
        <v>0</v>
      </c>
      <c r="N16" s="69">
        <v>0</v>
      </c>
      <c r="O16" s="69">
        <v>0</v>
      </c>
      <c r="P16" s="69">
        <v>0</v>
      </c>
      <c r="Q16" s="69">
        <v>0</v>
      </c>
      <c r="R16" s="568">
        <f t="shared" si="4"/>
        <v>0</v>
      </c>
      <c r="S16" s="539">
        <v>0</v>
      </c>
      <c r="T16" s="570">
        <v>0</v>
      </c>
      <c r="U16" s="192">
        <v>0</v>
      </c>
      <c r="V16" s="506">
        <f t="shared" si="1"/>
        <v>0</v>
      </c>
      <c r="W16" s="192"/>
      <c r="X16" s="57"/>
      <c r="Y16" s="69"/>
      <c r="Z16" s="55"/>
      <c r="AA16" s="192"/>
      <c r="AB16" s="69"/>
      <c r="AC16" s="56"/>
      <c r="AD16" s="57"/>
      <c r="AE16" s="69"/>
      <c r="AF16" s="56"/>
      <c r="AG16" s="592">
        <f t="shared" si="2"/>
        <v>66000</v>
      </c>
      <c r="AH16" s="412"/>
    </row>
    <row r="17" spans="1:34" s="59" customFormat="1" ht="18" customHeight="1" x14ac:dyDescent="0.2">
      <c r="A17" s="514" t="s">
        <v>133</v>
      </c>
      <c r="B17" s="524" t="s">
        <v>134</v>
      </c>
      <c r="C17" s="548">
        <f>('PLLA DIETAS'!E20)/2+'PLLA MUNICIPAL HONORARIOS'!J27/2</f>
        <v>3145.5</v>
      </c>
      <c r="D17" s="431">
        <v>0</v>
      </c>
      <c r="E17" s="431">
        <v>0</v>
      </c>
      <c r="F17" s="431">
        <f>((4*328.57)+(2*450)+(1*334.29)+(6*300)+(55*4))/2</f>
        <v>2284.2849999999999</v>
      </c>
      <c r="G17" s="549">
        <f>SUM(C17:F17)</f>
        <v>5429.7849999999999</v>
      </c>
      <c r="H17" s="570">
        <f>+C17</f>
        <v>3145.5</v>
      </c>
      <c r="I17" s="69">
        <v>0</v>
      </c>
      <c r="J17" s="69">
        <v>0</v>
      </c>
      <c r="K17" s="69">
        <f>+F17</f>
        <v>2284.2849999999999</v>
      </c>
      <c r="L17" s="568">
        <f t="shared" si="5"/>
        <v>5429.7849999999999</v>
      </c>
      <c r="M17" s="192">
        <v>0</v>
      </c>
      <c r="N17" s="54">
        <v>0</v>
      </c>
      <c r="O17" s="54">
        <v>0</v>
      </c>
      <c r="P17" s="54">
        <v>0</v>
      </c>
      <c r="Q17" s="54">
        <v>0</v>
      </c>
      <c r="R17" s="568">
        <f t="shared" si="4"/>
        <v>0</v>
      </c>
      <c r="S17" s="493">
        <v>0</v>
      </c>
      <c r="T17" s="571">
        <v>0</v>
      </c>
      <c r="U17" s="53">
        <v>0</v>
      </c>
      <c r="V17" s="506">
        <f t="shared" si="1"/>
        <v>0</v>
      </c>
      <c r="W17" s="53"/>
      <c r="X17" s="57"/>
      <c r="Y17" s="69"/>
      <c r="Z17" s="55"/>
      <c r="AA17" s="192"/>
      <c r="AB17" s="69"/>
      <c r="AC17" s="56"/>
      <c r="AD17" s="57"/>
      <c r="AE17" s="69"/>
      <c r="AF17" s="56"/>
      <c r="AG17" s="592">
        <f t="shared" si="2"/>
        <v>10859.57</v>
      </c>
      <c r="AH17" s="635"/>
    </row>
    <row r="18" spans="1:34" s="64" customFormat="1" ht="18" customHeight="1" x14ac:dyDescent="0.2">
      <c r="A18" s="516" t="s">
        <v>135</v>
      </c>
      <c r="B18" s="526" t="s">
        <v>136</v>
      </c>
      <c r="C18" s="543">
        <f t="shared" ref="C18:L18" si="6">SUM(C19:C22)</f>
        <v>0</v>
      </c>
      <c r="D18" s="433">
        <f t="shared" si="6"/>
        <v>0</v>
      </c>
      <c r="E18" s="433">
        <f t="shared" si="6"/>
        <v>0</v>
      </c>
      <c r="F18" s="433">
        <f t="shared" si="6"/>
        <v>0</v>
      </c>
      <c r="G18" s="550">
        <f t="shared" si="6"/>
        <v>0</v>
      </c>
      <c r="H18" s="571">
        <f t="shared" si="6"/>
        <v>0</v>
      </c>
      <c r="I18" s="54">
        <f t="shared" si="6"/>
        <v>0</v>
      </c>
      <c r="J18" s="54">
        <f t="shared" si="6"/>
        <v>0</v>
      </c>
      <c r="K18" s="54">
        <f t="shared" si="6"/>
        <v>0</v>
      </c>
      <c r="L18" s="566">
        <f t="shared" si="6"/>
        <v>0</v>
      </c>
      <c r="M18" s="192">
        <v>0</v>
      </c>
      <c r="N18" s="54">
        <v>0</v>
      </c>
      <c r="O18" s="54">
        <v>0</v>
      </c>
      <c r="P18" s="69">
        <v>0</v>
      </c>
      <c r="Q18" s="69">
        <v>0</v>
      </c>
      <c r="R18" s="566">
        <f>M18+N18+O18+P18+Q18</f>
        <v>0</v>
      </c>
      <c r="S18" s="539">
        <v>0</v>
      </c>
      <c r="T18" s="570">
        <v>0</v>
      </c>
      <c r="U18" s="192">
        <v>0</v>
      </c>
      <c r="V18" s="505">
        <f t="shared" si="1"/>
        <v>0</v>
      </c>
      <c r="W18" s="192"/>
      <c r="X18" s="57"/>
      <c r="Y18" s="69"/>
      <c r="Z18" s="55"/>
      <c r="AA18" s="192"/>
      <c r="AB18" s="69"/>
      <c r="AC18" s="56"/>
      <c r="AD18" s="57"/>
      <c r="AE18" s="69"/>
      <c r="AF18" s="56"/>
      <c r="AG18" s="591">
        <f t="shared" si="2"/>
        <v>0</v>
      </c>
      <c r="AH18" s="412"/>
    </row>
    <row r="19" spans="1:34" s="64" customFormat="1" ht="18" hidden="1" customHeight="1" x14ac:dyDescent="0.2">
      <c r="A19" s="514" t="s">
        <v>137</v>
      </c>
      <c r="B19" s="524" t="s">
        <v>127</v>
      </c>
      <c r="C19" s="548"/>
      <c r="D19" s="431"/>
      <c r="E19" s="431"/>
      <c r="F19" s="431"/>
      <c r="G19" s="549">
        <f>SUM(C19:F19)</f>
        <v>0</v>
      </c>
      <c r="H19" s="570"/>
      <c r="I19" s="69"/>
      <c r="J19" s="69"/>
      <c r="K19" s="69"/>
      <c r="L19" s="568">
        <f t="shared" si="5"/>
        <v>0</v>
      </c>
      <c r="M19" s="192">
        <v>0</v>
      </c>
      <c r="N19" s="69">
        <v>0</v>
      </c>
      <c r="O19" s="69">
        <v>0</v>
      </c>
      <c r="P19" s="69">
        <v>0</v>
      </c>
      <c r="Q19" s="69">
        <v>0</v>
      </c>
      <c r="R19" s="568">
        <f>M19+N19+O19+P19</f>
        <v>0</v>
      </c>
      <c r="S19" s="539">
        <v>0</v>
      </c>
      <c r="T19" s="570">
        <v>0</v>
      </c>
      <c r="U19" s="192">
        <v>0</v>
      </c>
      <c r="V19" s="505">
        <f t="shared" si="1"/>
        <v>0</v>
      </c>
      <c r="W19" s="192"/>
      <c r="X19" s="57"/>
      <c r="Y19" s="69"/>
      <c r="Z19" s="55"/>
      <c r="AA19" s="192"/>
      <c r="AB19" s="69"/>
      <c r="AC19" s="56"/>
      <c r="AD19" s="57"/>
      <c r="AE19" s="69"/>
      <c r="AF19" s="56"/>
      <c r="AG19" s="591">
        <f t="shared" si="2"/>
        <v>0</v>
      </c>
      <c r="AH19" s="412"/>
    </row>
    <row r="20" spans="1:34" s="64" customFormat="1" ht="18" customHeight="1" x14ac:dyDescent="0.2">
      <c r="A20" s="515">
        <v>51202</v>
      </c>
      <c r="B20" s="527" t="s">
        <v>128</v>
      </c>
      <c r="C20" s="548">
        <v>0</v>
      </c>
      <c r="D20" s="431">
        <v>0</v>
      </c>
      <c r="E20" s="431">
        <v>0</v>
      </c>
      <c r="F20" s="431">
        <v>0</v>
      </c>
      <c r="G20" s="549">
        <v>0</v>
      </c>
      <c r="H20" s="570">
        <v>0</v>
      </c>
      <c r="I20" s="69">
        <v>0</v>
      </c>
      <c r="J20" s="69">
        <v>0</v>
      </c>
      <c r="K20" s="69">
        <v>0</v>
      </c>
      <c r="L20" s="568">
        <f t="shared" si="5"/>
        <v>0</v>
      </c>
      <c r="M20" s="192">
        <v>0</v>
      </c>
      <c r="N20" s="69">
        <v>0</v>
      </c>
      <c r="O20" s="69">
        <v>0</v>
      </c>
      <c r="P20" s="69">
        <v>0</v>
      </c>
      <c r="Q20" s="69">
        <v>0</v>
      </c>
      <c r="R20" s="568">
        <f>M20+N20+O20+P20+Q20</f>
        <v>0</v>
      </c>
      <c r="S20" s="539">
        <v>0</v>
      </c>
      <c r="T20" s="570">
        <v>0</v>
      </c>
      <c r="U20" s="192">
        <v>0</v>
      </c>
      <c r="V20" s="506">
        <f t="shared" si="1"/>
        <v>0</v>
      </c>
      <c r="W20" s="192"/>
      <c r="X20" s="57"/>
      <c r="Y20" s="69"/>
      <c r="Z20" s="55"/>
      <c r="AA20" s="192"/>
      <c r="AB20" s="69"/>
      <c r="AC20" s="56"/>
      <c r="AD20" s="57"/>
      <c r="AE20" s="69"/>
      <c r="AF20" s="56"/>
      <c r="AG20" s="592">
        <f t="shared" si="2"/>
        <v>0</v>
      </c>
      <c r="AH20" s="412"/>
    </row>
    <row r="21" spans="1:34" s="59" customFormat="1" ht="18" hidden="1" customHeight="1" x14ac:dyDescent="0.25">
      <c r="A21" s="514" t="s">
        <v>139</v>
      </c>
      <c r="B21" s="524" t="s">
        <v>129</v>
      </c>
      <c r="C21" s="548"/>
      <c r="D21" s="431"/>
      <c r="E21" s="431"/>
      <c r="F21" s="431"/>
      <c r="G21" s="549"/>
      <c r="H21" s="570"/>
      <c r="I21" s="69"/>
      <c r="J21" s="69"/>
      <c r="K21" s="69"/>
      <c r="L21" s="568"/>
      <c r="M21" s="53">
        <v>0</v>
      </c>
      <c r="N21" s="54">
        <v>0</v>
      </c>
      <c r="O21" s="54">
        <v>0</v>
      </c>
      <c r="P21" s="54">
        <v>0</v>
      </c>
      <c r="Q21" s="54">
        <v>0</v>
      </c>
      <c r="R21" s="568">
        <f>M21+N21+O21+P21</f>
        <v>0</v>
      </c>
      <c r="S21" s="493">
        <v>0</v>
      </c>
      <c r="T21" s="571">
        <v>0</v>
      </c>
      <c r="U21" s="53">
        <v>0</v>
      </c>
      <c r="V21" s="505">
        <f t="shared" si="1"/>
        <v>0</v>
      </c>
      <c r="W21" s="58"/>
      <c r="X21" s="57"/>
      <c r="Y21" s="69"/>
      <c r="Z21" s="55"/>
      <c r="AA21" s="192"/>
      <c r="AB21" s="69"/>
      <c r="AC21" s="56"/>
      <c r="AD21" s="57"/>
      <c r="AE21" s="69"/>
      <c r="AF21" s="56"/>
      <c r="AG21" s="591">
        <f t="shared" si="2"/>
        <v>0</v>
      </c>
      <c r="AH21" s="635"/>
    </row>
    <row r="22" spans="1:34" s="59" customFormat="1" ht="18" hidden="1" customHeight="1" x14ac:dyDescent="0.2">
      <c r="A22" s="514" t="s">
        <v>140</v>
      </c>
      <c r="B22" s="524" t="s">
        <v>134</v>
      </c>
      <c r="C22" s="548"/>
      <c r="D22" s="431"/>
      <c r="E22" s="431"/>
      <c r="F22" s="431"/>
      <c r="G22" s="549"/>
      <c r="H22" s="570"/>
      <c r="I22" s="69"/>
      <c r="J22" s="69"/>
      <c r="K22" s="69"/>
      <c r="L22" s="568"/>
      <c r="M22" s="53">
        <v>0</v>
      </c>
      <c r="N22" s="54">
        <v>0</v>
      </c>
      <c r="O22" s="54">
        <v>0</v>
      </c>
      <c r="P22" s="54">
        <v>0</v>
      </c>
      <c r="Q22" s="54">
        <v>0</v>
      </c>
      <c r="R22" s="568">
        <f>M22+N22+O22+P22</f>
        <v>0</v>
      </c>
      <c r="S22" s="493">
        <v>0</v>
      </c>
      <c r="T22" s="571">
        <v>0</v>
      </c>
      <c r="U22" s="53">
        <v>0</v>
      </c>
      <c r="V22" s="505">
        <f t="shared" si="1"/>
        <v>0</v>
      </c>
      <c r="W22" s="53"/>
      <c r="X22" s="57"/>
      <c r="Y22" s="69"/>
      <c r="Z22" s="55"/>
      <c r="AA22" s="192"/>
      <c r="AB22" s="69"/>
      <c r="AC22" s="56"/>
      <c r="AD22" s="57"/>
      <c r="AE22" s="69"/>
      <c r="AF22" s="56"/>
      <c r="AG22" s="591">
        <f t="shared" si="2"/>
        <v>0</v>
      </c>
      <c r="AH22" s="635"/>
    </row>
    <row r="23" spans="1:34" s="64" customFormat="1" ht="18" customHeight="1" x14ac:dyDescent="0.2">
      <c r="A23" s="516" t="s">
        <v>141</v>
      </c>
      <c r="B23" s="526" t="s">
        <v>142</v>
      </c>
      <c r="C23" s="543">
        <f t="shared" ref="C23:L23" si="7">SUM(C24:C25)</f>
        <v>0</v>
      </c>
      <c r="D23" s="433">
        <f t="shared" si="7"/>
        <v>0</v>
      </c>
      <c r="E23" s="433">
        <f t="shared" si="7"/>
        <v>0</v>
      </c>
      <c r="F23" s="433">
        <f t="shared" si="7"/>
        <v>0</v>
      </c>
      <c r="G23" s="550">
        <f>SUM(G24:G25)</f>
        <v>0</v>
      </c>
      <c r="H23" s="571">
        <f t="shared" si="7"/>
        <v>0</v>
      </c>
      <c r="I23" s="54">
        <f t="shared" si="7"/>
        <v>250</v>
      </c>
      <c r="J23" s="54">
        <f t="shared" si="7"/>
        <v>0</v>
      </c>
      <c r="K23" s="54">
        <f t="shared" si="7"/>
        <v>250</v>
      </c>
      <c r="L23" s="566">
        <f t="shared" si="7"/>
        <v>500</v>
      </c>
      <c r="M23" s="192">
        <v>0</v>
      </c>
      <c r="N23" s="69">
        <v>0</v>
      </c>
      <c r="O23" s="69">
        <v>0</v>
      </c>
      <c r="P23" s="69">
        <v>0</v>
      </c>
      <c r="Q23" s="69">
        <v>0</v>
      </c>
      <c r="R23" s="566">
        <f>M23+N23+O23+P23</f>
        <v>0</v>
      </c>
      <c r="S23" s="539">
        <v>0</v>
      </c>
      <c r="T23" s="570">
        <v>0</v>
      </c>
      <c r="U23" s="192">
        <v>0</v>
      </c>
      <c r="V23" s="505">
        <f t="shared" si="1"/>
        <v>0</v>
      </c>
      <c r="W23" s="192"/>
      <c r="X23" s="57"/>
      <c r="Y23" s="69"/>
      <c r="Z23" s="55"/>
      <c r="AA23" s="192"/>
      <c r="AB23" s="69"/>
      <c r="AC23" s="56"/>
      <c r="AD23" s="57"/>
      <c r="AE23" s="69"/>
      <c r="AF23" s="56"/>
      <c r="AG23" s="591">
        <f t="shared" si="2"/>
        <v>500</v>
      </c>
      <c r="AH23" s="412"/>
    </row>
    <row r="24" spans="1:34" s="64" customFormat="1" ht="18" customHeight="1" x14ac:dyDescent="0.2">
      <c r="A24" s="515">
        <v>51301</v>
      </c>
      <c r="B24" s="525" t="s">
        <v>143</v>
      </c>
      <c r="C24" s="548">
        <v>0</v>
      </c>
      <c r="D24" s="431">
        <v>0</v>
      </c>
      <c r="E24" s="431">
        <v>0</v>
      </c>
      <c r="F24" s="431">
        <v>0</v>
      </c>
      <c r="G24" s="549">
        <f>C24+D24+E24+F24</f>
        <v>0</v>
      </c>
      <c r="H24" s="570">
        <v>0</v>
      </c>
      <c r="I24" s="69">
        <v>250</v>
      </c>
      <c r="J24" s="69"/>
      <c r="K24" s="69">
        <v>250</v>
      </c>
      <c r="L24" s="568">
        <f>SUM(H24:K24)</f>
        <v>500</v>
      </c>
      <c r="M24" s="192">
        <v>0</v>
      </c>
      <c r="N24" s="69">
        <v>0</v>
      </c>
      <c r="O24" s="69">
        <v>0</v>
      </c>
      <c r="P24" s="69">
        <v>0</v>
      </c>
      <c r="Q24" s="69">
        <v>0</v>
      </c>
      <c r="R24" s="568">
        <f>M24+N24+O24+P24+Q24</f>
        <v>0</v>
      </c>
      <c r="S24" s="539">
        <v>0</v>
      </c>
      <c r="T24" s="570">
        <v>0</v>
      </c>
      <c r="U24" s="192">
        <v>0</v>
      </c>
      <c r="V24" s="506">
        <f t="shared" si="1"/>
        <v>0</v>
      </c>
      <c r="W24" s="192"/>
      <c r="X24" s="57"/>
      <c r="Y24" s="69"/>
      <c r="Z24" s="55"/>
      <c r="AA24" s="192"/>
      <c r="AB24" s="69"/>
      <c r="AC24" s="56"/>
      <c r="AD24" s="57"/>
      <c r="AE24" s="69"/>
      <c r="AF24" s="56"/>
      <c r="AG24" s="592">
        <f t="shared" si="2"/>
        <v>500</v>
      </c>
      <c r="AH24" s="412"/>
    </row>
    <row r="25" spans="1:34" s="59" customFormat="1" ht="18" hidden="1" customHeight="1" x14ac:dyDescent="0.2">
      <c r="A25" s="515">
        <v>51302</v>
      </c>
      <c r="B25" s="525" t="s">
        <v>144</v>
      </c>
      <c r="C25" s="548"/>
      <c r="D25" s="431"/>
      <c r="E25" s="431"/>
      <c r="F25" s="431"/>
      <c r="G25" s="549"/>
      <c r="H25" s="570"/>
      <c r="I25" s="69"/>
      <c r="J25" s="69"/>
      <c r="K25" s="69"/>
      <c r="L25" s="568"/>
      <c r="M25" s="192">
        <v>0</v>
      </c>
      <c r="N25" s="69">
        <v>0</v>
      </c>
      <c r="O25" s="69">
        <v>0</v>
      </c>
      <c r="P25" s="69">
        <v>0</v>
      </c>
      <c r="Q25" s="69">
        <v>0</v>
      </c>
      <c r="R25" s="568">
        <f>M25+N25+O25+P25</f>
        <v>0</v>
      </c>
      <c r="S25" s="539">
        <v>0</v>
      </c>
      <c r="T25" s="570">
        <v>0</v>
      </c>
      <c r="U25" s="192">
        <v>0</v>
      </c>
      <c r="V25" s="506">
        <f t="shared" si="1"/>
        <v>0</v>
      </c>
      <c r="W25" s="192"/>
      <c r="X25" s="57"/>
      <c r="Y25" s="69"/>
      <c r="Z25" s="55"/>
      <c r="AA25" s="192"/>
      <c r="AB25" s="69"/>
      <c r="AC25" s="56"/>
      <c r="AD25" s="57"/>
      <c r="AE25" s="69"/>
      <c r="AF25" s="56"/>
      <c r="AG25" s="591">
        <f t="shared" si="2"/>
        <v>0</v>
      </c>
      <c r="AH25" s="635"/>
    </row>
    <row r="26" spans="1:34" s="64" customFormat="1" ht="18" customHeight="1" x14ac:dyDescent="0.2">
      <c r="A26" s="513">
        <v>514</v>
      </c>
      <c r="B26" s="528" t="s">
        <v>145</v>
      </c>
      <c r="C26" s="543">
        <f t="shared" ref="C26:L26" si="8">SUM(C27:C28)</f>
        <v>10984.0905</v>
      </c>
      <c r="D26" s="433">
        <f t="shared" si="8"/>
        <v>0</v>
      </c>
      <c r="E26" s="433">
        <f t="shared" si="8"/>
        <v>0</v>
      </c>
      <c r="F26" s="433">
        <f t="shared" si="8"/>
        <v>0</v>
      </c>
      <c r="G26" s="550">
        <f>SUM(G27:G28)</f>
        <v>10984.0905</v>
      </c>
      <c r="H26" s="571">
        <f t="shared" si="8"/>
        <v>10984.0905</v>
      </c>
      <c r="I26" s="54">
        <f t="shared" si="8"/>
        <v>0</v>
      </c>
      <c r="J26" s="54">
        <f t="shared" si="8"/>
        <v>0</v>
      </c>
      <c r="K26" s="54">
        <f t="shared" si="8"/>
        <v>0</v>
      </c>
      <c r="L26" s="566">
        <f t="shared" si="8"/>
        <v>10984.0905</v>
      </c>
      <c r="M26" s="192">
        <v>0</v>
      </c>
      <c r="N26" s="69">
        <v>0</v>
      </c>
      <c r="O26" s="69">
        <v>0</v>
      </c>
      <c r="P26" s="69">
        <v>0</v>
      </c>
      <c r="Q26" s="69">
        <v>0</v>
      </c>
      <c r="R26" s="568">
        <f>M26+N26+O26+P26+Q26</f>
        <v>0</v>
      </c>
      <c r="S26" s="539">
        <v>0</v>
      </c>
      <c r="T26" s="570">
        <v>0</v>
      </c>
      <c r="U26" s="192">
        <v>0</v>
      </c>
      <c r="V26" s="505">
        <f t="shared" si="1"/>
        <v>0</v>
      </c>
      <c r="W26" s="192"/>
      <c r="X26" s="57"/>
      <c r="Y26" s="69"/>
      <c r="Z26" s="55"/>
      <c r="AA26" s="192"/>
      <c r="AB26" s="69"/>
      <c r="AC26" s="56"/>
      <c r="AD26" s="57"/>
      <c r="AE26" s="69"/>
      <c r="AF26" s="56"/>
      <c r="AG26" s="591">
        <f t="shared" si="2"/>
        <v>21968.181</v>
      </c>
      <c r="AH26" s="412"/>
    </row>
    <row r="27" spans="1:34" s="64" customFormat="1" ht="18" customHeight="1" x14ac:dyDescent="0.2">
      <c r="A27" s="514" t="s">
        <v>146</v>
      </c>
      <c r="B27" s="524" t="s">
        <v>147</v>
      </c>
      <c r="C27" s="548">
        <f>'AG1'!D31</f>
        <v>10984.0905</v>
      </c>
      <c r="D27" s="431">
        <v>0</v>
      </c>
      <c r="E27" s="431">
        <v>0</v>
      </c>
      <c r="F27" s="431">
        <v>0</v>
      </c>
      <c r="G27" s="549">
        <f>C27+D27+F27</f>
        <v>10984.0905</v>
      </c>
      <c r="H27" s="570">
        <f>C27</f>
        <v>10984.0905</v>
      </c>
      <c r="I27" s="69">
        <v>0</v>
      </c>
      <c r="J27" s="69">
        <v>0</v>
      </c>
      <c r="K27" s="69">
        <v>0</v>
      </c>
      <c r="L27" s="568">
        <f>H27+I27+J27</f>
        <v>10984.0905</v>
      </c>
      <c r="M27" s="192">
        <v>0</v>
      </c>
      <c r="N27" s="69">
        <v>0</v>
      </c>
      <c r="O27" s="69">
        <v>0</v>
      </c>
      <c r="P27" s="69">
        <v>0</v>
      </c>
      <c r="Q27" s="69">
        <v>0</v>
      </c>
      <c r="R27" s="568">
        <f>M27+N27+O27+P27+Q27</f>
        <v>0</v>
      </c>
      <c r="S27" s="539">
        <v>0</v>
      </c>
      <c r="T27" s="570">
        <v>0</v>
      </c>
      <c r="U27" s="192">
        <v>0</v>
      </c>
      <c r="V27" s="506">
        <f t="shared" si="1"/>
        <v>0</v>
      </c>
      <c r="W27" s="192"/>
      <c r="X27" s="57"/>
      <c r="Y27" s="69"/>
      <c r="Z27" s="55"/>
      <c r="AA27" s="192"/>
      <c r="AB27" s="69"/>
      <c r="AC27" s="56"/>
      <c r="AD27" s="57"/>
      <c r="AE27" s="69"/>
      <c r="AF27" s="56"/>
      <c r="AG27" s="592">
        <f t="shared" si="2"/>
        <v>21968.181</v>
      </c>
      <c r="AH27" s="412"/>
    </row>
    <row r="28" spans="1:34" s="64" customFormat="1" ht="18" hidden="1" customHeight="1" x14ac:dyDescent="0.2">
      <c r="A28" s="514" t="s">
        <v>148</v>
      </c>
      <c r="B28" s="524" t="s">
        <v>149</v>
      </c>
      <c r="C28" s="548"/>
      <c r="D28" s="431"/>
      <c r="E28" s="431"/>
      <c r="F28" s="431"/>
      <c r="G28" s="549"/>
      <c r="H28" s="570"/>
      <c r="I28" s="69"/>
      <c r="J28" s="69"/>
      <c r="K28" s="69"/>
      <c r="L28" s="568"/>
      <c r="M28" s="192">
        <v>0</v>
      </c>
      <c r="N28" s="69">
        <v>0</v>
      </c>
      <c r="O28" s="69">
        <v>0</v>
      </c>
      <c r="P28" s="69">
        <v>0</v>
      </c>
      <c r="Q28" s="69">
        <v>0</v>
      </c>
      <c r="R28" s="568">
        <f>M28+N28+O28+P28</f>
        <v>0</v>
      </c>
      <c r="S28" s="539">
        <v>0</v>
      </c>
      <c r="T28" s="570">
        <v>0</v>
      </c>
      <c r="U28" s="192">
        <v>0</v>
      </c>
      <c r="V28" s="506">
        <f t="shared" si="1"/>
        <v>0</v>
      </c>
      <c r="W28" s="192"/>
      <c r="X28" s="57"/>
      <c r="Y28" s="69"/>
      <c r="Z28" s="55"/>
      <c r="AA28" s="192"/>
      <c r="AB28" s="69"/>
      <c r="AC28" s="56"/>
      <c r="AD28" s="57"/>
      <c r="AE28" s="69"/>
      <c r="AF28" s="56"/>
      <c r="AG28" s="591">
        <f t="shared" si="2"/>
        <v>0</v>
      </c>
      <c r="AH28" s="412"/>
    </row>
    <row r="29" spans="1:34" s="59" customFormat="1" ht="18" customHeight="1" x14ac:dyDescent="0.2">
      <c r="A29" s="513">
        <v>515</v>
      </c>
      <c r="B29" s="528" t="s">
        <v>150</v>
      </c>
      <c r="C29" s="543">
        <f t="shared" ref="C29:L29" si="9">SUM(C30:C31)</f>
        <v>8467.6967999999997</v>
      </c>
      <c r="D29" s="433">
        <f t="shared" si="9"/>
        <v>0</v>
      </c>
      <c r="E29" s="433">
        <f t="shared" si="9"/>
        <v>0</v>
      </c>
      <c r="F29" s="433">
        <f t="shared" si="9"/>
        <v>0</v>
      </c>
      <c r="G29" s="550">
        <f t="shared" si="9"/>
        <v>8467.6967999999997</v>
      </c>
      <c r="H29" s="571">
        <f t="shared" si="9"/>
        <v>8467.6967999999997</v>
      </c>
      <c r="I29" s="54">
        <f t="shared" si="9"/>
        <v>0</v>
      </c>
      <c r="J29" s="54">
        <f t="shared" si="9"/>
        <v>0</v>
      </c>
      <c r="K29" s="54">
        <f t="shared" si="9"/>
        <v>0</v>
      </c>
      <c r="L29" s="566">
        <f t="shared" si="9"/>
        <v>8467.6967999999997</v>
      </c>
      <c r="M29" s="53">
        <v>0</v>
      </c>
      <c r="N29" s="54">
        <v>0</v>
      </c>
      <c r="O29" s="54">
        <v>0</v>
      </c>
      <c r="P29" s="54">
        <v>0</v>
      </c>
      <c r="Q29" s="54">
        <v>0</v>
      </c>
      <c r="R29" s="568">
        <f>M29+N29+O29+P29+Q29</f>
        <v>0</v>
      </c>
      <c r="S29" s="493">
        <v>0</v>
      </c>
      <c r="T29" s="571">
        <v>0</v>
      </c>
      <c r="U29" s="53">
        <v>0</v>
      </c>
      <c r="V29" s="505">
        <f t="shared" si="1"/>
        <v>0</v>
      </c>
      <c r="W29" s="53"/>
      <c r="X29" s="57"/>
      <c r="Y29" s="69"/>
      <c r="Z29" s="55"/>
      <c r="AA29" s="192"/>
      <c r="AB29" s="69"/>
      <c r="AC29" s="56"/>
      <c r="AD29" s="57"/>
      <c r="AE29" s="69"/>
      <c r="AF29" s="56"/>
      <c r="AG29" s="591">
        <f t="shared" si="2"/>
        <v>16935.393599999999</v>
      </c>
      <c r="AH29" s="635"/>
    </row>
    <row r="30" spans="1:34" s="59" customFormat="1" ht="18" customHeight="1" x14ac:dyDescent="0.2">
      <c r="A30" s="514" t="s">
        <v>151</v>
      </c>
      <c r="B30" s="524" t="s">
        <v>147</v>
      </c>
      <c r="C30" s="548">
        <f>'AG1'!D34</f>
        <v>8467.6967999999997</v>
      </c>
      <c r="D30" s="431">
        <v>0</v>
      </c>
      <c r="E30" s="431">
        <v>0</v>
      </c>
      <c r="F30" s="431">
        <v>0</v>
      </c>
      <c r="G30" s="549">
        <f>C30</f>
        <v>8467.6967999999997</v>
      </c>
      <c r="H30" s="570">
        <f>C30</f>
        <v>8467.6967999999997</v>
      </c>
      <c r="I30" s="69">
        <v>0</v>
      </c>
      <c r="J30" s="69">
        <v>0</v>
      </c>
      <c r="K30" s="69">
        <v>0</v>
      </c>
      <c r="L30" s="568">
        <f>H30+I30+J30</f>
        <v>8467.6967999999997</v>
      </c>
      <c r="M30" s="192">
        <v>0</v>
      </c>
      <c r="N30" s="69">
        <v>0</v>
      </c>
      <c r="O30" s="69">
        <v>0</v>
      </c>
      <c r="P30" s="69">
        <v>0</v>
      </c>
      <c r="Q30" s="69">
        <v>0</v>
      </c>
      <c r="R30" s="568">
        <f>M30+N30+O30+P30+Q30</f>
        <v>0</v>
      </c>
      <c r="S30" s="539">
        <v>0</v>
      </c>
      <c r="T30" s="570">
        <v>0</v>
      </c>
      <c r="U30" s="192">
        <v>0</v>
      </c>
      <c r="V30" s="506">
        <f t="shared" si="1"/>
        <v>0</v>
      </c>
      <c r="W30" s="192"/>
      <c r="X30" s="57"/>
      <c r="Y30" s="69"/>
      <c r="Z30" s="55"/>
      <c r="AA30" s="192"/>
      <c r="AB30" s="69"/>
      <c r="AC30" s="56"/>
      <c r="AD30" s="57"/>
      <c r="AE30" s="69"/>
      <c r="AF30" s="56"/>
      <c r="AG30" s="592">
        <f t="shared" si="2"/>
        <v>16935.393599999999</v>
      </c>
      <c r="AH30" s="635"/>
    </row>
    <row r="31" spans="1:34" s="64" customFormat="1" ht="18" hidden="1" customHeight="1" x14ac:dyDescent="0.2">
      <c r="A31" s="514" t="s">
        <v>152</v>
      </c>
      <c r="B31" s="524" t="s">
        <v>149</v>
      </c>
      <c r="C31" s="548"/>
      <c r="D31" s="431"/>
      <c r="E31" s="431"/>
      <c r="F31" s="431"/>
      <c r="G31" s="549"/>
      <c r="H31" s="570"/>
      <c r="I31" s="69"/>
      <c r="J31" s="69"/>
      <c r="K31" s="69"/>
      <c r="L31" s="568"/>
      <c r="M31" s="192">
        <v>0</v>
      </c>
      <c r="N31" s="69">
        <v>0</v>
      </c>
      <c r="O31" s="69">
        <v>0</v>
      </c>
      <c r="P31" s="69">
        <v>0</v>
      </c>
      <c r="Q31" s="69">
        <v>0</v>
      </c>
      <c r="R31" s="568">
        <f>M31+N31+O31+P31</f>
        <v>0</v>
      </c>
      <c r="S31" s="539">
        <v>0</v>
      </c>
      <c r="T31" s="570">
        <v>0</v>
      </c>
      <c r="U31" s="192">
        <v>0</v>
      </c>
      <c r="V31" s="506">
        <f t="shared" si="1"/>
        <v>0</v>
      </c>
      <c r="W31" s="192"/>
      <c r="X31" s="57"/>
      <c r="Y31" s="69"/>
      <c r="Z31" s="55"/>
      <c r="AA31" s="192"/>
      <c r="AB31" s="69"/>
      <c r="AC31" s="56"/>
      <c r="AD31" s="57"/>
      <c r="AE31" s="69"/>
      <c r="AF31" s="56"/>
      <c r="AG31" s="591">
        <f t="shared" si="2"/>
        <v>0</v>
      </c>
      <c r="AH31" s="412"/>
    </row>
    <row r="32" spans="1:34" s="59" customFormat="1" ht="18" customHeight="1" x14ac:dyDescent="0.2">
      <c r="A32" s="516" t="s">
        <v>153</v>
      </c>
      <c r="B32" s="526" t="s">
        <v>154</v>
      </c>
      <c r="C32" s="543">
        <f t="shared" ref="C32:L32" si="10">SUM(C33:C34)</f>
        <v>3600</v>
      </c>
      <c r="D32" s="433">
        <f t="shared" si="10"/>
        <v>0</v>
      </c>
      <c r="E32" s="433">
        <f t="shared" si="10"/>
        <v>0</v>
      </c>
      <c r="F32" s="433">
        <f t="shared" si="10"/>
        <v>0</v>
      </c>
      <c r="G32" s="550">
        <f t="shared" si="10"/>
        <v>3600</v>
      </c>
      <c r="H32" s="571">
        <f t="shared" si="10"/>
        <v>3600</v>
      </c>
      <c r="I32" s="54">
        <f t="shared" si="10"/>
        <v>0</v>
      </c>
      <c r="J32" s="54">
        <f t="shared" si="10"/>
        <v>0</v>
      </c>
      <c r="K32" s="54">
        <f t="shared" si="10"/>
        <v>0</v>
      </c>
      <c r="L32" s="566">
        <f t="shared" si="10"/>
        <v>3600</v>
      </c>
      <c r="M32" s="192">
        <v>0</v>
      </c>
      <c r="N32" s="69">
        <v>0</v>
      </c>
      <c r="O32" s="69">
        <v>0</v>
      </c>
      <c r="P32" s="69">
        <v>0</v>
      </c>
      <c r="Q32" s="69">
        <v>0</v>
      </c>
      <c r="R32" s="568">
        <f>M32+N32+O32+P32+Q32</f>
        <v>0</v>
      </c>
      <c r="S32" s="539">
        <v>0</v>
      </c>
      <c r="T32" s="570">
        <v>0</v>
      </c>
      <c r="U32" s="192">
        <v>0</v>
      </c>
      <c r="V32" s="505">
        <f t="shared" si="1"/>
        <v>0</v>
      </c>
      <c r="W32" s="192"/>
      <c r="X32" s="57"/>
      <c r="Y32" s="69"/>
      <c r="Z32" s="55"/>
      <c r="AA32" s="192"/>
      <c r="AB32" s="69"/>
      <c r="AC32" s="56"/>
      <c r="AD32" s="57"/>
      <c r="AE32" s="69"/>
      <c r="AF32" s="56"/>
      <c r="AG32" s="591">
        <f t="shared" si="2"/>
        <v>7200</v>
      </c>
      <c r="AH32" s="635"/>
    </row>
    <row r="33" spans="1:34" s="59" customFormat="1" ht="18" customHeight="1" x14ac:dyDescent="0.2">
      <c r="A33" s="515">
        <v>51601</v>
      </c>
      <c r="B33" s="525" t="s">
        <v>155</v>
      </c>
      <c r="C33" s="548">
        <f>+'AG1'!C37</f>
        <v>3600</v>
      </c>
      <c r="D33" s="431">
        <v>0</v>
      </c>
      <c r="E33" s="431">
        <v>0</v>
      </c>
      <c r="F33" s="431">
        <v>0</v>
      </c>
      <c r="G33" s="549">
        <f>C33+D33+F33</f>
        <v>3600</v>
      </c>
      <c r="H33" s="570">
        <f>+C33</f>
        <v>3600</v>
      </c>
      <c r="I33" s="69">
        <v>0</v>
      </c>
      <c r="J33" s="69">
        <v>0</v>
      </c>
      <c r="K33" s="69">
        <v>0</v>
      </c>
      <c r="L33" s="568">
        <f>H33+I33+J33</f>
        <v>3600</v>
      </c>
      <c r="M33" s="192">
        <v>0</v>
      </c>
      <c r="N33" s="69">
        <v>0</v>
      </c>
      <c r="O33" s="69">
        <v>0</v>
      </c>
      <c r="P33" s="69">
        <v>0</v>
      </c>
      <c r="Q33" s="69">
        <v>0</v>
      </c>
      <c r="R33" s="568">
        <f t="shared" ref="R33:R39" si="11">M33+N33+O33+P33</f>
        <v>0</v>
      </c>
      <c r="S33" s="539">
        <v>0</v>
      </c>
      <c r="T33" s="570">
        <v>0</v>
      </c>
      <c r="U33" s="192">
        <v>0</v>
      </c>
      <c r="V33" s="506">
        <f t="shared" si="1"/>
        <v>0</v>
      </c>
      <c r="W33" s="53"/>
      <c r="X33" s="57"/>
      <c r="Y33" s="69"/>
      <c r="Z33" s="55"/>
      <c r="AA33" s="192"/>
      <c r="AB33" s="69"/>
      <c r="AC33" s="56"/>
      <c r="AD33" s="57"/>
      <c r="AE33" s="69"/>
      <c r="AF33" s="56"/>
      <c r="AG33" s="592">
        <f t="shared" si="2"/>
        <v>7200</v>
      </c>
      <c r="AH33" s="635"/>
    </row>
    <row r="34" spans="1:34" s="64" customFormat="1" ht="18" hidden="1" customHeight="1" x14ac:dyDescent="0.2">
      <c r="A34" s="515">
        <v>51602</v>
      </c>
      <c r="B34" s="525" t="s">
        <v>156</v>
      </c>
      <c r="C34" s="548"/>
      <c r="D34" s="431"/>
      <c r="E34" s="431"/>
      <c r="F34" s="431"/>
      <c r="G34" s="549"/>
      <c r="H34" s="570"/>
      <c r="I34" s="69"/>
      <c r="J34" s="69"/>
      <c r="K34" s="69"/>
      <c r="L34" s="568"/>
      <c r="M34" s="192">
        <v>0</v>
      </c>
      <c r="N34" s="69">
        <v>0</v>
      </c>
      <c r="O34" s="69">
        <v>0</v>
      </c>
      <c r="P34" s="69">
        <v>0</v>
      </c>
      <c r="Q34" s="69">
        <v>0</v>
      </c>
      <c r="R34" s="568">
        <f t="shared" si="11"/>
        <v>0</v>
      </c>
      <c r="S34" s="539">
        <v>0</v>
      </c>
      <c r="T34" s="570">
        <v>0</v>
      </c>
      <c r="U34" s="192">
        <v>0</v>
      </c>
      <c r="V34" s="506">
        <f t="shared" si="1"/>
        <v>0</v>
      </c>
      <c r="W34" s="192"/>
      <c r="X34" s="57"/>
      <c r="Y34" s="69"/>
      <c r="Z34" s="55"/>
      <c r="AA34" s="192"/>
      <c r="AB34" s="69"/>
      <c r="AC34" s="56"/>
      <c r="AD34" s="57"/>
      <c r="AE34" s="69"/>
      <c r="AF34" s="56"/>
      <c r="AG34" s="591">
        <f t="shared" si="2"/>
        <v>0</v>
      </c>
      <c r="AH34" s="412"/>
    </row>
    <row r="35" spans="1:34" s="64" customFormat="1" ht="18" hidden="1" customHeight="1" x14ac:dyDescent="0.2">
      <c r="A35" s="513">
        <v>517</v>
      </c>
      <c r="B35" s="528" t="s">
        <v>157</v>
      </c>
      <c r="C35" s="543">
        <f t="shared" ref="C35:L35" si="12">SUM(C36:C37)</f>
        <v>0</v>
      </c>
      <c r="D35" s="433">
        <f t="shared" si="12"/>
        <v>0</v>
      </c>
      <c r="E35" s="433">
        <f t="shared" si="12"/>
        <v>0</v>
      </c>
      <c r="F35" s="433">
        <f t="shared" si="12"/>
        <v>0</v>
      </c>
      <c r="G35" s="550">
        <f t="shared" si="12"/>
        <v>0</v>
      </c>
      <c r="H35" s="571">
        <f t="shared" si="12"/>
        <v>0</v>
      </c>
      <c r="I35" s="54">
        <f t="shared" si="12"/>
        <v>0</v>
      </c>
      <c r="J35" s="54">
        <f t="shared" si="12"/>
        <v>0</v>
      </c>
      <c r="K35" s="54">
        <f t="shared" si="12"/>
        <v>0</v>
      </c>
      <c r="L35" s="566">
        <f t="shared" si="12"/>
        <v>0</v>
      </c>
      <c r="M35" s="192">
        <v>0</v>
      </c>
      <c r="N35" s="69">
        <v>0</v>
      </c>
      <c r="O35" s="69">
        <v>0</v>
      </c>
      <c r="P35" s="69">
        <v>0</v>
      </c>
      <c r="Q35" s="69">
        <v>0</v>
      </c>
      <c r="R35" s="568">
        <f t="shared" si="11"/>
        <v>0</v>
      </c>
      <c r="S35" s="539">
        <v>0</v>
      </c>
      <c r="T35" s="570">
        <v>0</v>
      </c>
      <c r="U35" s="192">
        <v>0</v>
      </c>
      <c r="V35" s="506">
        <f t="shared" si="1"/>
        <v>0</v>
      </c>
      <c r="W35" s="192"/>
      <c r="X35" s="57"/>
      <c r="Y35" s="69"/>
      <c r="Z35" s="55"/>
      <c r="AA35" s="192"/>
      <c r="AB35" s="69"/>
      <c r="AC35" s="56"/>
      <c r="AD35" s="57"/>
      <c r="AE35" s="69"/>
      <c r="AF35" s="56"/>
      <c r="AG35" s="591">
        <f t="shared" si="2"/>
        <v>0</v>
      </c>
      <c r="AH35" s="412"/>
    </row>
    <row r="36" spans="1:34" s="59" customFormat="1" ht="18" hidden="1" customHeight="1" x14ac:dyDescent="0.25">
      <c r="A36" s="515">
        <v>51701</v>
      </c>
      <c r="B36" s="525" t="s">
        <v>158</v>
      </c>
      <c r="C36" s="548"/>
      <c r="D36" s="431"/>
      <c r="E36" s="431"/>
      <c r="F36" s="431"/>
      <c r="G36" s="549">
        <f>C36+D36+F36</f>
        <v>0</v>
      </c>
      <c r="H36" s="570"/>
      <c r="I36" s="69"/>
      <c r="J36" s="69"/>
      <c r="K36" s="69"/>
      <c r="L36" s="568">
        <f>H36+I36+J36</f>
        <v>0</v>
      </c>
      <c r="M36" s="53">
        <v>0</v>
      </c>
      <c r="N36" s="54">
        <v>0</v>
      </c>
      <c r="O36" s="54">
        <v>0</v>
      </c>
      <c r="P36" s="54">
        <v>0</v>
      </c>
      <c r="Q36" s="54">
        <v>0</v>
      </c>
      <c r="R36" s="568">
        <f t="shared" si="11"/>
        <v>0</v>
      </c>
      <c r="S36" s="493">
        <v>0</v>
      </c>
      <c r="T36" s="571">
        <v>0</v>
      </c>
      <c r="U36" s="53">
        <v>0</v>
      </c>
      <c r="V36" s="506">
        <f t="shared" si="1"/>
        <v>0</v>
      </c>
      <c r="W36" s="58"/>
      <c r="X36" s="57"/>
      <c r="Y36" s="69"/>
      <c r="Z36" s="55"/>
      <c r="AA36" s="192"/>
      <c r="AB36" s="69"/>
      <c r="AC36" s="56"/>
      <c r="AD36" s="57"/>
      <c r="AE36" s="69"/>
      <c r="AF36" s="56"/>
      <c r="AG36" s="591">
        <f t="shared" si="2"/>
        <v>0</v>
      </c>
      <c r="AH36" s="635"/>
    </row>
    <row r="37" spans="1:34" s="59" customFormat="1" ht="18" hidden="1" customHeight="1" x14ac:dyDescent="0.2">
      <c r="A37" s="515">
        <v>51702</v>
      </c>
      <c r="B37" s="525" t="s">
        <v>159</v>
      </c>
      <c r="C37" s="548"/>
      <c r="D37" s="431"/>
      <c r="E37" s="431"/>
      <c r="F37" s="431"/>
      <c r="G37" s="549"/>
      <c r="H37" s="570"/>
      <c r="I37" s="69"/>
      <c r="J37" s="69"/>
      <c r="K37" s="69"/>
      <c r="L37" s="568"/>
      <c r="M37" s="53">
        <v>0</v>
      </c>
      <c r="N37" s="54">
        <v>0</v>
      </c>
      <c r="O37" s="54">
        <v>0</v>
      </c>
      <c r="P37" s="54">
        <v>0</v>
      </c>
      <c r="Q37" s="54">
        <v>0</v>
      </c>
      <c r="R37" s="568">
        <f t="shared" si="11"/>
        <v>0</v>
      </c>
      <c r="S37" s="493">
        <v>0</v>
      </c>
      <c r="T37" s="571">
        <v>0</v>
      </c>
      <c r="U37" s="53">
        <v>0</v>
      </c>
      <c r="V37" s="506">
        <f t="shared" si="1"/>
        <v>0</v>
      </c>
      <c r="W37" s="53"/>
      <c r="X37" s="57"/>
      <c r="Y37" s="69"/>
      <c r="Z37" s="55"/>
      <c r="AA37" s="192"/>
      <c r="AB37" s="69"/>
      <c r="AC37" s="56"/>
      <c r="AD37" s="57"/>
      <c r="AE37" s="69"/>
      <c r="AF37" s="56"/>
      <c r="AG37" s="591">
        <f t="shared" si="2"/>
        <v>0</v>
      </c>
      <c r="AH37" s="635"/>
    </row>
    <row r="38" spans="1:34" s="64" customFormat="1" ht="18" hidden="1" customHeight="1" x14ac:dyDescent="0.2">
      <c r="A38" s="513">
        <v>518</v>
      </c>
      <c r="B38" s="528" t="s">
        <v>160</v>
      </c>
      <c r="C38" s="543">
        <f>SUM(C39)</f>
        <v>0</v>
      </c>
      <c r="D38" s="433">
        <f>SUM(D39)</f>
        <v>0</v>
      </c>
      <c r="E38" s="433">
        <f>SUM(E39)</f>
        <v>0</v>
      </c>
      <c r="F38" s="433">
        <f>SUM(F39)</f>
        <v>0</v>
      </c>
      <c r="G38" s="550">
        <f>SUM(G39)</f>
        <v>0</v>
      </c>
      <c r="H38" s="571">
        <f>SUM(H39:H39)</f>
        <v>0</v>
      </c>
      <c r="I38" s="54">
        <f>SUM(I39:I40)</f>
        <v>0</v>
      </c>
      <c r="J38" s="54">
        <f>SUM(J39:J40)</f>
        <v>0</v>
      </c>
      <c r="K38" s="54">
        <f>SUM(K39:K40)</f>
        <v>0</v>
      </c>
      <c r="L38" s="566">
        <f>SUM(L39:L39)</f>
        <v>0</v>
      </c>
      <c r="M38" s="192">
        <v>0</v>
      </c>
      <c r="N38" s="69">
        <v>0</v>
      </c>
      <c r="O38" s="69">
        <v>0</v>
      </c>
      <c r="P38" s="69">
        <v>0</v>
      </c>
      <c r="Q38" s="69">
        <v>0</v>
      </c>
      <c r="R38" s="568">
        <f t="shared" si="11"/>
        <v>0</v>
      </c>
      <c r="S38" s="539">
        <v>0</v>
      </c>
      <c r="T38" s="570">
        <v>0</v>
      </c>
      <c r="U38" s="192">
        <v>0</v>
      </c>
      <c r="V38" s="506">
        <f t="shared" si="1"/>
        <v>0</v>
      </c>
      <c r="W38" s="192"/>
      <c r="X38" s="57"/>
      <c r="Y38" s="69"/>
      <c r="Z38" s="55"/>
      <c r="AA38" s="192"/>
      <c r="AB38" s="69"/>
      <c r="AC38" s="56"/>
      <c r="AD38" s="57"/>
      <c r="AE38" s="69"/>
      <c r="AF38" s="56"/>
      <c r="AG38" s="591">
        <f t="shared" si="2"/>
        <v>0</v>
      </c>
      <c r="AH38" s="412"/>
    </row>
    <row r="39" spans="1:34" s="64" customFormat="1" ht="18" hidden="1" customHeight="1" x14ac:dyDescent="0.2">
      <c r="A39" s="515">
        <v>51803</v>
      </c>
      <c r="B39" s="525" t="s">
        <v>161</v>
      </c>
      <c r="C39" s="548"/>
      <c r="D39" s="431"/>
      <c r="E39" s="431"/>
      <c r="F39" s="431"/>
      <c r="G39" s="549"/>
      <c r="H39" s="570"/>
      <c r="I39" s="69"/>
      <c r="J39" s="69"/>
      <c r="K39" s="69"/>
      <c r="L39" s="568"/>
      <c r="M39" s="192">
        <v>0</v>
      </c>
      <c r="N39" s="69">
        <v>0</v>
      </c>
      <c r="O39" s="69">
        <v>0</v>
      </c>
      <c r="P39" s="69">
        <v>0</v>
      </c>
      <c r="Q39" s="69">
        <v>0</v>
      </c>
      <c r="R39" s="568">
        <f t="shared" si="11"/>
        <v>0</v>
      </c>
      <c r="S39" s="539">
        <v>0</v>
      </c>
      <c r="T39" s="570">
        <v>0</v>
      </c>
      <c r="U39" s="192">
        <v>0</v>
      </c>
      <c r="V39" s="506">
        <f t="shared" si="1"/>
        <v>0</v>
      </c>
      <c r="W39" s="192"/>
      <c r="X39" s="57"/>
      <c r="Y39" s="69"/>
      <c r="Z39" s="55"/>
      <c r="AA39" s="192"/>
      <c r="AB39" s="69"/>
      <c r="AC39" s="56"/>
      <c r="AD39" s="57"/>
      <c r="AE39" s="69"/>
      <c r="AF39" s="56"/>
      <c r="AG39" s="591">
        <f t="shared" si="2"/>
        <v>0</v>
      </c>
      <c r="AH39" s="412"/>
    </row>
    <row r="40" spans="1:34" s="59" customFormat="1" ht="18" customHeight="1" x14ac:dyDescent="0.2">
      <c r="A40" s="513">
        <v>519</v>
      </c>
      <c r="B40" s="528" t="s">
        <v>162</v>
      </c>
      <c r="C40" s="543">
        <f t="shared" ref="C40:L40" si="13">SUM(C41:C42)</f>
        <v>4746</v>
      </c>
      <c r="D40" s="433">
        <f t="shared" si="13"/>
        <v>0</v>
      </c>
      <c r="E40" s="433">
        <f t="shared" si="13"/>
        <v>0</v>
      </c>
      <c r="F40" s="433">
        <f t="shared" si="13"/>
        <v>0</v>
      </c>
      <c r="G40" s="550">
        <f t="shared" si="13"/>
        <v>4746</v>
      </c>
      <c r="H40" s="571">
        <f t="shared" si="13"/>
        <v>4746</v>
      </c>
      <c r="I40" s="54">
        <f t="shared" si="13"/>
        <v>0</v>
      </c>
      <c r="J40" s="54">
        <f t="shared" si="13"/>
        <v>0</v>
      </c>
      <c r="K40" s="54">
        <f t="shared" si="13"/>
        <v>0</v>
      </c>
      <c r="L40" s="566">
        <f t="shared" si="13"/>
        <v>4746</v>
      </c>
      <c r="M40" s="53">
        <v>0</v>
      </c>
      <c r="N40" s="54">
        <v>0</v>
      </c>
      <c r="O40" s="54">
        <v>0</v>
      </c>
      <c r="P40" s="54">
        <v>0</v>
      </c>
      <c r="Q40" s="54">
        <v>0</v>
      </c>
      <c r="R40" s="568">
        <f>M40+N40+O40+P40+Q40</f>
        <v>0</v>
      </c>
      <c r="S40" s="493">
        <v>0</v>
      </c>
      <c r="T40" s="571">
        <v>0</v>
      </c>
      <c r="U40" s="53">
        <v>0</v>
      </c>
      <c r="V40" s="506">
        <f t="shared" si="1"/>
        <v>0</v>
      </c>
      <c r="W40" s="53"/>
      <c r="X40" s="57"/>
      <c r="Y40" s="69"/>
      <c r="Z40" s="55"/>
      <c r="AA40" s="192"/>
      <c r="AB40" s="69"/>
      <c r="AC40" s="56"/>
      <c r="AD40" s="57"/>
      <c r="AE40" s="69"/>
      <c r="AF40" s="56"/>
      <c r="AG40" s="591">
        <f t="shared" si="2"/>
        <v>9492</v>
      </c>
      <c r="AH40" s="635"/>
    </row>
    <row r="41" spans="1:34" s="59" customFormat="1" ht="18" customHeight="1" x14ac:dyDescent="0.2">
      <c r="A41" s="515">
        <v>51901</v>
      </c>
      <c r="B41" s="525" t="s">
        <v>163</v>
      </c>
      <c r="C41" s="548">
        <f>'AG1'!D45</f>
        <v>4746</v>
      </c>
      <c r="D41" s="431"/>
      <c r="E41" s="431">
        <v>0</v>
      </c>
      <c r="F41" s="431">
        <f>+'PLLA MUNICIPAL HONORARIOS'!I8/2</f>
        <v>0</v>
      </c>
      <c r="G41" s="549">
        <f>C41+D41+E41+F41</f>
        <v>4746</v>
      </c>
      <c r="H41" s="570">
        <f>C41</f>
        <v>4746</v>
      </c>
      <c r="I41" s="69">
        <v>0</v>
      </c>
      <c r="J41" s="69">
        <f>+E41</f>
        <v>0</v>
      </c>
      <c r="K41" s="69">
        <f>+F41</f>
        <v>0</v>
      </c>
      <c r="L41" s="568">
        <f>H41+I41+J41+K41</f>
        <v>4746</v>
      </c>
      <c r="M41" s="53">
        <v>0</v>
      </c>
      <c r="N41" s="54">
        <v>0</v>
      </c>
      <c r="O41" s="54">
        <v>0</v>
      </c>
      <c r="P41" s="54">
        <v>0</v>
      </c>
      <c r="Q41" s="54">
        <v>0</v>
      </c>
      <c r="R41" s="568">
        <f>M41+N41+O41+P41+Q41</f>
        <v>0</v>
      </c>
      <c r="S41" s="539">
        <v>0</v>
      </c>
      <c r="T41" s="570">
        <v>0</v>
      </c>
      <c r="U41" s="192">
        <v>0</v>
      </c>
      <c r="V41" s="506">
        <f t="shared" si="1"/>
        <v>0</v>
      </c>
      <c r="W41" s="53"/>
      <c r="X41" s="57"/>
      <c r="Y41" s="69"/>
      <c r="Z41" s="55"/>
      <c r="AA41" s="192"/>
      <c r="AB41" s="69"/>
      <c r="AC41" s="56"/>
      <c r="AD41" s="57"/>
      <c r="AE41" s="69"/>
      <c r="AF41" s="56"/>
      <c r="AG41" s="592">
        <f t="shared" si="2"/>
        <v>9492</v>
      </c>
      <c r="AH41" s="635"/>
    </row>
    <row r="42" spans="1:34" s="64" customFormat="1" ht="18" hidden="1" customHeight="1" x14ac:dyDescent="0.2">
      <c r="A42" s="515">
        <v>51999</v>
      </c>
      <c r="B42" s="525" t="s">
        <v>162</v>
      </c>
      <c r="C42" s="548"/>
      <c r="D42" s="431"/>
      <c r="E42" s="431"/>
      <c r="F42" s="431"/>
      <c r="G42" s="549"/>
      <c r="H42" s="570"/>
      <c r="I42" s="69"/>
      <c r="J42" s="69"/>
      <c r="K42" s="69"/>
      <c r="L42" s="568"/>
      <c r="M42" s="192">
        <v>0</v>
      </c>
      <c r="N42" s="69">
        <v>0</v>
      </c>
      <c r="O42" s="69">
        <v>0</v>
      </c>
      <c r="P42" s="69">
        <v>0</v>
      </c>
      <c r="Q42" s="69">
        <v>0</v>
      </c>
      <c r="R42" s="568">
        <f>M42+N42+O42+P42</f>
        <v>0</v>
      </c>
      <c r="S42" s="539"/>
      <c r="T42" s="570"/>
      <c r="U42" s="192"/>
      <c r="V42" s="506">
        <f t="shared" si="1"/>
        <v>0</v>
      </c>
      <c r="W42" s="192"/>
      <c r="X42" s="57"/>
      <c r="Y42" s="69"/>
      <c r="Z42" s="55"/>
      <c r="AA42" s="192"/>
      <c r="AB42" s="69"/>
      <c r="AC42" s="56"/>
      <c r="AD42" s="57"/>
      <c r="AE42" s="69"/>
      <c r="AF42" s="56"/>
      <c r="AG42" s="591">
        <f t="shared" si="2"/>
        <v>0</v>
      </c>
      <c r="AH42" s="412"/>
    </row>
    <row r="43" spans="1:34" s="59" customFormat="1" ht="18" hidden="1" customHeight="1" x14ac:dyDescent="0.2">
      <c r="A43" s="515"/>
      <c r="B43" s="529"/>
      <c r="C43" s="548"/>
      <c r="D43" s="431"/>
      <c r="E43" s="431"/>
      <c r="F43" s="431"/>
      <c r="G43" s="550"/>
      <c r="H43" s="570"/>
      <c r="I43" s="69"/>
      <c r="J43" s="69"/>
      <c r="K43" s="69"/>
      <c r="L43" s="566"/>
      <c r="M43" s="53">
        <v>0</v>
      </c>
      <c r="N43" s="54">
        <v>0</v>
      </c>
      <c r="O43" s="54">
        <v>0</v>
      </c>
      <c r="P43" s="54">
        <v>0</v>
      </c>
      <c r="Q43" s="54">
        <v>0</v>
      </c>
      <c r="R43" s="568">
        <f>M43+N43+O43+P43</f>
        <v>0</v>
      </c>
      <c r="S43" s="493"/>
      <c r="T43" s="571"/>
      <c r="U43" s="53"/>
      <c r="V43" s="506">
        <f t="shared" si="1"/>
        <v>0</v>
      </c>
      <c r="W43" s="53"/>
      <c r="X43" s="57"/>
      <c r="Y43" s="69"/>
      <c r="Z43" s="55"/>
      <c r="AA43" s="192"/>
      <c r="AB43" s="69"/>
      <c r="AC43" s="56"/>
      <c r="AD43" s="57"/>
      <c r="AE43" s="69"/>
      <c r="AF43" s="56"/>
      <c r="AG43" s="591">
        <f t="shared" si="2"/>
        <v>0</v>
      </c>
      <c r="AH43" s="635"/>
    </row>
    <row r="44" spans="1:34" s="64" customFormat="1" ht="18" customHeight="1" x14ac:dyDescent="0.2">
      <c r="A44" s="513">
        <v>54</v>
      </c>
      <c r="B44" s="530" t="s">
        <v>29</v>
      </c>
      <c r="C44" s="543">
        <f t="shared" ref="C44:K44" si="14">C45+C65+C71+C87+C92</f>
        <v>23700</v>
      </c>
      <c r="D44" s="433">
        <f t="shared" si="14"/>
        <v>3050</v>
      </c>
      <c r="E44" s="433">
        <f t="shared" si="14"/>
        <v>1300</v>
      </c>
      <c r="F44" s="433">
        <f t="shared" si="14"/>
        <v>33631.82</v>
      </c>
      <c r="G44" s="550">
        <f>G45+G65+G71+G87+G92</f>
        <v>61681.82</v>
      </c>
      <c r="H44" s="571">
        <f t="shared" si="14"/>
        <v>20020</v>
      </c>
      <c r="I44" s="54">
        <f t="shared" si="14"/>
        <v>1730</v>
      </c>
      <c r="J44" s="54">
        <f t="shared" si="14"/>
        <v>860</v>
      </c>
      <c r="K44" s="54">
        <f t="shared" si="14"/>
        <v>111131.84999999999</v>
      </c>
      <c r="L44" s="566">
        <f>SUM(H44:K44)</f>
        <v>133741.84999999998</v>
      </c>
      <c r="M44" s="192">
        <v>0</v>
      </c>
      <c r="N44" s="54">
        <v>0</v>
      </c>
      <c r="O44" s="69">
        <v>0</v>
      </c>
      <c r="P44" s="69">
        <v>0</v>
      </c>
      <c r="Q44" s="69">
        <v>0</v>
      </c>
      <c r="R44" s="566">
        <f>M44+N44+O44+P44+Q44</f>
        <v>0</v>
      </c>
      <c r="S44" s="493">
        <f>+S92</f>
        <v>14973.19</v>
      </c>
      <c r="T44" s="570">
        <v>0</v>
      </c>
      <c r="U44" s="192">
        <v>0</v>
      </c>
      <c r="V44" s="505">
        <f t="shared" si="1"/>
        <v>0</v>
      </c>
      <c r="W44" s="192"/>
      <c r="X44" s="57"/>
      <c r="Y44" s="69"/>
      <c r="Z44" s="55"/>
      <c r="AA44" s="192"/>
      <c r="AB44" s="69"/>
      <c r="AC44" s="56"/>
      <c r="AD44" s="57"/>
      <c r="AE44" s="69"/>
      <c r="AF44" s="56"/>
      <c r="AG44" s="591">
        <f t="shared" si="2"/>
        <v>210396.86</v>
      </c>
      <c r="AH44" s="412"/>
    </row>
    <row r="45" spans="1:34" s="59" customFormat="1" ht="18" customHeight="1" x14ac:dyDescent="0.2">
      <c r="A45" s="513">
        <v>541</v>
      </c>
      <c r="B45" s="530" t="s">
        <v>30</v>
      </c>
      <c r="C45" s="543">
        <f t="shared" ref="C45:J45" si="15">SUM(C46:C64)</f>
        <v>6100</v>
      </c>
      <c r="D45" s="433">
        <f t="shared" si="15"/>
        <v>2450</v>
      </c>
      <c r="E45" s="433">
        <f t="shared" si="15"/>
        <v>1200</v>
      </c>
      <c r="F45" s="433">
        <f t="shared" si="15"/>
        <v>8090</v>
      </c>
      <c r="G45" s="550">
        <f>SUM(G46:G64)</f>
        <v>17840</v>
      </c>
      <c r="H45" s="571">
        <f t="shared" si="15"/>
        <v>4750</v>
      </c>
      <c r="I45" s="54">
        <f t="shared" si="15"/>
        <v>1600</v>
      </c>
      <c r="J45" s="54">
        <f t="shared" si="15"/>
        <v>650</v>
      </c>
      <c r="K45" s="54">
        <f>SUM(K46:K64)</f>
        <v>8340</v>
      </c>
      <c r="L45" s="566">
        <f>SUM(H45:K45)</f>
        <v>15340</v>
      </c>
      <c r="M45" s="53">
        <v>0</v>
      </c>
      <c r="N45" s="54">
        <v>0</v>
      </c>
      <c r="O45" s="54">
        <v>0</v>
      </c>
      <c r="P45" s="54">
        <v>0</v>
      </c>
      <c r="Q45" s="54">
        <v>0</v>
      </c>
      <c r="R45" s="566">
        <f>M45+N45+O45+P45</f>
        <v>0</v>
      </c>
      <c r="S45" s="493">
        <v>0</v>
      </c>
      <c r="T45" s="571">
        <v>0</v>
      </c>
      <c r="U45" s="53">
        <v>0</v>
      </c>
      <c r="V45" s="505">
        <f t="shared" si="1"/>
        <v>0</v>
      </c>
      <c r="W45" s="53"/>
      <c r="X45" s="57"/>
      <c r="Y45" s="69"/>
      <c r="Z45" s="55"/>
      <c r="AA45" s="192"/>
      <c r="AB45" s="69"/>
      <c r="AC45" s="56"/>
      <c r="AD45" s="57"/>
      <c r="AE45" s="69"/>
      <c r="AF45" s="56"/>
      <c r="AG45" s="591">
        <f t="shared" si="2"/>
        <v>33180</v>
      </c>
      <c r="AH45" s="635"/>
    </row>
    <row r="46" spans="1:34" s="64" customFormat="1" ht="18" customHeight="1" x14ac:dyDescent="0.2">
      <c r="A46" s="515">
        <v>54101</v>
      </c>
      <c r="B46" s="529" t="s">
        <v>31</v>
      </c>
      <c r="C46" s="548">
        <f>'egresos 25% y F.P'!C116</f>
        <v>500</v>
      </c>
      <c r="D46" s="431">
        <v>0</v>
      </c>
      <c r="E46" s="431">
        <v>0</v>
      </c>
      <c r="F46" s="431">
        <v>0</v>
      </c>
      <c r="G46" s="549">
        <f>SUM(C46:F46)</f>
        <v>500</v>
      </c>
      <c r="H46" s="570">
        <f>'egresos 25% y F.P'!C12</f>
        <v>400</v>
      </c>
      <c r="I46" s="69">
        <f>'egresos 25% y F.P'!D12</f>
        <v>0</v>
      </c>
      <c r="J46" s="69">
        <f>'egresos 25% y F.P'!E12</f>
        <v>0</v>
      </c>
      <c r="K46" s="69">
        <f>'egresos 25% y F.P'!F12</f>
        <v>0</v>
      </c>
      <c r="L46" s="568">
        <f>SUM(H46:K46)</f>
        <v>400</v>
      </c>
      <c r="M46" s="192">
        <v>0</v>
      </c>
      <c r="N46" s="69">
        <v>0</v>
      </c>
      <c r="O46" s="69">
        <v>0</v>
      </c>
      <c r="P46" s="69">
        <v>0</v>
      </c>
      <c r="Q46" s="69">
        <v>0</v>
      </c>
      <c r="R46" s="568">
        <f>M46+N46+O46+P46+Q46</f>
        <v>0</v>
      </c>
      <c r="S46" s="539">
        <v>0</v>
      </c>
      <c r="T46" s="570">
        <v>0</v>
      </c>
      <c r="U46" s="192">
        <v>0</v>
      </c>
      <c r="V46" s="506">
        <f t="shared" si="1"/>
        <v>0</v>
      </c>
      <c r="W46" s="192"/>
      <c r="X46" s="57"/>
      <c r="Y46" s="69"/>
      <c r="Z46" s="55"/>
      <c r="AA46" s="192"/>
      <c r="AB46" s="69"/>
      <c r="AC46" s="56"/>
      <c r="AD46" s="57"/>
      <c r="AE46" s="69"/>
      <c r="AF46" s="56"/>
      <c r="AG46" s="592">
        <f t="shared" si="2"/>
        <v>900</v>
      </c>
      <c r="AH46" s="412"/>
    </row>
    <row r="47" spans="1:34" s="64" customFormat="1" ht="18" hidden="1" customHeight="1" x14ac:dyDescent="0.2">
      <c r="A47" s="515">
        <v>54103</v>
      </c>
      <c r="B47" s="529" t="s">
        <v>32</v>
      </c>
      <c r="C47" s="548"/>
      <c r="D47" s="431"/>
      <c r="E47" s="431"/>
      <c r="F47" s="431"/>
      <c r="G47" s="549">
        <f t="shared" ref="G47:G64" si="16">SUM(C47:F47)</f>
        <v>0</v>
      </c>
      <c r="H47" s="570"/>
      <c r="I47" s="69">
        <f>'egresos 25% y F.P'!D13</f>
        <v>0</v>
      </c>
      <c r="J47" s="69">
        <f>'egresos 25% y F.P'!E13</f>
        <v>0</v>
      </c>
      <c r="K47" s="69">
        <f>'egresos 25% y F.P'!F13</f>
        <v>0</v>
      </c>
      <c r="L47" s="568">
        <f>SUM(H47:J47)</f>
        <v>0</v>
      </c>
      <c r="M47" s="192">
        <v>0</v>
      </c>
      <c r="N47" s="69">
        <v>0</v>
      </c>
      <c r="O47" s="69">
        <v>0</v>
      </c>
      <c r="P47" s="69">
        <v>0</v>
      </c>
      <c r="Q47" s="69">
        <v>0</v>
      </c>
      <c r="R47" s="568">
        <f t="shared" ref="R47:R70" si="17">M47+N47+O47+P47+Q47</f>
        <v>0</v>
      </c>
      <c r="S47" s="539">
        <v>0</v>
      </c>
      <c r="T47" s="570">
        <v>0</v>
      </c>
      <c r="U47" s="192">
        <v>0</v>
      </c>
      <c r="V47" s="506">
        <f t="shared" si="1"/>
        <v>0</v>
      </c>
      <c r="W47" s="192"/>
      <c r="X47" s="57"/>
      <c r="Y47" s="69"/>
      <c r="Z47" s="55"/>
      <c r="AA47" s="192"/>
      <c r="AB47" s="69"/>
      <c r="AC47" s="56"/>
      <c r="AD47" s="57"/>
      <c r="AE47" s="69"/>
      <c r="AF47" s="56"/>
      <c r="AG47" s="592">
        <f t="shared" si="2"/>
        <v>0</v>
      </c>
      <c r="AH47" s="412"/>
    </row>
    <row r="48" spans="1:34" s="64" customFormat="1" ht="18" customHeight="1" x14ac:dyDescent="0.2">
      <c r="A48" s="515">
        <v>54104</v>
      </c>
      <c r="B48" s="529" t="s">
        <v>33</v>
      </c>
      <c r="C48" s="548">
        <f>'egresos 25% y F.P'!C118</f>
        <v>350</v>
      </c>
      <c r="D48" s="432">
        <f>'egresos 25% y F.P'!D118</f>
        <v>900</v>
      </c>
      <c r="E48" s="432">
        <f>'egresos 25% y F.P'!E118</f>
        <v>400</v>
      </c>
      <c r="F48" s="432">
        <f>'egresos 25% y F.P'!F118</f>
        <v>0</v>
      </c>
      <c r="G48" s="549">
        <f t="shared" si="16"/>
        <v>1650</v>
      </c>
      <c r="H48" s="570">
        <f>'egresos 25% y F.P'!C14</f>
        <v>0</v>
      </c>
      <c r="I48" s="69">
        <f>'egresos 25% y F.P'!D14</f>
        <v>0</v>
      </c>
      <c r="J48" s="69">
        <f>'egresos 25% y F.P'!E14</f>
        <v>0</v>
      </c>
      <c r="K48" s="69">
        <f>'egresos 25% y F.P'!F14</f>
        <v>0</v>
      </c>
      <c r="L48" s="568">
        <f>SUM(H48:K48)</f>
        <v>0</v>
      </c>
      <c r="M48" s="192">
        <v>0</v>
      </c>
      <c r="N48" s="69">
        <v>0</v>
      </c>
      <c r="O48" s="69">
        <v>0</v>
      </c>
      <c r="P48" s="69">
        <v>0</v>
      </c>
      <c r="Q48" s="69">
        <v>0</v>
      </c>
      <c r="R48" s="568">
        <f t="shared" si="17"/>
        <v>0</v>
      </c>
      <c r="S48" s="539">
        <v>0</v>
      </c>
      <c r="T48" s="570">
        <v>0</v>
      </c>
      <c r="U48" s="192">
        <v>0</v>
      </c>
      <c r="V48" s="506">
        <f t="shared" si="1"/>
        <v>0</v>
      </c>
      <c r="W48" s="192"/>
      <c r="X48" s="57"/>
      <c r="Y48" s="69"/>
      <c r="Z48" s="55"/>
      <c r="AA48" s="192"/>
      <c r="AB48" s="69"/>
      <c r="AC48" s="56"/>
      <c r="AD48" s="57"/>
      <c r="AE48" s="69"/>
      <c r="AF48" s="56"/>
      <c r="AG48" s="592">
        <f t="shared" si="2"/>
        <v>1650</v>
      </c>
      <c r="AH48" s="412"/>
    </row>
    <row r="49" spans="1:34" s="64" customFormat="1" ht="18" customHeight="1" x14ac:dyDescent="0.2">
      <c r="A49" s="515">
        <v>54105</v>
      </c>
      <c r="B49" s="529" t="s">
        <v>34</v>
      </c>
      <c r="C49" s="548">
        <f>+'egresos 25% y F.P'!C119</f>
        <v>300</v>
      </c>
      <c r="D49" s="431">
        <f>+'egresos 25% y F.P'!D119</f>
        <v>400</v>
      </c>
      <c r="E49" s="431">
        <f>+'egresos 25% y F.P'!E119</f>
        <v>200</v>
      </c>
      <c r="F49" s="431">
        <f>+'egresos 25% y F.P'!F119</f>
        <v>100</v>
      </c>
      <c r="G49" s="549">
        <f t="shared" si="16"/>
        <v>1000</v>
      </c>
      <c r="H49" s="570">
        <f>'egresos 25% y F.P'!C15</f>
        <v>200</v>
      </c>
      <c r="I49" s="69">
        <f>'egresos 25% y F.P'!D15</f>
        <v>300</v>
      </c>
      <c r="J49" s="69">
        <f>'egresos 25% y F.P'!E15</f>
        <v>150</v>
      </c>
      <c r="K49" s="69">
        <f>'egresos 25% y F.P'!F15</f>
        <v>50</v>
      </c>
      <c r="L49" s="568">
        <f>SUM(H49:K49)</f>
        <v>700</v>
      </c>
      <c r="M49" s="192">
        <v>0</v>
      </c>
      <c r="N49" s="69">
        <v>0</v>
      </c>
      <c r="O49" s="69">
        <v>0</v>
      </c>
      <c r="P49" s="69">
        <v>0</v>
      </c>
      <c r="Q49" s="69">
        <v>0</v>
      </c>
      <c r="R49" s="568">
        <f t="shared" si="17"/>
        <v>0</v>
      </c>
      <c r="S49" s="539">
        <v>0</v>
      </c>
      <c r="T49" s="570">
        <v>0</v>
      </c>
      <c r="U49" s="192">
        <v>0</v>
      </c>
      <c r="V49" s="506">
        <f t="shared" si="1"/>
        <v>0</v>
      </c>
      <c r="W49" s="192"/>
      <c r="X49" s="57"/>
      <c r="Y49" s="69"/>
      <c r="Z49" s="55"/>
      <c r="AA49" s="192"/>
      <c r="AB49" s="69"/>
      <c r="AC49" s="56"/>
      <c r="AD49" s="57"/>
      <c r="AE49" s="69"/>
      <c r="AF49" s="56"/>
      <c r="AG49" s="592">
        <f t="shared" si="2"/>
        <v>1700</v>
      </c>
      <c r="AH49" s="412"/>
    </row>
    <row r="50" spans="1:34" s="59" customFormat="1" ht="18" hidden="1" customHeight="1" x14ac:dyDescent="0.2">
      <c r="A50" s="515">
        <v>54106</v>
      </c>
      <c r="B50" s="529" t="s">
        <v>35</v>
      </c>
      <c r="C50" s="548"/>
      <c r="D50" s="431"/>
      <c r="E50" s="431"/>
      <c r="F50" s="431"/>
      <c r="G50" s="549">
        <f t="shared" si="16"/>
        <v>0</v>
      </c>
      <c r="H50" s="570">
        <f>'egresos 25% y F.P'!C16</f>
        <v>0</v>
      </c>
      <c r="I50" s="69">
        <f>'egresos 25% y F.P'!D16</f>
        <v>0</v>
      </c>
      <c r="J50" s="69">
        <f>'egresos 25% y F.P'!E16</f>
        <v>0</v>
      </c>
      <c r="K50" s="69">
        <f>'egresos 25% y F.P'!F16</f>
        <v>0</v>
      </c>
      <c r="L50" s="568">
        <f>SUM(H50:J50)</f>
        <v>0</v>
      </c>
      <c r="M50" s="53">
        <v>0</v>
      </c>
      <c r="N50" s="54">
        <v>0</v>
      </c>
      <c r="O50" s="54">
        <v>0</v>
      </c>
      <c r="P50" s="54">
        <v>0</v>
      </c>
      <c r="Q50" s="54">
        <v>0</v>
      </c>
      <c r="R50" s="568">
        <f t="shared" si="17"/>
        <v>0</v>
      </c>
      <c r="S50" s="493">
        <v>0</v>
      </c>
      <c r="T50" s="571">
        <v>0</v>
      </c>
      <c r="U50" s="53">
        <v>0</v>
      </c>
      <c r="V50" s="506">
        <f t="shared" si="1"/>
        <v>0</v>
      </c>
      <c r="W50" s="53"/>
      <c r="X50" s="57"/>
      <c r="Y50" s="69"/>
      <c r="Z50" s="55"/>
      <c r="AA50" s="192"/>
      <c r="AB50" s="69"/>
      <c r="AC50" s="56"/>
      <c r="AD50" s="57"/>
      <c r="AE50" s="69"/>
      <c r="AF50" s="56"/>
      <c r="AG50" s="592">
        <f t="shared" si="2"/>
        <v>0</v>
      </c>
      <c r="AH50" s="635"/>
    </row>
    <row r="51" spans="1:34" s="59" customFormat="1" ht="18" customHeight="1" x14ac:dyDescent="0.2">
      <c r="A51" s="515">
        <v>54107</v>
      </c>
      <c r="B51" s="529" t="s">
        <v>36</v>
      </c>
      <c r="C51" s="548">
        <v>0</v>
      </c>
      <c r="D51" s="431">
        <v>0</v>
      </c>
      <c r="E51" s="431">
        <v>0</v>
      </c>
      <c r="F51" s="431">
        <f>'egresos 25% y F.P'!F121</f>
        <v>1890</v>
      </c>
      <c r="G51" s="549">
        <f t="shared" si="16"/>
        <v>1890</v>
      </c>
      <c r="H51" s="570">
        <f>'egresos 25% y F.P'!C17</f>
        <v>0</v>
      </c>
      <c r="I51" s="69">
        <f>'egresos 25% y F.P'!D17</f>
        <v>0</v>
      </c>
      <c r="J51" s="69">
        <f>'egresos 25% y F.P'!E17</f>
        <v>0</v>
      </c>
      <c r="K51" s="69">
        <f>'egresos 25% y F.P'!F17</f>
        <v>1890</v>
      </c>
      <c r="L51" s="568">
        <f>SUM(H51:K51)</f>
        <v>1890</v>
      </c>
      <c r="M51" s="192">
        <v>0</v>
      </c>
      <c r="N51" s="69">
        <v>0</v>
      </c>
      <c r="O51" s="69">
        <v>0</v>
      </c>
      <c r="P51" s="69">
        <v>0</v>
      </c>
      <c r="Q51" s="69">
        <v>0</v>
      </c>
      <c r="R51" s="568">
        <f t="shared" si="17"/>
        <v>0</v>
      </c>
      <c r="S51" s="539">
        <v>0</v>
      </c>
      <c r="T51" s="570">
        <v>0</v>
      </c>
      <c r="U51" s="192">
        <v>0</v>
      </c>
      <c r="V51" s="506">
        <f t="shared" si="1"/>
        <v>0</v>
      </c>
      <c r="W51" s="53"/>
      <c r="X51" s="57"/>
      <c r="Y51" s="69"/>
      <c r="Z51" s="55"/>
      <c r="AA51" s="192"/>
      <c r="AB51" s="69"/>
      <c r="AC51" s="56"/>
      <c r="AD51" s="57"/>
      <c r="AE51" s="69"/>
      <c r="AF51" s="56"/>
      <c r="AG51" s="592">
        <f t="shared" si="2"/>
        <v>3780</v>
      </c>
      <c r="AH51" s="635"/>
    </row>
    <row r="52" spans="1:34" s="64" customFormat="1" ht="18" customHeight="1" x14ac:dyDescent="0.2">
      <c r="A52" s="515">
        <v>54108</v>
      </c>
      <c r="B52" s="529" t="s">
        <v>37</v>
      </c>
      <c r="C52" s="548">
        <v>0</v>
      </c>
      <c r="D52" s="431">
        <v>0</v>
      </c>
      <c r="E52" s="431">
        <v>0</v>
      </c>
      <c r="F52" s="431">
        <v>0</v>
      </c>
      <c r="G52" s="549">
        <f t="shared" si="16"/>
        <v>0</v>
      </c>
      <c r="H52" s="570">
        <f>'egresos 25% y F.P'!C18</f>
        <v>0</v>
      </c>
      <c r="I52" s="69">
        <f>'egresos 25% y F.P'!D18</f>
        <v>0</v>
      </c>
      <c r="J52" s="69">
        <f>'egresos 25% y F.P'!E18</f>
        <v>0</v>
      </c>
      <c r="K52" s="69">
        <f>'egresos 25% y F.P'!F18</f>
        <v>0</v>
      </c>
      <c r="L52" s="568">
        <f>SUM(H52:J52)</f>
        <v>0</v>
      </c>
      <c r="M52" s="192">
        <v>0</v>
      </c>
      <c r="N52" s="69">
        <v>0</v>
      </c>
      <c r="O52" s="69">
        <v>0</v>
      </c>
      <c r="P52" s="69">
        <v>0</v>
      </c>
      <c r="Q52" s="69">
        <v>0</v>
      </c>
      <c r="R52" s="568">
        <f t="shared" si="17"/>
        <v>0</v>
      </c>
      <c r="S52" s="539">
        <v>0</v>
      </c>
      <c r="T52" s="570">
        <v>0</v>
      </c>
      <c r="U52" s="192">
        <v>0</v>
      </c>
      <c r="V52" s="506">
        <f t="shared" si="1"/>
        <v>0</v>
      </c>
      <c r="W52" s="192"/>
      <c r="X52" s="57"/>
      <c r="Y52" s="69"/>
      <c r="Z52" s="55"/>
      <c r="AA52" s="192"/>
      <c r="AB52" s="69"/>
      <c r="AC52" s="56"/>
      <c r="AD52" s="57"/>
      <c r="AE52" s="69"/>
      <c r="AF52" s="56"/>
      <c r="AG52" s="592">
        <f t="shared" si="2"/>
        <v>0</v>
      </c>
      <c r="AH52" s="412"/>
    </row>
    <row r="53" spans="1:34" s="64" customFormat="1" ht="18" customHeight="1" x14ac:dyDescent="0.2">
      <c r="A53" s="515">
        <v>54109</v>
      </c>
      <c r="B53" s="529" t="s">
        <v>38</v>
      </c>
      <c r="C53" s="548">
        <f>'egresos 25% y F.P'!C123</f>
        <v>800</v>
      </c>
      <c r="D53" s="431">
        <f>'egresos 25% y F.P'!D123</f>
        <v>0</v>
      </c>
      <c r="E53" s="431">
        <f>'egresos 25% y F.P'!E123</f>
        <v>0</v>
      </c>
      <c r="F53" s="431">
        <f>'egresos 25% y F.P'!F123</f>
        <v>400</v>
      </c>
      <c r="G53" s="549">
        <f t="shared" si="16"/>
        <v>1200</v>
      </c>
      <c r="H53" s="570">
        <f>'egresos 25% y F.P'!C19</f>
        <v>500</v>
      </c>
      <c r="I53" s="69">
        <f>'egresos 25% y F.P'!D19</f>
        <v>0</v>
      </c>
      <c r="J53" s="69">
        <f>'egresos 25% y F.P'!E19</f>
        <v>0</v>
      </c>
      <c r="K53" s="69">
        <f>'egresos 25% y F.P'!F19</f>
        <v>500</v>
      </c>
      <c r="L53" s="568">
        <f t="shared" ref="L53:L70" si="18">SUM(H53:K53)</f>
        <v>1000</v>
      </c>
      <c r="M53" s="192">
        <v>0</v>
      </c>
      <c r="N53" s="69">
        <v>0</v>
      </c>
      <c r="O53" s="69">
        <v>0</v>
      </c>
      <c r="P53" s="69">
        <v>0</v>
      </c>
      <c r="Q53" s="69">
        <v>0</v>
      </c>
      <c r="R53" s="568">
        <f t="shared" si="17"/>
        <v>0</v>
      </c>
      <c r="S53" s="539">
        <v>0</v>
      </c>
      <c r="T53" s="570">
        <v>0</v>
      </c>
      <c r="U53" s="192">
        <v>0</v>
      </c>
      <c r="V53" s="506">
        <f t="shared" si="1"/>
        <v>0</v>
      </c>
      <c r="W53" s="192"/>
      <c r="X53" s="57"/>
      <c r="Y53" s="69"/>
      <c r="Z53" s="55"/>
      <c r="AA53" s="192"/>
      <c r="AB53" s="69"/>
      <c r="AC53" s="56"/>
      <c r="AD53" s="57"/>
      <c r="AE53" s="69"/>
      <c r="AF53" s="56"/>
      <c r="AG53" s="592">
        <f t="shared" si="2"/>
        <v>2200</v>
      </c>
      <c r="AH53" s="412"/>
    </row>
    <row r="54" spans="1:34" s="59" customFormat="1" ht="18" customHeight="1" x14ac:dyDescent="0.2">
      <c r="A54" s="515">
        <v>54110</v>
      </c>
      <c r="B54" s="529" t="s">
        <v>39</v>
      </c>
      <c r="C54" s="548">
        <f>'egresos 25% y F.P'!C124</f>
        <v>2000</v>
      </c>
      <c r="D54" s="431">
        <f>'egresos 25% y F.P'!D124</f>
        <v>0</v>
      </c>
      <c r="E54" s="431">
        <f>'egresos 25% y F.P'!E124</f>
        <v>0</v>
      </c>
      <c r="F54" s="431">
        <f>'egresos 25% y F.P'!F124</f>
        <v>2500</v>
      </c>
      <c r="G54" s="549">
        <f t="shared" si="16"/>
        <v>4500</v>
      </c>
      <c r="H54" s="570">
        <f>'egresos 25% y F.P'!C20</f>
        <v>1600</v>
      </c>
      <c r="I54" s="69">
        <f>'egresos 25% y F.P'!D20</f>
        <v>0</v>
      </c>
      <c r="J54" s="69">
        <f>'egresos 25% y F.P'!E20</f>
        <v>0</v>
      </c>
      <c r="K54" s="69">
        <f>'egresos 25% y F.P'!F20</f>
        <v>4500</v>
      </c>
      <c r="L54" s="568">
        <f t="shared" si="18"/>
        <v>6100</v>
      </c>
      <c r="M54" s="192">
        <v>0</v>
      </c>
      <c r="N54" s="69">
        <v>0</v>
      </c>
      <c r="O54" s="69">
        <v>0</v>
      </c>
      <c r="P54" s="69">
        <v>0</v>
      </c>
      <c r="Q54" s="69">
        <v>0</v>
      </c>
      <c r="R54" s="568">
        <f t="shared" si="17"/>
        <v>0</v>
      </c>
      <c r="S54" s="539">
        <v>0</v>
      </c>
      <c r="T54" s="570">
        <v>0</v>
      </c>
      <c r="U54" s="192">
        <v>0</v>
      </c>
      <c r="V54" s="506">
        <f t="shared" si="1"/>
        <v>0</v>
      </c>
      <c r="W54" s="53"/>
      <c r="X54" s="57"/>
      <c r="Y54" s="69"/>
      <c r="Z54" s="55"/>
      <c r="AA54" s="192"/>
      <c r="AB54" s="69"/>
      <c r="AC54" s="56"/>
      <c r="AD54" s="57"/>
      <c r="AE54" s="69"/>
      <c r="AF54" s="56"/>
      <c r="AG54" s="592">
        <f t="shared" si="2"/>
        <v>10600</v>
      </c>
      <c r="AH54" s="635"/>
    </row>
    <row r="55" spans="1:34" s="59" customFormat="1" ht="18" customHeight="1" x14ac:dyDescent="0.2">
      <c r="A55" s="515">
        <v>54111</v>
      </c>
      <c r="B55" s="529" t="s">
        <v>40</v>
      </c>
      <c r="C55" s="548">
        <v>0</v>
      </c>
      <c r="D55" s="431">
        <v>0</v>
      </c>
      <c r="E55" s="431">
        <v>0</v>
      </c>
      <c r="F55" s="431">
        <v>0</v>
      </c>
      <c r="G55" s="549">
        <f t="shared" si="16"/>
        <v>0</v>
      </c>
      <c r="H55" s="570">
        <f>'egresos 25% y F.P'!C21</f>
        <v>0</v>
      </c>
      <c r="I55" s="69">
        <f>'egresos 25% y F.P'!D21</f>
        <v>0</v>
      </c>
      <c r="J55" s="69">
        <f>'egresos 25% y F.P'!E21</f>
        <v>0</v>
      </c>
      <c r="K55" s="69">
        <f>'egresos 25% y F.P'!F21</f>
        <v>0</v>
      </c>
      <c r="L55" s="568">
        <f t="shared" si="18"/>
        <v>0</v>
      </c>
      <c r="M55" s="192">
        <v>0</v>
      </c>
      <c r="N55" s="69">
        <v>0</v>
      </c>
      <c r="O55" s="69">
        <v>0</v>
      </c>
      <c r="P55" s="69">
        <v>0</v>
      </c>
      <c r="Q55" s="69">
        <v>0</v>
      </c>
      <c r="R55" s="568">
        <f t="shared" si="17"/>
        <v>0</v>
      </c>
      <c r="S55" s="539">
        <v>0</v>
      </c>
      <c r="T55" s="570">
        <v>0</v>
      </c>
      <c r="U55" s="192">
        <v>0</v>
      </c>
      <c r="V55" s="506">
        <f t="shared" si="1"/>
        <v>0</v>
      </c>
      <c r="W55" s="53"/>
      <c r="X55" s="57"/>
      <c r="Y55" s="69"/>
      <c r="Z55" s="55"/>
      <c r="AA55" s="192"/>
      <c r="AB55" s="69"/>
      <c r="AC55" s="56"/>
      <c r="AD55" s="57"/>
      <c r="AE55" s="69"/>
      <c r="AF55" s="56"/>
      <c r="AG55" s="592">
        <f t="shared" si="2"/>
        <v>0</v>
      </c>
      <c r="AH55" s="635"/>
    </row>
    <row r="56" spans="1:34" s="64" customFormat="1" ht="18" customHeight="1" x14ac:dyDescent="0.2">
      <c r="A56" s="515">
        <v>54112</v>
      </c>
      <c r="B56" s="529" t="s">
        <v>41</v>
      </c>
      <c r="C56" s="548">
        <v>0</v>
      </c>
      <c r="D56" s="431">
        <v>0</v>
      </c>
      <c r="E56" s="431">
        <v>0</v>
      </c>
      <c r="F56" s="431">
        <v>0</v>
      </c>
      <c r="G56" s="549">
        <f t="shared" si="16"/>
        <v>0</v>
      </c>
      <c r="H56" s="570">
        <f>'egresos 25% y F.P'!C22</f>
        <v>0</v>
      </c>
      <c r="I56" s="69">
        <f>'egresos 25% y F.P'!D22</f>
        <v>0</v>
      </c>
      <c r="J56" s="69">
        <f>'egresos 25% y F.P'!E22</f>
        <v>0</v>
      </c>
      <c r="K56" s="69">
        <f>'egresos 25% y F.P'!F22</f>
        <v>0</v>
      </c>
      <c r="L56" s="568">
        <f t="shared" si="18"/>
        <v>0</v>
      </c>
      <c r="M56" s="192">
        <v>0</v>
      </c>
      <c r="N56" s="69">
        <v>0</v>
      </c>
      <c r="O56" s="69">
        <v>0</v>
      </c>
      <c r="P56" s="69">
        <v>0</v>
      </c>
      <c r="Q56" s="69">
        <v>0</v>
      </c>
      <c r="R56" s="568">
        <f t="shared" si="17"/>
        <v>0</v>
      </c>
      <c r="S56" s="539">
        <v>0</v>
      </c>
      <c r="T56" s="570">
        <v>0</v>
      </c>
      <c r="U56" s="192">
        <v>0</v>
      </c>
      <c r="V56" s="506">
        <f t="shared" si="1"/>
        <v>0</v>
      </c>
      <c r="W56" s="192"/>
      <c r="X56" s="57"/>
      <c r="Y56" s="69"/>
      <c r="Z56" s="55"/>
      <c r="AA56" s="192"/>
      <c r="AB56" s="69"/>
      <c r="AC56" s="56"/>
      <c r="AD56" s="57"/>
      <c r="AE56" s="69"/>
      <c r="AF56" s="56"/>
      <c r="AG56" s="592">
        <f t="shared" si="2"/>
        <v>0</v>
      </c>
      <c r="AH56" s="412"/>
    </row>
    <row r="57" spans="1:34" s="59" customFormat="1" ht="18" customHeight="1" x14ac:dyDescent="0.2">
      <c r="A57" s="515">
        <v>54114</v>
      </c>
      <c r="B57" s="529" t="s">
        <v>42</v>
      </c>
      <c r="C57" s="548">
        <f>'egresos 25% y F.P'!C127</f>
        <v>300</v>
      </c>
      <c r="D57" s="431">
        <f>'egresos 25% y F.P'!D127</f>
        <v>500</v>
      </c>
      <c r="E57" s="431">
        <f>'egresos 25% y F.P'!E127</f>
        <v>200</v>
      </c>
      <c r="F57" s="431">
        <f>'egresos 25% y F.P'!F127</f>
        <v>100</v>
      </c>
      <c r="G57" s="549">
        <f t="shared" si="16"/>
        <v>1100</v>
      </c>
      <c r="H57" s="570">
        <f>'egresos 25% y F.P'!C23</f>
        <v>100</v>
      </c>
      <c r="I57" s="69">
        <f>'egresos 25% y F.P'!D23</f>
        <v>200</v>
      </c>
      <c r="J57" s="69">
        <f>'egresos 25% y F.P'!E23</f>
        <v>100</v>
      </c>
      <c r="K57" s="69">
        <f>'egresos 25% y F.P'!F23</f>
        <v>100</v>
      </c>
      <c r="L57" s="568">
        <f t="shared" si="18"/>
        <v>500</v>
      </c>
      <c r="M57" s="492">
        <v>0</v>
      </c>
      <c r="N57" s="491">
        <v>0</v>
      </c>
      <c r="O57" s="491">
        <v>0</v>
      </c>
      <c r="P57" s="491">
        <v>0</v>
      </c>
      <c r="Q57" s="491">
        <v>0</v>
      </c>
      <c r="R57" s="568">
        <f t="shared" si="17"/>
        <v>0</v>
      </c>
      <c r="S57" s="581">
        <v>0</v>
      </c>
      <c r="T57" s="584">
        <v>0</v>
      </c>
      <c r="U57" s="492">
        <v>0</v>
      </c>
      <c r="V57" s="506">
        <f t="shared" si="1"/>
        <v>0</v>
      </c>
      <c r="W57" s="60"/>
      <c r="X57" s="57"/>
      <c r="Y57" s="69"/>
      <c r="Z57" s="55"/>
      <c r="AA57" s="192"/>
      <c r="AB57" s="69"/>
      <c r="AC57" s="56"/>
      <c r="AD57" s="57"/>
      <c r="AE57" s="69"/>
      <c r="AF57" s="56"/>
      <c r="AG57" s="592">
        <f t="shared" si="2"/>
        <v>1600</v>
      </c>
      <c r="AH57" s="635"/>
    </row>
    <row r="58" spans="1:34" s="59" customFormat="1" ht="18" customHeight="1" x14ac:dyDescent="0.2">
      <c r="A58" s="515">
        <v>54115</v>
      </c>
      <c r="B58" s="529" t="s">
        <v>43</v>
      </c>
      <c r="C58" s="548">
        <f>'egresos 25% y F.P'!C128</f>
        <v>200</v>
      </c>
      <c r="D58" s="431">
        <f>'egresos 25% y F.P'!D128</f>
        <v>600</v>
      </c>
      <c r="E58" s="431">
        <f>'egresos 25% y F.P'!E128</f>
        <v>200</v>
      </c>
      <c r="F58" s="431">
        <f>'egresos 25% y F.P'!F128</f>
        <v>100</v>
      </c>
      <c r="G58" s="549">
        <f t="shared" si="16"/>
        <v>1100</v>
      </c>
      <c r="H58" s="570">
        <f>'egresos 25% y F.P'!C24</f>
        <v>400</v>
      </c>
      <c r="I58" s="69">
        <f>'egresos 25% y F.P'!D24</f>
        <v>600</v>
      </c>
      <c r="J58" s="69">
        <f>'egresos 25% y F.P'!E24</f>
        <v>300</v>
      </c>
      <c r="K58" s="69">
        <f>'egresos 25% y F.P'!F24</f>
        <v>100</v>
      </c>
      <c r="L58" s="568">
        <f t="shared" si="18"/>
        <v>1400</v>
      </c>
      <c r="M58" s="492">
        <v>0</v>
      </c>
      <c r="N58" s="491">
        <v>0</v>
      </c>
      <c r="O58" s="491">
        <v>0</v>
      </c>
      <c r="P58" s="491">
        <v>0</v>
      </c>
      <c r="Q58" s="491">
        <v>0</v>
      </c>
      <c r="R58" s="568">
        <f t="shared" si="17"/>
        <v>0</v>
      </c>
      <c r="S58" s="581">
        <v>0</v>
      </c>
      <c r="T58" s="584">
        <v>0</v>
      </c>
      <c r="U58" s="492">
        <v>0</v>
      </c>
      <c r="V58" s="506">
        <f t="shared" si="1"/>
        <v>0</v>
      </c>
      <c r="W58" s="60"/>
      <c r="X58" s="57"/>
      <c r="Y58" s="69"/>
      <c r="Z58" s="55"/>
      <c r="AA58" s="192"/>
      <c r="AB58" s="69"/>
      <c r="AC58" s="56"/>
      <c r="AD58" s="57"/>
      <c r="AE58" s="69"/>
      <c r="AF58" s="56"/>
      <c r="AG58" s="592">
        <f t="shared" si="2"/>
        <v>2500</v>
      </c>
      <c r="AH58" s="635"/>
    </row>
    <row r="59" spans="1:34" s="64" customFormat="1" ht="18" hidden="1" customHeight="1" x14ac:dyDescent="0.2">
      <c r="A59" s="515">
        <v>54116</v>
      </c>
      <c r="B59" s="529" t="s">
        <v>44</v>
      </c>
      <c r="C59" s="548"/>
      <c r="D59" s="431"/>
      <c r="E59" s="431"/>
      <c r="F59" s="431"/>
      <c r="G59" s="549">
        <f t="shared" si="16"/>
        <v>0</v>
      </c>
      <c r="H59" s="570">
        <f>'egresos 25% y F.P'!C25</f>
        <v>0</v>
      </c>
      <c r="I59" s="69">
        <f>'egresos 25% y F.P'!D25</f>
        <v>0</v>
      </c>
      <c r="J59" s="69">
        <f>'egresos 25% y F.P'!E25</f>
        <v>0</v>
      </c>
      <c r="K59" s="69">
        <f>'egresos 25% y F.P'!F25</f>
        <v>0</v>
      </c>
      <c r="L59" s="568">
        <f t="shared" si="18"/>
        <v>0</v>
      </c>
      <c r="M59" s="492">
        <v>0</v>
      </c>
      <c r="N59" s="491">
        <v>0</v>
      </c>
      <c r="O59" s="491">
        <v>0</v>
      </c>
      <c r="P59" s="491">
        <v>0</v>
      </c>
      <c r="Q59" s="491">
        <v>0</v>
      </c>
      <c r="R59" s="568">
        <f t="shared" si="17"/>
        <v>0</v>
      </c>
      <c r="S59" s="581">
        <v>0</v>
      </c>
      <c r="T59" s="584">
        <v>0</v>
      </c>
      <c r="U59" s="492">
        <v>0</v>
      </c>
      <c r="V59" s="506">
        <f t="shared" si="1"/>
        <v>0</v>
      </c>
      <c r="W59" s="60"/>
      <c r="X59" s="57"/>
      <c r="Y59" s="69"/>
      <c r="Z59" s="55"/>
      <c r="AA59" s="192"/>
      <c r="AB59" s="69"/>
      <c r="AC59" s="56"/>
      <c r="AD59" s="57"/>
      <c r="AE59" s="69"/>
      <c r="AF59" s="56"/>
      <c r="AG59" s="592">
        <f t="shared" si="2"/>
        <v>0</v>
      </c>
      <c r="AH59" s="412"/>
    </row>
    <row r="60" spans="1:34" s="64" customFormat="1" ht="18" hidden="1" customHeight="1" x14ac:dyDescent="0.2">
      <c r="A60" s="515">
        <v>54117</v>
      </c>
      <c r="B60" s="529" t="s">
        <v>45</v>
      </c>
      <c r="C60" s="548"/>
      <c r="D60" s="431"/>
      <c r="E60" s="431"/>
      <c r="F60" s="431"/>
      <c r="G60" s="549">
        <f t="shared" si="16"/>
        <v>0</v>
      </c>
      <c r="H60" s="570">
        <f>'egresos 25% y F.P'!C26</f>
        <v>0</v>
      </c>
      <c r="I60" s="69">
        <f>'egresos 25% y F.P'!D26</f>
        <v>0</v>
      </c>
      <c r="J60" s="69">
        <f>'egresos 25% y F.P'!E26</f>
        <v>0</v>
      </c>
      <c r="K60" s="69">
        <f>'egresos 25% y F.P'!F26</f>
        <v>0</v>
      </c>
      <c r="L60" s="568">
        <f t="shared" si="18"/>
        <v>0</v>
      </c>
      <c r="M60" s="192">
        <v>0</v>
      </c>
      <c r="N60" s="69">
        <v>0</v>
      </c>
      <c r="O60" s="69">
        <v>0</v>
      </c>
      <c r="P60" s="69">
        <v>0</v>
      </c>
      <c r="Q60" s="69">
        <v>0</v>
      </c>
      <c r="R60" s="568">
        <f t="shared" si="17"/>
        <v>0</v>
      </c>
      <c r="S60" s="539">
        <v>0</v>
      </c>
      <c r="T60" s="570">
        <v>0</v>
      </c>
      <c r="U60" s="192">
        <v>0</v>
      </c>
      <c r="V60" s="506">
        <f t="shared" si="1"/>
        <v>0</v>
      </c>
      <c r="W60" s="193"/>
      <c r="X60" s="57"/>
      <c r="Y60" s="69"/>
      <c r="Z60" s="55"/>
      <c r="AA60" s="192"/>
      <c r="AB60" s="69"/>
      <c r="AC60" s="56"/>
      <c r="AD60" s="57"/>
      <c r="AE60" s="69"/>
      <c r="AF60" s="56"/>
      <c r="AG60" s="592">
        <f t="shared" si="2"/>
        <v>0</v>
      </c>
      <c r="AH60" s="412"/>
    </row>
    <row r="61" spans="1:34" s="64" customFormat="1" ht="18" customHeight="1" x14ac:dyDescent="0.2">
      <c r="A61" s="515">
        <v>54118</v>
      </c>
      <c r="B61" s="529" t="s">
        <v>46</v>
      </c>
      <c r="C61" s="548">
        <f>'egresos 25% y F.P'!C131</f>
        <v>50</v>
      </c>
      <c r="D61" s="432">
        <f>'egresos 25% y F.P'!D131</f>
        <v>0</v>
      </c>
      <c r="E61" s="432">
        <f>'egresos 25% y F.P'!E131</f>
        <v>0</v>
      </c>
      <c r="F61" s="432">
        <f>'egresos 25% y F.P'!F131</f>
        <v>2500</v>
      </c>
      <c r="G61" s="549">
        <f t="shared" si="16"/>
        <v>2550</v>
      </c>
      <c r="H61" s="570">
        <f>'egresos 25% y F.P'!C27</f>
        <v>0</v>
      </c>
      <c r="I61" s="69">
        <f>'egresos 25% y F.P'!D27</f>
        <v>0</v>
      </c>
      <c r="J61" s="69">
        <f>'egresos 25% y F.P'!E27</f>
        <v>0</v>
      </c>
      <c r="K61" s="69">
        <f>'egresos 25% y F.P'!F27</f>
        <v>1000</v>
      </c>
      <c r="L61" s="568">
        <f t="shared" si="18"/>
        <v>1000</v>
      </c>
      <c r="M61" s="192">
        <v>0</v>
      </c>
      <c r="N61" s="69">
        <v>0</v>
      </c>
      <c r="O61" s="69">
        <v>0</v>
      </c>
      <c r="P61" s="69">
        <v>0</v>
      </c>
      <c r="Q61" s="69">
        <v>0</v>
      </c>
      <c r="R61" s="568">
        <f t="shared" si="17"/>
        <v>0</v>
      </c>
      <c r="S61" s="539">
        <v>0</v>
      </c>
      <c r="T61" s="570">
        <v>0</v>
      </c>
      <c r="U61" s="192">
        <v>0</v>
      </c>
      <c r="V61" s="506">
        <f t="shared" si="1"/>
        <v>0</v>
      </c>
      <c r="W61" s="196"/>
      <c r="X61" s="57"/>
      <c r="Y61" s="69"/>
      <c r="Z61" s="55"/>
      <c r="AA61" s="192"/>
      <c r="AB61" s="69"/>
      <c r="AC61" s="56"/>
      <c r="AD61" s="57"/>
      <c r="AE61" s="69"/>
      <c r="AF61" s="56"/>
      <c r="AG61" s="592">
        <f t="shared" si="2"/>
        <v>3550</v>
      </c>
      <c r="AH61" s="412"/>
    </row>
    <row r="62" spans="1:34" s="64" customFormat="1" ht="18" customHeight="1" x14ac:dyDescent="0.2">
      <c r="A62" s="515">
        <v>54119</v>
      </c>
      <c r="B62" s="529" t="s">
        <v>47</v>
      </c>
      <c r="C62" s="548">
        <f>'egresos 25% y F.P'!C132</f>
        <v>100</v>
      </c>
      <c r="D62" s="431">
        <v>0</v>
      </c>
      <c r="E62" s="431">
        <v>0</v>
      </c>
      <c r="F62" s="431">
        <v>0</v>
      </c>
      <c r="G62" s="549">
        <f t="shared" si="16"/>
        <v>100</v>
      </c>
      <c r="H62" s="570">
        <f>'egresos 25% y F.P'!C28</f>
        <v>50</v>
      </c>
      <c r="I62" s="69">
        <f>'egresos 25% y F.P'!D28</f>
        <v>0</v>
      </c>
      <c r="J62" s="69">
        <f>'egresos 25% y F.P'!E28</f>
        <v>0</v>
      </c>
      <c r="K62" s="69">
        <f>'egresos 25% y F.P'!F28</f>
        <v>0</v>
      </c>
      <c r="L62" s="568">
        <f t="shared" si="18"/>
        <v>50</v>
      </c>
      <c r="M62" s="192">
        <v>0</v>
      </c>
      <c r="N62" s="69">
        <v>0</v>
      </c>
      <c r="O62" s="69">
        <v>0</v>
      </c>
      <c r="P62" s="69">
        <v>0</v>
      </c>
      <c r="Q62" s="69">
        <v>0</v>
      </c>
      <c r="R62" s="568">
        <f t="shared" si="17"/>
        <v>0</v>
      </c>
      <c r="S62" s="540">
        <v>0</v>
      </c>
      <c r="T62" s="572">
        <v>0</v>
      </c>
      <c r="U62" s="196">
        <v>0</v>
      </c>
      <c r="V62" s="506">
        <f t="shared" si="1"/>
        <v>0</v>
      </c>
      <c r="W62" s="196"/>
      <c r="X62" s="57"/>
      <c r="Y62" s="69"/>
      <c r="Z62" s="55"/>
      <c r="AA62" s="192"/>
      <c r="AB62" s="69"/>
      <c r="AC62" s="56"/>
      <c r="AD62" s="57"/>
      <c r="AE62" s="69"/>
      <c r="AF62" s="56"/>
      <c r="AG62" s="592">
        <f t="shared" si="2"/>
        <v>150</v>
      </c>
      <c r="AH62" s="412"/>
    </row>
    <row r="63" spans="1:34" s="64" customFormat="1" ht="18" customHeight="1" x14ac:dyDescent="0.2">
      <c r="A63" s="515">
        <v>54121</v>
      </c>
      <c r="B63" s="529" t="s">
        <v>48</v>
      </c>
      <c r="C63" s="548">
        <v>0</v>
      </c>
      <c r="D63" s="431">
        <v>0</v>
      </c>
      <c r="E63" s="431">
        <v>0</v>
      </c>
      <c r="F63" s="431">
        <v>0</v>
      </c>
      <c r="G63" s="549">
        <f t="shared" si="16"/>
        <v>0</v>
      </c>
      <c r="H63" s="570"/>
      <c r="I63" s="69">
        <f>'egresos 25% y F.P'!D29</f>
        <v>400</v>
      </c>
      <c r="J63" s="69"/>
      <c r="K63" s="69"/>
      <c r="L63" s="568">
        <f t="shared" si="18"/>
        <v>400</v>
      </c>
      <c r="M63" s="192">
        <v>0</v>
      </c>
      <c r="N63" s="69">
        <v>0</v>
      </c>
      <c r="O63" s="69">
        <v>0</v>
      </c>
      <c r="P63" s="69">
        <v>0</v>
      </c>
      <c r="Q63" s="69">
        <v>0</v>
      </c>
      <c r="R63" s="568">
        <f t="shared" si="17"/>
        <v>0</v>
      </c>
      <c r="S63" s="540">
        <v>0</v>
      </c>
      <c r="T63" s="572">
        <v>0</v>
      </c>
      <c r="U63" s="196">
        <v>0</v>
      </c>
      <c r="V63" s="506">
        <f t="shared" si="1"/>
        <v>0</v>
      </c>
      <c r="W63" s="196"/>
      <c r="X63" s="57"/>
      <c r="Y63" s="69"/>
      <c r="Z63" s="55"/>
      <c r="AA63" s="192"/>
      <c r="AB63" s="69"/>
      <c r="AC63" s="56"/>
      <c r="AD63" s="57"/>
      <c r="AE63" s="69"/>
      <c r="AF63" s="56"/>
      <c r="AG63" s="592">
        <f t="shared" si="2"/>
        <v>400</v>
      </c>
      <c r="AH63" s="412"/>
    </row>
    <row r="64" spans="1:34" s="64" customFormat="1" ht="18" customHeight="1" x14ac:dyDescent="0.2">
      <c r="A64" s="515">
        <v>54199</v>
      </c>
      <c r="B64" s="529" t="s">
        <v>49</v>
      </c>
      <c r="C64" s="548">
        <f>'egresos 25% y F.P'!C134</f>
        <v>1500</v>
      </c>
      <c r="D64" s="432">
        <f>'egresos 25% y F.P'!D134</f>
        <v>50</v>
      </c>
      <c r="E64" s="432">
        <f>'egresos 25% y F.P'!E134</f>
        <v>200</v>
      </c>
      <c r="F64" s="432">
        <f>'egresos 25% y F.P'!F134</f>
        <v>500</v>
      </c>
      <c r="G64" s="549">
        <f t="shared" si="16"/>
        <v>2250</v>
      </c>
      <c r="H64" s="570">
        <f>'egresos 25% y F.P'!C30</f>
        <v>1500</v>
      </c>
      <c r="I64" s="69">
        <f>'egresos 25% y F.P'!D30</f>
        <v>100</v>
      </c>
      <c r="J64" s="69">
        <f>'egresos 25% y F.P'!E30</f>
        <v>100</v>
      </c>
      <c r="K64" s="69">
        <f>'egresos 25% y F.P'!F30</f>
        <v>200</v>
      </c>
      <c r="L64" s="568">
        <f t="shared" si="18"/>
        <v>1900</v>
      </c>
      <c r="M64" s="192">
        <v>0</v>
      </c>
      <c r="N64" s="69">
        <v>0</v>
      </c>
      <c r="O64" s="69">
        <v>0</v>
      </c>
      <c r="P64" s="69">
        <v>0</v>
      </c>
      <c r="Q64" s="69">
        <v>0</v>
      </c>
      <c r="R64" s="568">
        <f t="shared" si="17"/>
        <v>0</v>
      </c>
      <c r="S64" s="540">
        <v>0</v>
      </c>
      <c r="T64" s="572">
        <v>0</v>
      </c>
      <c r="U64" s="196">
        <v>0</v>
      </c>
      <c r="V64" s="506">
        <f t="shared" si="1"/>
        <v>0</v>
      </c>
      <c r="W64" s="196"/>
      <c r="X64" s="57"/>
      <c r="Y64" s="69"/>
      <c r="Z64" s="55"/>
      <c r="AA64" s="192"/>
      <c r="AB64" s="69"/>
      <c r="AC64" s="56"/>
      <c r="AD64" s="57"/>
      <c r="AE64" s="69"/>
      <c r="AF64" s="56"/>
      <c r="AG64" s="592">
        <f t="shared" si="2"/>
        <v>4150</v>
      </c>
      <c r="AH64" s="412"/>
    </row>
    <row r="65" spans="1:34" s="64" customFormat="1" ht="18" customHeight="1" x14ac:dyDescent="0.2">
      <c r="A65" s="513">
        <v>542</v>
      </c>
      <c r="B65" s="530" t="s">
        <v>50</v>
      </c>
      <c r="C65" s="543">
        <f t="shared" ref="C65:K65" si="19">SUM(C66:C70)</f>
        <v>7350</v>
      </c>
      <c r="D65" s="433">
        <f t="shared" si="19"/>
        <v>0</v>
      </c>
      <c r="E65" s="433">
        <f t="shared" si="19"/>
        <v>0</v>
      </c>
      <c r="F65" s="433">
        <f t="shared" si="19"/>
        <v>22161.82</v>
      </c>
      <c r="G65" s="550">
        <f>SUM(G66:G70)</f>
        <v>29511.82</v>
      </c>
      <c r="H65" s="571">
        <f t="shared" si="19"/>
        <v>7350</v>
      </c>
      <c r="I65" s="54">
        <f t="shared" si="19"/>
        <v>0</v>
      </c>
      <c r="J65" s="54">
        <f t="shared" si="19"/>
        <v>0</v>
      </c>
      <c r="K65" s="54">
        <f t="shared" si="19"/>
        <v>100561.84999999999</v>
      </c>
      <c r="L65" s="566">
        <f>SUM(H65:K65)</f>
        <v>107911.84999999999</v>
      </c>
      <c r="M65" s="53">
        <v>0</v>
      </c>
      <c r="N65" s="54">
        <v>0</v>
      </c>
      <c r="O65" s="54">
        <v>0</v>
      </c>
      <c r="P65" s="54">
        <v>0</v>
      </c>
      <c r="Q65" s="54">
        <v>0</v>
      </c>
      <c r="R65" s="566">
        <f t="shared" si="17"/>
        <v>0</v>
      </c>
      <c r="S65" s="493">
        <v>0</v>
      </c>
      <c r="T65" s="571">
        <v>0</v>
      </c>
      <c r="U65" s="53">
        <v>0</v>
      </c>
      <c r="V65" s="505">
        <f t="shared" si="1"/>
        <v>0</v>
      </c>
      <c r="W65" s="196"/>
      <c r="X65" s="57"/>
      <c r="Y65" s="69"/>
      <c r="Z65" s="55"/>
      <c r="AA65" s="192"/>
      <c r="AB65" s="69"/>
      <c r="AC65" s="56"/>
      <c r="AD65" s="57"/>
      <c r="AE65" s="69"/>
      <c r="AF65" s="56"/>
      <c r="AG65" s="591">
        <f t="shared" si="2"/>
        <v>137423.66999999998</v>
      </c>
      <c r="AH65" s="412"/>
    </row>
    <row r="66" spans="1:34" s="64" customFormat="1" ht="18" customHeight="1" x14ac:dyDescent="0.2">
      <c r="A66" s="515">
        <v>54201</v>
      </c>
      <c r="B66" s="529" t="s">
        <v>51</v>
      </c>
      <c r="C66" s="548">
        <f>'egresos 25% y F.P'!C136</f>
        <v>1500</v>
      </c>
      <c r="D66" s="431">
        <v>0</v>
      </c>
      <c r="E66" s="431">
        <v>0</v>
      </c>
      <c r="F66" s="431">
        <f>'egresos 25% y F.P'!F136</f>
        <v>11241.820000000002</v>
      </c>
      <c r="G66" s="549">
        <f t="shared" ref="G66:G91" si="20">SUM(C66:F66)</f>
        <v>12741.820000000002</v>
      </c>
      <c r="H66" s="570">
        <f>'egresos 25% y F.P'!C32</f>
        <v>1500</v>
      </c>
      <c r="I66" s="69">
        <v>0</v>
      </c>
      <c r="J66" s="69">
        <v>0</v>
      </c>
      <c r="K66" s="69">
        <f>'egresos 25% y F.P'!F32</f>
        <v>89641.849999999991</v>
      </c>
      <c r="L66" s="568">
        <f t="shared" si="18"/>
        <v>91141.849999999991</v>
      </c>
      <c r="M66" s="192">
        <v>0</v>
      </c>
      <c r="N66" s="69">
        <v>0</v>
      </c>
      <c r="O66" s="69">
        <v>0</v>
      </c>
      <c r="P66" s="69">
        <v>0</v>
      </c>
      <c r="Q66" s="69">
        <v>0</v>
      </c>
      <c r="R66" s="568">
        <f t="shared" si="17"/>
        <v>0</v>
      </c>
      <c r="S66" s="540">
        <v>0</v>
      </c>
      <c r="T66" s="572">
        <v>0</v>
      </c>
      <c r="U66" s="196">
        <v>0</v>
      </c>
      <c r="V66" s="506">
        <f t="shared" si="1"/>
        <v>0</v>
      </c>
      <c r="W66" s="196"/>
      <c r="X66" s="57"/>
      <c r="Y66" s="69"/>
      <c r="Z66" s="55"/>
      <c r="AA66" s="192"/>
      <c r="AB66" s="69"/>
      <c r="AC66" s="56"/>
      <c r="AD66" s="57"/>
      <c r="AE66" s="69"/>
      <c r="AF66" s="56"/>
      <c r="AG66" s="592">
        <f t="shared" si="2"/>
        <v>103883.67</v>
      </c>
      <c r="AH66" s="412"/>
    </row>
    <row r="67" spans="1:34" s="64" customFormat="1" ht="18" customHeight="1" x14ac:dyDescent="0.2">
      <c r="A67" s="515">
        <v>54202</v>
      </c>
      <c r="B67" s="529" t="s">
        <v>52</v>
      </c>
      <c r="C67" s="548">
        <f>'egresos 25% y F.P'!C137</f>
        <v>450</v>
      </c>
      <c r="D67" s="431">
        <v>0</v>
      </c>
      <c r="E67" s="431">
        <v>0</v>
      </c>
      <c r="F67" s="431">
        <f>'egresos 25% y F.P'!F137</f>
        <v>60</v>
      </c>
      <c r="G67" s="549">
        <f t="shared" si="20"/>
        <v>510</v>
      </c>
      <c r="H67" s="570">
        <f>'egresos 25% y F.P'!C33</f>
        <v>450</v>
      </c>
      <c r="I67" s="69">
        <v>0</v>
      </c>
      <c r="J67" s="69">
        <v>0</v>
      </c>
      <c r="K67" s="69">
        <f>'egresos 25% y F.P'!F33</f>
        <v>60</v>
      </c>
      <c r="L67" s="568">
        <f t="shared" si="18"/>
        <v>510</v>
      </c>
      <c r="M67" s="192">
        <v>0</v>
      </c>
      <c r="N67" s="69">
        <v>0</v>
      </c>
      <c r="O67" s="69">
        <v>0</v>
      </c>
      <c r="P67" s="69">
        <v>0</v>
      </c>
      <c r="Q67" s="69">
        <v>0</v>
      </c>
      <c r="R67" s="568">
        <f t="shared" si="17"/>
        <v>0</v>
      </c>
      <c r="S67" s="540">
        <v>0</v>
      </c>
      <c r="T67" s="572">
        <v>0</v>
      </c>
      <c r="U67" s="196">
        <v>0</v>
      </c>
      <c r="V67" s="506">
        <f t="shared" si="1"/>
        <v>0</v>
      </c>
      <c r="W67" s="196"/>
      <c r="X67" s="57"/>
      <c r="Y67" s="69"/>
      <c r="Z67" s="55"/>
      <c r="AA67" s="192"/>
      <c r="AB67" s="69"/>
      <c r="AC67" s="56"/>
      <c r="AD67" s="57"/>
      <c r="AE67" s="69"/>
      <c r="AF67" s="56"/>
      <c r="AG67" s="592">
        <f t="shared" si="2"/>
        <v>1020</v>
      </c>
      <c r="AH67" s="412"/>
    </row>
    <row r="68" spans="1:34" s="64" customFormat="1" ht="18" customHeight="1" x14ac:dyDescent="0.2">
      <c r="A68" s="515">
        <v>54203</v>
      </c>
      <c r="B68" s="529" t="s">
        <v>53</v>
      </c>
      <c r="C68" s="548">
        <f>'egresos 25% y F.P'!C138</f>
        <v>5400</v>
      </c>
      <c r="D68" s="431">
        <f>'egresos 25% y F.P'!D138</f>
        <v>0</v>
      </c>
      <c r="E68" s="431">
        <f>'egresos 25% y F.P'!E138</f>
        <v>0</v>
      </c>
      <c r="F68" s="431">
        <f>'egresos 25% y F.P'!F138</f>
        <v>660</v>
      </c>
      <c r="G68" s="549">
        <f t="shared" si="20"/>
        <v>6060</v>
      </c>
      <c r="H68" s="570">
        <f>'egresos 25% y F.P'!C34</f>
        <v>5400</v>
      </c>
      <c r="I68" s="69">
        <v>0</v>
      </c>
      <c r="J68" s="69">
        <v>0</v>
      </c>
      <c r="K68" s="69">
        <f>'egresos 25% y F.P'!F34</f>
        <v>660</v>
      </c>
      <c r="L68" s="568">
        <f t="shared" si="18"/>
        <v>6060</v>
      </c>
      <c r="M68" s="192">
        <v>0</v>
      </c>
      <c r="N68" s="69">
        <v>0</v>
      </c>
      <c r="O68" s="69">
        <v>0</v>
      </c>
      <c r="P68" s="69">
        <v>0</v>
      </c>
      <c r="Q68" s="69">
        <v>0</v>
      </c>
      <c r="R68" s="568">
        <f t="shared" si="17"/>
        <v>0</v>
      </c>
      <c r="S68" s="253">
        <v>0</v>
      </c>
      <c r="T68" s="570">
        <v>0</v>
      </c>
      <c r="U68" s="99">
        <v>0</v>
      </c>
      <c r="V68" s="506">
        <f t="shared" si="1"/>
        <v>0</v>
      </c>
      <c r="W68" s="253"/>
      <c r="X68" s="57"/>
      <c r="Y68" s="69"/>
      <c r="Z68" s="55"/>
      <c r="AA68" s="192"/>
      <c r="AB68" s="69"/>
      <c r="AC68" s="56"/>
      <c r="AD68" s="57"/>
      <c r="AE68" s="69"/>
      <c r="AF68" s="56"/>
      <c r="AG68" s="592">
        <f t="shared" si="2"/>
        <v>12120</v>
      </c>
      <c r="AH68" s="412"/>
    </row>
    <row r="69" spans="1:34" s="64" customFormat="1" ht="18" hidden="1" customHeight="1" x14ac:dyDescent="0.2">
      <c r="A69" s="515">
        <v>54204</v>
      </c>
      <c r="B69" s="529" t="s">
        <v>54</v>
      </c>
      <c r="C69" s="548"/>
      <c r="D69" s="431"/>
      <c r="E69" s="431"/>
      <c r="F69" s="431"/>
      <c r="G69" s="549">
        <f t="shared" si="20"/>
        <v>0</v>
      </c>
      <c r="H69" s="570"/>
      <c r="I69" s="69">
        <v>0</v>
      </c>
      <c r="J69" s="69">
        <v>0</v>
      </c>
      <c r="K69" s="69"/>
      <c r="L69" s="568">
        <f t="shared" si="18"/>
        <v>0</v>
      </c>
      <c r="M69" s="192">
        <v>0</v>
      </c>
      <c r="N69" s="69">
        <v>0</v>
      </c>
      <c r="O69" s="69">
        <v>0</v>
      </c>
      <c r="P69" s="69">
        <v>0</v>
      </c>
      <c r="Q69" s="69">
        <v>0</v>
      </c>
      <c r="R69" s="568">
        <f t="shared" si="17"/>
        <v>0</v>
      </c>
      <c r="S69" s="540">
        <v>0</v>
      </c>
      <c r="T69" s="572">
        <v>0</v>
      </c>
      <c r="U69" s="196">
        <v>0</v>
      </c>
      <c r="V69" s="506">
        <f t="shared" si="1"/>
        <v>0</v>
      </c>
      <c r="W69" s="196"/>
      <c r="X69" s="57"/>
      <c r="Y69" s="69"/>
      <c r="Z69" s="55"/>
      <c r="AA69" s="192"/>
      <c r="AB69" s="69"/>
      <c r="AC69" s="56"/>
      <c r="AD69" s="57"/>
      <c r="AE69" s="69"/>
      <c r="AF69" s="56"/>
      <c r="AG69" s="592">
        <f t="shared" si="2"/>
        <v>0</v>
      </c>
      <c r="AH69" s="412"/>
    </row>
    <row r="70" spans="1:34" s="64" customFormat="1" ht="18" customHeight="1" x14ac:dyDescent="0.2">
      <c r="A70" s="515">
        <v>54205</v>
      </c>
      <c r="B70" s="529" t="s">
        <v>55</v>
      </c>
      <c r="C70" s="548">
        <v>0</v>
      </c>
      <c r="D70" s="431">
        <v>0</v>
      </c>
      <c r="E70" s="431">
        <v>0</v>
      </c>
      <c r="F70" s="431">
        <f>'egresos 25% y F.P'!F140</f>
        <v>10200</v>
      </c>
      <c r="G70" s="549">
        <f t="shared" si="20"/>
        <v>10200</v>
      </c>
      <c r="H70" s="570">
        <v>0</v>
      </c>
      <c r="I70" s="69">
        <v>0</v>
      </c>
      <c r="J70" s="69">
        <v>0</v>
      </c>
      <c r="K70" s="69">
        <f>'egresos 25% y F.P'!F36</f>
        <v>10200</v>
      </c>
      <c r="L70" s="568">
        <f t="shared" si="18"/>
        <v>10200</v>
      </c>
      <c r="M70" s="192">
        <v>0</v>
      </c>
      <c r="N70" s="69">
        <v>0</v>
      </c>
      <c r="O70" s="69">
        <v>0</v>
      </c>
      <c r="P70" s="69">
        <v>0</v>
      </c>
      <c r="Q70" s="69">
        <v>0</v>
      </c>
      <c r="R70" s="568">
        <f t="shared" si="17"/>
        <v>0</v>
      </c>
      <c r="S70" s="540">
        <v>0</v>
      </c>
      <c r="T70" s="572">
        <v>0</v>
      </c>
      <c r="U70" s="196">
        <v>0</v>
      </c>
      <c r="V70" s="506">
        <f t="shared" si="1"/>
        <v>0</v>
      </c>
      <c r="W70" s="196"/>
      <c r="X70" s="57"/>
      <c r="Y70" s="69"/>
      <c r="Z70" s="55"/>
      <c r="AA70" s="192"/>
      <c r="AB70" s="69"/>
      <c r="AC70" s="56"/>
      <c r="AD70" s="57"/>
      <c r="AE70" s="69"/>
      <c r="AF70" s="56"/>
      <c r="AG70" s="592">
        <f t="shared" si="2"/>
        <v>20400</v>
      </c>
      <c r="AH70" s="412"/>
    </row>
    <row r="71" spans="1:34" s="64" customFormat="1" ht="18" customHeight="1" x14ac:dyDescent="0.2">
      <c r="A71" s="513">
        <v>543</v>
      </c>
      <c r="B71" s="530" t="s">
        <v>56</v>
      </c>
      <c r="C71" s="543">
        <f t="shared" ref="C71:K71" si="21">SUM(C72:C86)</f>
        <v>9500</v>
      </c>
      <c r="D71" s="433">
        <f t="shared" si="21"/>
        <v>600</v>
      </c>
      <c r="E71" s="433">
        <f t="shared" si="21"/>
        <v>100</v>
      </c>
      <c r="F71" s="433">
        <f>SUM(F72:F86)</f>
        <v>3350</v>
      </c>
      <c r="G71" s="550">
        <f>SUM(G72:G86)</f>
        <v>13550</v>
      </c>
      <c r="H71" s="571">
        <f t="shared" si="21"/>
        <v>7100</v>
      </c>
      <c r="I71" s="54">
        <f t="shared" si="21"/>
        <v>100</v>
      </c>
      <c r="J71" s="54">
        <f t="shared" si="21"/>
        <v>100</v>
      </c>
      <c r="K71" s="54">
        <f t="shared" si="21"/>
        <v>2200</v>
      </c>
      <c r="L71" s="566">
        <f>SUM(H71:K71)</f>
        <v>9500</v>
      </c>
      <c r="M71" s="53">
        <v>0</v>
      </c>
      <c r="N71" s="54">
        <v>0</v>
      </c>
      <c r="O71" s="54">
        <v>0</v>
      </c>
      <c r="P71" s="54">
        <v>0</v>
      </c>
      <c r="Q71" s="54">
        <v>0</v>
      </c>
      <c r="R71" s="566">
        <f>M71+N71+O71+P71+Q71</f>
        <v>0</v>
      </c>
      <c r="S71" s="493">
        <v>0</v>
      </c>
      <c r="T71" s="571">
        <v>0</v>
      </c>
      <c r="U71" s="53">
        <v>0</v>
      </c>
      <c r="V71" s="505">
        <f t="shared" si="1"/>
        <v>0</v>
      </c>
      <c r="W71" s="196"/>
      <c r="X71" s="57"/>
      <c r="Y71" s="69"/>
      <c r="Z71" s="55"/>
      <c r="AA71" s="192"/>
      <c r="AB71" s="69"/>
      <c r="AC71" s="56"/>
      <c r="AD71" s="57"/>
      <c r="AE71" s="69"/>
      <c r="AF71" s="56"/>
      <c r="AG71" s="591">
        <f>+L71+R71+G71+Z71+AC71+AF71+S71+V71+W71</f>
        <v>23050</v>
      </c>
      <c r="AH71" s="412"/>
    </row>
    <row r="72" spans="1:34" s="64" customFormat="1" ht="18" customHeight="1" x14ac:dyDescent="0.2">
      <c r="A72" s="515">
        <v>54301</v>
      </c>
      <c r="B72" s="529" t="s">
        <v>57</v>
      </c>
      <c r="C72" s="548">
        <f>'egresos 25% y F.P'!C142</f>
        <v>200</v>
      </c>
      <c r="D72" s="431">
        <f>'egresos 25% y F.P'!D142</f>
        <v>600</v>
      </c>
      <c r="E72" s="431">
        <f>'egresos 25% y F.P'!E142</f>
        <v>100</v>
      </c>
      <c r="F72" s="431">
        <f>+'egresos 25% y F.P'!F142</f>
        <v>100</v>
      </c>
      <c r="G72" s="549">
        <f t="shared" si="20"/>
        <v>1000</v>
      </c>
      <c r="H72" s="570">
        <f>'egresos 25% y F.P'!C38</f>
        <v>100</v>
      </c>
      <c r="I72" s="69">
        <f>'egresos 25% y F.P'!D38</f>
        <v>100</v>
      </c>
      <c r="J72" s="69">
        <f>'egresos 25% y F.P'!E38</f>
        <v>100</v>
      </c>
      <c r="K72" s="69">
        <f>'egresos 25% y F.P'!F38</f>
        <v>100</v>
      </c>
      <c r="L72" s="568">
        <f t="shared" ref="L72:L86" si="22">SUM(H72:K72)</f>
        <v>400</v>
      </c>
      <c r="M72" s="192">
        <v>0</v>
      </c>
      <c r="N72" s="69">
        <v>0</v>
      </c>
      <c r="O72" s="69">
        <v>0</v>
      </c>
      <c r="P72" s="69">
        <v>0</v>
      </c>
      <c r="Q72" s="69">
        <v>0</v>
      </c>
      <c r="R72" s="568">
        <f>M72+N72+O72+P72+Q72</f>
        <v>0</v>
      </c>
      <c r="S72" s="540">
        <v>0</v>
      </c>
      <c r="T72" s="572">
        <v>0</v>
      </c>
      <c r="U72" s="196">
        <v>0</v>
      </c>
      <c r="V72" s="506">
        <f t="shared" si="1"/>
        <v>0</v>
      </c>
      <c r="W72" s="196"/>
      <c r="X72" s="57"/>
      <c r="Y72" s="69"/>
      <c r="Z72" s="55"/>
      <c r="AA72" s="192"/>
      <c r="AB72" s="69"/>
      <c r="AC72" s="56"/>
      <c r="AD72" s="57"/>
      <c r="AE72" s="69"/>
      <c r="AF72" s="56"/>
      <c r="AG72" s="592">
        <f t="shared" si="2"/>
        <v>1400</v>
      </c>
      <c r="AH72" s="412"/>
    </row>
    <row r="73" spans="1:34" s="64" customFormat="1" ht="18" customHeight="1" x14ac:dyDescent="0.2">
      <c r="A73" s="515">
        <v>54302</v>
      </c>
      <c r="B73" s="529" t="s">
        <v>58</v>
      </c>
      <c r="C73" s="548">
        <f>'egresos 25% y F.P'!C143</f>
        <v>1500</v>
      </c>
      <c r="D73" s="431">
        <v>0</v>
      </c>
      <c r="E73" s="434">
        <v>0</v>
      </c>
      <c r="F73" s="431">
        <f>'egresos 25% y F.P'!F143</f>
        <v>2000</v>
      </c>
      <c r="G73" s="551">
        <f t="shared" si="20"/>
        <v>3500</v>
      </c>
      <c r="H73" s="570">
        <f>'egresos 25% y F.P'!C39</f>
        <v>1000</v>
      </c>
      <c r="I73" s="69">
        <f>'egresos 25% y F.P'!D39</f>
        <v>0</v>
      </c>
      <c r="J73" s="69">
        <f>'egresos 25% y F.P'!E39</f>
        <v>0</v>
      </c>
      <c r="K73" s="69">
        <f>'egresos 25% y F.P'!F39</f>
        <v>1000</v>
      </c>
      <c r="L73" s="568">
        <f t="shared" si="22"/>
        <v>2000</v>
      </c>
      <c r="M73" s="192">
        <v>0</v>
      </c>
      <c r="N73" s="69">
        <v>0</v>
      </c>
      <c r="O73" s="69">
        <v>0</v>
      </c>
      <c r="P73" s="69">
        <v>0</v>
      </c>
      <c r="Q73" s="69">
        <v>0</v>
      </c>
      <c r="R73" s="568">
        <f t="shared" ref="R73:R93" si="23">M73+N73+O73+P73+Q73</f>
        <v>0</v>
      </c>
      <c r="S73" s="540">
        <v>0</v>
      </c>
      <c r="T73" s="572">
        <v>0</v>
      </c>
      <c r="U73" s="196">
        <v>0</v>
      </c>
      <c r="V73" s="506">
        <f t="shared" si="1"/>
        <v>0</v>
      </c>
      <c r="W73" s="196"/>
      <c r="X73" s="57"/>
      <c r="Y73" s="69"/>
      <c r="Z73" s="55"/>
      <c r="AA73" s="192"/>
      <c r="AB73" s="69"/>
      <c r="AC73" s="56"/>
      <c r="AD73" s="57"/>
      <c r="AE73" s="69"/>
      <c r="AF73" s="56"/>
      <c r="AG73" s="592">
        <f t="shared" si="2"/>
        <v>5500</v>
      </c>
      <c r="AH73" s="412"/>
    </row>
    <row r="74" spans="1:34" s="64" customFormat="1" ht="18" hidden="1" customHeight="1" x14ac:dyDescent="0.2">
      <c r="A74" s="515">
        <v>54303</v>
      </c>
      <c r="B74" s="529" t="s">
        <v>59</v>
      </c>
      <c r="C74" s="548"/>
      <c r="D74" s="431">
        <v>0</v>
      </c>
      <c r="E74" s="431">
        <v>0</v>
      </c>
      <c r="F74" s="431"/>
      <c r="G74" s="549">
        <f t="shared" si="20"/>
        <v>0</v>
      </c>
      <c r="H74" s="570"/>
      <c r="I74" s="69"/>
      <c r="J74" s="69"/>
      <c r="K74" s="69"/>
      <c r="L74" s="568">
        <f t="shared" si="22"/>
        <v>0</v>
      </c>
      <c r="M74" s="192">
        <v>0</v>
      </c>
      <c r="N74" s="69">
        <v>0</v>
      </c>
      <c r="O74" s="69">
        <v>0</v>
      </c>
      <c r="P74" s="69">
        <v>0</v>
      </c>
      <c r="Q74" s="69">
        <v>0</v>
      </c>
      <c r="R74" s="568">
        <f t="shared" si="23"/>
        <v>0</v>
      </c>
      <c r="S74" s="540">
        <v>0</v>
      </c>
      <c r="T74" s="572">
        <v>0</v>
      </c>
      <c r="U74" s="196">
        <v>0</v>
      </c>
      <c r="V74" s="506">
        <f t="shared" si="1"/>
        <v>0</v>
      </c>
      <c r="W74" s="196"/>
      <c r="X74" s="57"/>
      <c r="Y74" s="69"/>
      <c r="Z74" s="55"/>
      <c r="AA74" s="192"/>
      <c r="AB74" s="69"/>
      <c r="AC74" s="56"/>
      <c r="AD74" s="57"/>
      <c r="AE74" s="69"/>
      <c r="AF74" s="56"/>
      <c r="AG74" s="592">
        <f t="shared" si="2"/>
        <v>0</v>
      </c>
      <c r="AH74" s="412"/>
    </row>
    <row r="75" spans="1:34" s="64" customFormat="1" ht="18" customHeight="1" x14ac:dyDescent="0.2">
      <c r="A75" s="515">
        <v>54304</v>
      </c>
      <c r="B75" s="529" t="s">
        <v>60</v>
      </c>
      <c r="C75" s="548">
        <f>'egresos 25% y F.P'!C145</f>
        <v>2000</v>
      </c>
      <c r="D75" s="431">
        <v>0</v>
      </c>
      <c r="E75" s="431">
        <v>0</v>
      </c>
      <c r="F75" s="431">
        <v>0</v>
      </c>
      <c r="G75" s="549">
        <f t="shared" si="20"/>
        <v>2000</v>
      </c>
      <c r="H75" s="570">
        <f>'egresos 25% y F.P'!C41</f>
        <v>1500</v>
      </c>
      <c r="I75" s="69">
        <f>'egresos 25% y F.P'!D41</f>
        <v>0</v>
      </c>
      <c r="J75" s="69">
        <f>'egresos 25% y F.P'!E41</f>
        <v>0</v>
      </c>
      <c r="K75" s="69">
        <f>'egresos 25% y F.P'!F41</f>
        <v>0</v>
      </c>
      <c r="L75" s="568">
        <f t="shared" si="22"/>
        <v>1500</v>
      </c>
      <c r="M75" s="192">
        <v>0</v>
      </c>
      <c r="N75" s="69">
        <v>0</v>
      </c>
      <c r="O75" s="69">
        <v>0</v>
      </c>
      <c r="P75" s="69">
        <v>0</v>
      </c>
      <c r="Q75" s="69">
        <v>0</v>
      </c>
      <c r="R75" s="568">
        <f t="shared" si="23"/>
        <v>0</v>
      </c>
      <c r="S75" s="540">
        <v>0</v>
      </c>
      <c r="T75" s="572">
        <v>0</v>
      </c>
      <c r="U75" s="196">
        <v>0</v>
      </c>
      <c r="V75" s="506">
        <f t="shared" ref="V75:V142" si="24">+T75+U75</f>
        <v>0</v>
      </c>
      <c r="W75" s="196"/>
      <c r="X75" s="57"/>
      <c r="Y75" s="69"/>
      <c r="Z75" s="55"/>
      <c r="AA75" s="192"/>
      <c r="AB75" s="69"/>
      <c r="AC75" s="56"/>
      <c r="AD75" s="57"/>
      <c r="AE75" s="69"/>
      <c r="AF75" s="56"/>
      <c r="AG75" s="592">
        <f t="shared" ref="AG75:AG142" si="25">+L75+R75+G75+Z75+AC75+AF75+S75+V75+W75</f>
        <v>3500</v>
      </c>
      <c r="AH75" s="412"/>
    </row>
    <row r="76" spans="1:34" s="64" customFormat="1" ht="18" customHeight="1" x14ac:dyDescent="0.2">
      <c r="A76" s="515">
        <v>54305</v>
      </c>
      <c r="B76" s="529" t="s">
        <v>61</v>
      </c>
      <c r="C76" s="548">
        <f>'egresos 25% y F.P'!C146</f>
        <v>200</v>
      </c>
      <c r="D76" s="432">
        <f>'egresos 25% y F.P'!D146</f>
        <v>0</v>
      </c>
      <c r="E76" s="431">
        <v>0</v>
      </c>
      <c r="F76" s="431">
        <v>0</v>
      </c>
      <c r="G76" s="549">
        <f t="shared" si="20"/>
        <v>200</v>
      </c>
      <c r="H76" s="570">
        <f>'egresos 25% y F.P'!C42</f>
        <v>0</v>
      </c>
      <c r="I76" s="69">
        <f>'egresos 25% y F.P'!D42</f>
        <v>0</v>
      </c>
      <c r="J76" s="69">
        <f>'egresos 25% y F.P'!E42</f>
        <v>0</v>
      </c>
      <c r="K76" s="69">
        <f>'egresos 25% y F.P'!F42</f>
        <v>0</v>
      </c>
      <c r="L76" s="568">
        <f t="shared" si="22"/>
        <v>0</v>
      </c>
      <c r="M76" s="192">
        <v>0</v>
      </c>
      <c r="N76" s="69">
        <v>0</v>
      </c>
      <c r="O76" s="69">
        <v>0</v>
      </c>
      <c r="P76" s="69">
        <v>0</v>
      </c>
      <c r="Q76" s="69">
        <v>0</v>
      </c>
      <c r="R76" s="568">
        <f t="shared" si="23"/>
        <v>0</v>
      </c>
      <c r="S76" s="540">
        <v>0</v>
      </c>
      <c r="T76" s="572">
        <v>0</v>
      </c>
      <c r="U76" s="196">
        <v>0</v>
      </c>
      <c r="V76" s="506">
        <f t="shared" si="24"/>
        <v>0</v>
      </c>
      <c r="W76" s="196"/>
      <c r="X76" s="57"/>
      <c r="Y76" s="69"/>
      <c r="Z76" s="55"/>
      <c r="AA76" s="192"/>
      <c r="AB76" s="69"/>
      <c r="AC76" s="56"/>
      <c r="AD76" s="57"/>
      <c r="AE76" s="69"/>
      <c r="AF76" s="56"/>
      <c r="AG76" s="592">
        <f t="shared" si="25"/>
        <v>200</v>
      </c>
      <c r="AH76" s="412"/>
    </row>
    <row r="77" spans="1:34" s="64" customFormat="1" ht="18" hidden="1" customHeight="1" x14ac:dyDescent="0.2">
      <c r="A77" s="515">
        <v>54306</v>
      </c>
      <c r="B77" s="529" t="s">
        <v>62</v>
      </c>
      <c r="C77" s="548">
        <f>'egresos 25% y F.P'!C147</f>
        <v>0</v>
      </c>
      <c r="D77" s="431"/>
      <c r="E77" s="431"/>
      <c r="F77" s="431"/>
      <c r="G77" s="549">
        <f t="shared" si="20"/>
        <v>0</v>
      </c>
      <c r="H77" s="570">
        <f>'egresos 25% y F.P'!C43</f>
        <v>0</v>
      </c>
      <c r="I77" s="69">
        <f>'egresos 25% y F.P'!D43</f>
        <v>0</v>
      </c>
      <c r="J77" s="69">
        <f>'egresos 25% y F.P'!E43</f>
        <v>0</v>
      </c>
      <c r="K77" s="69">
        <f>'egresos 25% y F.P'!F43</f>
        <v>0</v>
      </c>
      <c r="L77" s="568">
        <f t="shared" si="22"/>
        <v>0</v>
      </c>
      <c r="M77" s="192">
        <v>0</v>
      </c>
      <c r="N77" s="69">
        <v>0</v>
      </c>
      <c r="O77" s="69">
        <v>0</v>
      </c>
      <c r="P77" s="69">
        <v>0</v>
      </c>
      <c r="Q77" s="69">
        <v>0</v>
      </c>
      <c r="R77" s="568">
        <f t="shared" si="23"/>
        <v>0</v>
      </c>
      <c r="S77" s="540">
        <v>0</v>
      </c>
      <c r="T77" s="572">
        <v>0</v>
      </c>
      <c r="U77" s="196">
        <v>0</v>
      </c>
      <c r="V77" s="506">
        <f t="shared" si="24"/>
        <v>0</v>
      </c>
      <c r="W77" s="196"/>
      <c r="X77" s="57"/>
      <c r="Y77" s="69"/>
      <c r="Z77" s="55"/>
      <c r="AA77" s="192"/>
      <c r="AB77" s="69"/>
      <c r="AC77" s="56"/>
      <c r="AD77" s="57"/>
      <c r="AE77" s="69"/>
      <c r="AF77" s="56"/>
      <c r="AG77" s="592">
        <f t="shared" si="25"/>
        <v>0</v>
      </c>
      <c r="AH77" s="412"/>
    </row>
    <row r="78" spans="1:34" s="64" customFormat="1" ht="18" customHeight="1" x14ac:dyDescent="0.2">
      <c r="A78" s="515">
        <v>54307</v>
      </c>
      <c r="B78" s="529" t="s">
        <v>63</v>
      </c>
      <c r="C78" s="548">
        <f>'egresos 25% y F.P'!C148</f>
        <v>0</v>
      </c>
      <c r="D78" s="431">
        <v>0</v>
      </c>
      <c r="E78" s="431">
        <v>0</v>
      </c>
      <c r="F78" s="431">
        <v>0</v>
      </c>
      <c r="G78" s="549">
        <f t="shared" si="20"/>
        <v>0</v>
      </c>
      <c r="H78" s="570">
        <f>'egresos 25% y F.P'!C44</f>
        <v>0</v>
      </c>
      <c r="I78" s="69">
        <f>'egresos 25% y F.P'!D44</f>
        <v>0</v>
      </c>
      <c r="J78" s="69">
        <f>'egresos 25% y F.P'!E44</f>
        <v>0</v>
      </c>
      <c r="K78" s="69">
        <f>'egresos 25% y F.P'!F44</f>
        <v>0</v>
      </c>
      <c r="L78" s="568">
        <f t="shared" si="22"/>
        <v>0</v>
      </c>
      <c r="M78" s="192">
        <v>0</v>
      </c>
      <c r="N78" s="69">
        <v>0</v>
      </c>
      <c r="O78" s="69">
        <v>0</v>
      </c>
      <c r="P78" s="69">
        <v>0</v>
      </c>
      <c r="Q78" s="69">
        <v>0</v>
      </c>
      <c r="R78" s="568">
        <f t="shared" si="23"/>
        <v>0</v>
      </c>
      <c r="S78" s="540">
        <v>0</v>
      </c>
      <c r="T78" s="572">
        <v>0</v>
      </c>
      <c r="U78" s="196">
        <v>0</v>
      </c>
      <c r="V78" s="506">
        <f t="shared" si="24"/>
        <v>0</v>
      </c>
      <c r="W78" s="196"/>
      <c r="X78" s="57"/>
      <c r="Y78" s="69"/>
      <c r="Z78" s="55"/>
      <c r="AA78" s="192"/>
      <c r="AB78" s="69"/>
      <c r="AC78" s="56"/>
      <c r="AD78" s="57"/>
      <c r="AE78" s="69"/>
      <c r="AF78" s="56"/>
      <c r="AG78" s="592">
        <f t="shared" si="25"/>
        <v>0</v>
      </c>
      <c r="AH78" s="412"/>
    </row>
    <row r="79" spans="1:34" s="64" customFormat="1" ht="18" hidden="1" customHeight="1" x14ac:dyDescent="0.2">
      <c r="A79" s="515">
        <v>54309</v>
      </c>
      <c r="B79" s="529" t="s">
        <v>64</v>
      </c>
      <c r="C79" s="548">
        <f>'egresos 25% y F.P'!C149</f>
        <v>0</v>
      </c>
      <c r="D79" s="431">
        <v>0</v>
      </c>
      <c r="E79" s="431">
        <v>0</v>
      </c>
      <c r="F79" s="431">
        <v>0</v>
      </c>
      <c r="G79" s="549">
        <f t="shared" si="20"/>
        <v>0</v>
      </c>
      <c r="H79" s="570">
        <f>'egresos 25% y F.P'!C45</f>
        <v>0</v>
      </c>
      <c r="I79" s="69">
        <f>'egresos 25% y F.P'!D45</f>
        <v>0</v>
      </c>
      <c r="J79" s="69">
        <f>'egresos 25% y F.P'!E45</f>
        <v>0</v>
      </c>
      <c r="K79" s="69">
        <f>'egresos 25% y F.P'!F45</f>
        <v>0</v>
      </c>
      <c r="L79" s="568">
        <f t="shared" si="22"/>
        <v>0</v>
      </c>
      <c r="M79" s="192">
        <v>0</v>
      </c>
      <c r="N79" s="69">
        <v>0</v>
      </c>
      <c r="O79" s="69">
        <v>0</v>
      </c>
      <c r="P79" s="69">
        <v>0</v>
      </c>
      <c r="Q79" s="69">
        <v>0</v>
      </c>
      <c r="R79" s="568">
        <f t="shared" si="23"/>
        <v>0</v>
      </c>
      <c r="S79" s="540">
        <v>0</v>
      </c>
      <c r="T79" s="572">
        <v>0</v>
      </c>
      <c r="U79" s="196">
        <v>0</v>
      </c>
      <c r="V79" s="506">
        <f t="shared" si="24"/>
        <v>0</v>
      </c>
      <c r="W79" s="196"/>
      <c r="X79" s="57"/>
      <c r="Y79" s="69"/>
      <c r="Z79" s="55"/>
      <c r="AA79" s="192"/>
      <c r="AB79" s="69"/>
      <c r="AC79" s="56"/>
      <c r="AD79" s="57"/>
      <c r="AE79" s="69"/>
      <c r="AF79" s="56"/>
      <c r="AG79" s="592">
        <f t="shared" si="25"/>
        <v>0</v>
      </c>
      <c r="AH79" s="412"/>
    </row>
    <row r="80" spans="1:34" s="64" customFormat="1" ht="18" customHeight="1" x14ac:dyDescent="0.2">
      <c r="A80" s="515">
        <v>54310</v>
      </c>
      <c r="B80" s="529" t="s">
        <v>65</v>
      </c>
      <c r="C80" s="548">
        <f>'egresos 25% y F.P'!C150</f>
        <v>0</v>
      </c>
      <c r="D80" s="431">
        <v>0</v>
      </c>
      <c r="E80" s="431">
        <v>0</v>
      </c>
      <c r="F80" s="431">
        <v>0</v>
      </c>
      <c r="G80" s="549">
        <f t="shared" si="20"/>
        <v>0</v>
      </c>
      <c r="H80" s="570">
        <f>'egresos 25% y F.P'!C46</f>
        <v>0</v>
      </c>
      <c r="I80" s="69">
        <f>'egresos 25% y F.P'!D46</f>
        <v>0</v>
      </c>
      <c r="J80" s="69">
        <f>'egresos 25% y F.P'!E46</f>
        <v>0</v>
      </c>
      <c r="K80" s="69">
        <f>'egresos 25% y F.P'!F46</f>
        <v>0</v>
      </c>
      <c r="L80" s="568">
        <f t="shared" si="22"/>
        <v>0</v>
      </c>
      <c r="M80" s="192">
        <v>0</v>
      </c>
      <c r="N80" s="69">
        <v>0</v>
      </c>
      <c r="O80" s="69">
        <v>0</v>
      </c>
      <c r="P80" s="69">
        <v>0</v>
      </c>
      <c r="Q80" s="69">
        <v>0</v>
      </c>
      <c r="R80" s="568">
        <f t="shared" si="23"/>
        <v>0</v>
      </c>
      <c r="S80" s="540">
        <v>0</v>
      </c>
      <c r="T80" s="572">
        <v>0</v>
      </c>
      <c r="U80" s="196">
        <v>0</v>
      </c>
      <c r="V80" s="506">
        <f t="shared" si="24"/>
        <v>0</v>
      </c>
      <c r="W80" s="196"/>
      <c r="X80" s="57"/>
      <c r="Y80" s="69"/>
      <c r="Z80" s="55"/>
      <c r="AA80" s="192"/>
      <c r="AB80" s="69"/>
      <c r="AC80" s="56"/>
      <c r="AD80" s="57"/>
      <c r="AE80" s="69"/>
      <c r="AF80" s="56"/>
      <c r="AG80" s="592">
        <f t="shared" si="25"/>
        <v>0</v>
      </c>
      <c r="AH80" s="412"/>
    </row>
    <row r="81" spans="1:34" s="64" customFormat="1" ht="18" hidden="1" customHeight="1" x14ac:dyDescent="0.2">
      <c r="A81" s="515">
        <v>54311</v>
      </c>
      <c r="B81" s="529" t="s">
        <v>66</v>
      </c>
      <c r="C81" s="548">
        <f>'egresos 25% y F.P'!C151</f>
        <v>0</v>
      </c>
      <c r="D81" s="431">
        <v>0</v>
      </c>
      <c r="E81" s="431">
        <v>0</v>
      </c>
      <c r="F81" s="431">
        <v>0</v>
      </c>
      <c r="G81" s="549">
        <f t="shared" si="20"/>
        <v>0</v>
      </c>
      <c r="H81" s="570">
        <f>'egresos 25% y F.P'!C47</f>
        <v>0</v>
      </c>
      <c r="I81" s="69">
        <f>'egresos 25% y F.P'!D47</f>
        <v>0</v>
      </c>
      <c r="J81" s="69">
        <f>'egresos 25% y F.P'!E47</f>
        <v>0</v>
      </c>
      <c r="K81" s="69">
        <f>'egresos 25% y F.P'!F47</f>
        <v>0</v>
      </c>
      <c r="L81" s="568">
        <f t="shared" si="22"/>
        <v>0</v>
      </c>
      <c r="M81" s="192">
        <v>0</v>
      </c>
      <c r="N81" s="69">
        <v>0</v>
      </c>
      <c r="O81" s="69">
        <v>0</v>
      </c>
      <c r="P81" s="69">
        <v>0</v>
      </c>
      <c r="Q81" s="69">
        <v>0</v>
      </c>
      <c r="R81" s="568">
        <f t="shared" si="23"/>
        <v>0</v>
      </c>
      <c r="S81" s="540">
        <v>0</v>
      </c>
      <c r="T81" s="572">
        <v>0</v>
      </c>
      <c r="U81" s="196">
        <v>0</v>
      </c>
      <c r="V81" s="506">
        <f t="shared" si="24"/>
        <v>0</v>
      </c>
      <c r="W81" s="196"/>
      <c r="X81" s="57"/>
      <c r="Y81" s="69"/>
      <c r="Z81" s="55"/>
      <c r="AA81" s="192"/>
      <c r="AB81" s="69"/>
      <c r="AC81" s="56"/>
      <c r="AD81" s="57"/>
      <c r="AE81" s="69"/>
      <c r="AF81" s="56"/>
      <c r="AG81" s="592">
        <f t="shared" si="25"/>
        <v>0</v>
      </c>
      <c r="AH81" s="412"/>
    </row>
    <row r="82" spans="1:34" s="64" customFormat="1" ht="18" hidden="1" customHeight="1" x14ac:dyDescent="0.2">
      <c r="A82" s="515">
        <v>54313</v>
      </c>
      <c r="B82" s="529" t="s">
        <v>67</v>
      </c>
      <c r="C82" s="548">
        <f>'egresos 25% y F.P'!C152</f>
        <v>0</v>
      </c>
      <c r="D82" s="431">
        <v>0</v>
      </c>
      <c r="E82" s="431">
        <v>0</v>
      </c>
      <c r="F82" s="431">
        <v>0</v>
      </c>
      <c r="G82" s="549">
        <f t="shared" si="20"/>
        <v>0</v>
      </c>
      <c r="H82" s="570">
        <f>'egresos 25% y F.P'!C48</f>
        <v>0</v>
      </c>
      <c r="I82" s="69">
        <f>'egresos 25% y F.P'!D48</f>
        <v>0</v>
      </c>
      <c r="J82" s="69">
        <f>'egresos 25% y F.P'!E48</f>
        <v>0</v>
      </c>
      <c r="K82" s="69">
        <f>'egresos 25% y F.P'!F48</f>
        <v>0</v>
      </c>
      <c r="L82" s="568">
        <f t="shared" si="22"/>
        <v>0</v>
      </c>
      <c r="M82" s="192">
        <v>0</v>
      </c>
      <c r="N82" s="69">
        <v>0</v>
      </c>
      <c r="O82" s="69">
        <v>0</v>
      </c>
      <c r="P82" s="69">
        <v>0</v>
      </c>
      <c r="Q82" s="69">
        <v>0</v>
      </c>
      <c r="R82" s="568">
        <f t="shared" si="23"/>
        <v>0</v>
      </c>
      <c r="S82" s="540">
        <v>0</v>
      </c>
      <c r="T82" s="572">
        <v>0</v>
      </c>
      <c r="U82" s="196">
        <v>0</v>
      </c>
      <c r="V82" s="506">
        <f t="shared" si="24"/>
        <v>0</v>
      </c>
      <c r="W82" s="196"/>
      <c r="X82" s="57"/>
      <c r="Y82" s="69"/>
      <c r="Z82" s="55"/>
      <c r="AA82" s="192"/>
      <c r="AB82" s="69"/>
      <c r="AC82" s="56"/>
      <c r="AD82" s="57"/>
      <c r="AE82" s="69"/>
      <c r="AF82" s="56"/>
      <c r="AG82" s="592">
        <f t="shared" si="25"/>
        <v>0</v>
      </c>
      <c r="AH82" s="412"/>
    </row>
    <row r="83" spans="1:34" s="64" customFormat="1" ht="18" customHeight="1" x14ac:dyDescent="0.2">
      <c r="A83" s="515">
        <v>54314</v>
      </c>
      <c r="B83" s="529" t="s">
        <v>68</v>
      </c>
      <c r="C83" s="548">
        <f>'egresos 25% y F.P'!C154</f>
        <v>5000</v>
      </c>
      <c r="D83" s="431">
        <v>0</v>
      </c>
      <c r="E83" s="431">
        <v>0</v>
      </c>
      <c r="F83" s="431">
        <v>0</v>
      </c>
      <c r="G83" s="549">
        <f t="shared" si="20"/>
        <v>5000</v>
      </c>
      <c r="H83" s="570">
        <f>'egresos 25% y F.P'!C49</f>
        <v>4000</v>
      </c>
      <c r="I83" s="69">
        <f>'egresos 25% y F.P'!D49</f>
        <v>0</v>
      </c>
      <c r="J83" s="69">
        <f>'egresos 25% y F.P'!E49</f>
        <v>0</v>
      </c>
      <c r="K83" s="69">
        <f>'egresos 25% y F.P'!F49</f>
        <v>0</v>
      </c>
      <c r="L83" s="568">
        <f t="shared" si="22"/>
        <v>4000</v>
      </c>
      <c r="M83" s="192">
        <v>0</v>
      </c>
      <c r="N83" s="69">
        <v>0</v>
      </c>
      <c r="O83" s="69">
        <v>0</v>
      </c>
      <c r="P83" s="69">
        <v>0</v>
      </c>
      <c r="Q83" s="69">
        <v>0</v>
      </c>
      <c r="R83" s="568">
        <f t="shared" si="23"/>
        <v>0</v>
      </c>
      <c r="S83" s="540">
        <v>0</v>
      </c>
      <c r="T83" s="572">
        <v>0</v>
      </c>
      <c r="U83" s="196">
        <v>0</v>
      </c>
      <c r="V83" s="506">
        <f t="shared" si="24"/>
        <v>0</v>
      </c>
      <c r="W83" s="196"/>
      <c r="X83" s="57"/>
      <c r="Y83" s="69"/>
      <c r="Z83" s="55"/>
      <c r="AA83" s="192"/>
      <c r="AB83" s="69"/>
      <c r="AC83" s="56"/>
      <c r="AD83" s="57"/>
      <c r="AE83" s="69"/>
      <c r="AF83" s="56"/>
      <c r="AG83" s="592">
        <f t="shared" si="25"/>
        <v>9000</v>
      </c>
      <c r="AH83" s="412"/>
    </row>
    <row r="84" spans="1:34" s="64" customFormat="1" ht="18" hidden="1" customHeight="1" x14ac:dyDescent="0.2">
      <c r="A84" s="515">
        <v>54316</v>
      </c>
      <c r="B84" s="529" t="s">
        <v>69</v>
      </c>
      <c r="C84" s="548"/>
      <c r="D84" s="431"/>
      <c r="E84" s="431"/>
      <c r="F84" s="434"/>
      <c r="G84" s="551">
        <f t="shared" si="20"/>
        <v>0</v>
      </c>
      <c r="H84" s="570">
        <f>'egresos 25% y F.P'!C50</f>
        <v>0</v>
      </c>
      <c r="I84" s="69">
        <f>'egresos 25% y F.P'!D50</f>
        <v>0</v>
      </c>
      <c r="J84" s="69">
        <f>'egresos 25% y F.P'!E50</f>
        <v>0</v>
      </c>
      <c r="K84" s="69">
        <f>'egresos 25% y F.P'!F50</f>
        <v>0</v>
      </c>
      <c r="L84" s="568">
        <f t="shared" si="22"/>
        <v>0</v>
      </c>
      <c r="M84" s="192">
        <v>0</v>
      </c>
      <c r="N84" s="69">
        <v>0</v>
      </c>
      <c r="O84" s="69">
        <v>0</v>
      </c>
      <c r="P84" s="69">
        <v>0</v>
      </c>
      <c r="Q84" s="69">
        <v>0</v>
      </c>
      <c r="R84" s="568">
        <f t="shared" si="23"/>
        <v>0</v>
      </c>
      <c r="S84" s="540">
        <v>0</v>
      </c>
      <c r="T84" s="572">
        <v>0</v>
      </c>
      <c r="U84" s="196">
        <v>0</v>
      </c>
      <c r="V84" s="506">
        <f t="shared" si="24"/>
        <v>0</v>
      </c>
      <c r="W84" s="196"/>
      <c r="X84" s="57"/>
      <c r="Y84" s="69"/>
      <c r="Z84" s="55"/>
      <c r="AA84" s="192"/>
      <c r="AB84" s="69"/>
      <c r="AC84" s="56"/>
      <c r="AD84" s="57"/>
      <c r="AE84" s="69"/>
      <c r="AF84" s="56"/>
      <c r="AG84" s="592">
        <f t="shared" si="25"/>
        <v>0</v>
      </c>
      <c r="AH84" s="412"/>
    </row>
    <row r="85" spans="1:34" s="64" customFormat="1" ht="18" customHeight="1" x14ac:dyDescent="0.2">
      <c r="A85" s="515">
        <v>54317</v>
      </c>
      <c r="B85" s="529" t="s">
        <v>70</v>
      </c>
      <c r="C85" s="548">
        <f>'egresos 25% y F.P'!C155</f>
        <v>0</v>
      </c>
      <c r="D85" s="431">
        <v>0</v>
      </c>
      <c r="E85" s="431">
        <v>0</v>
      </c>
      <c r="F85" s="434">
        <f>'egresos 25% y F.P'!F156</f>
        <v>750</v>
      </c>
      <c r="G85" s="546">
        <f t="shared" si="20"/>
        <v>750</v>
      </c>
      <c r="H85" s="570">
        <f>'egresos 25% y F.P'!C51</f>
        <v>0</v>
      </c>
      <c r="I85" s="69">
        <f>'egresos 25% y F.P'!D51</f>
        <v>0</v>
      </c>
      <c r="J85" s="69">
        <f>'egresos 25% y F.P'!E51</f>
        <v>0</v>
      </c>
      <c r="K85" s="69">
        <f>'egresos 25% y F.P'!F51</f>
        <v>750</v>
      </c>
      <c r="L85" s="568">
        <f t="shared" si="22"/>
        <v>750</v>
      </c>
      <c r="M85" s="192">
        <v>0</v>
      </c>
      <c r="N85" s="69">
        <v>0</v>
      </c>
      <c r="O85" s="69">
        <v>0</v>
      </c>
      <c r="P85" s="69">
        <v>0</v>
      </c>
      <c r="Q85" s="69">
        <v>0</v>
      </c>
      <c r="R85" s="568">
        <f t="shared" si="23"/>
        <v>0</v>
      </c>
      <c r="S85" s="540">
        <v>0</v>
      </c>
      <c r="T85" s="572">
        <v>0</v>
      </c>
      <c r="U85" s="196">
        <v>0</v>
      </c>
      <c r="V85" s="506">
        <f t="shared" si="24"/>
        <v>0</v>
      </c>
      <c r="W85" s="196"/>
      <c r="X85" s="57"/>
      <c r="Y85" s="69"/>
      <c r="Z85" s="55"/>
      <c r="AA85" s="192"/>
      <c r="AB85" s="69"/>
      <c r="AC85" s="56"/>
      <c r="AD85" s="57"/>
      <c r="AE85" s="69"/>
      <c r="AF85" s="56"/>
      <c r="AG85" s="592">
        <f t="shared" si="25"/>
        <v>1500</v>
      </c>
      <c r="AH85" s="412"/>
    </row>
    <row r="86" spans="1:34" s="64" customFormat="1" ht="18" customHeight="1" x14ac:dyDescent="0.2">
      <c r="A86" s="515">
        <v>54399</v>
      </c>
      <c r="B86" s="529" t="s">
        <v>71</v>
      </c>
      <c r="C86" s="548">
        <f>'egresos 25% y F.P'!C157</f>
        <v>600</v>
      </c>
      <c r="D86" s="431">
        <v>0</v>
      </c>
      <c r="E86" s="431">
        <v>0</v>
      </c>
      <c r="F86" s="434">
        <f>+'egresos 25% y F.P'!F157</f>
        <v>500</v>
      </c>
      <c r="G86" s="546">
        <f t="shared" si="20"/>
        <v>1100</v>
      </c>
      <c r="H86" s="570">
        <f>'egresos 25% y F.P'!C52</f>
        <v>500</v>
      </c>
      <c r="I86" s="69">
        <f>'egresos 25% y F.P'!D52</f>
        <v>0</v>
      </c>
      <c r="J86" s="69">
        <f>'egresos 25% y F.P'!E52</f>
        <v>0</v>
      </c>
      <c r="K86" s="69">
        <f>'egresos 25% y F.P'!F52</f>
        <v>350</v>
      </c>
      <c r="L86" s="568">
        <f t="shared" si="22"/>
        <v>850</v>
      </c>
      <c r="M86" s="192">
        <v>0</v>
      </c>
      <c r="N86" s="69">
        <v>0</v>
      </c>
      <c r="O86" s="69">
        <v>0</v>
      </c>
      <c r="P86" s="69">
        <v>0</v>
      </c>
      <c r="Q86" s="69">
        <v>0</v>
      </c>
      <c r="R86" s="568">
        <f t="shared" si="23"/>
        <v>0</v>
      </c>
      <c r="S86" s="540">
        <v>0</v>
      </c>
      <c r="T86" s="572">
        <v>0</v>
      </c>
      <c r="U86" s="196">
        <v>0</v>
      </c>
      <c r="V86" s="506">
        <f t="shared" si="24"/>
        <v>0</v>
      </c>
      <c r="W86" s="196"/>
      <c r="X86" s="57"/>
      <c r="Y86" s="69"/>
      <c r="Z86" s="55"/>
      <c r="AA86" s="192"/>
      <c r="AB86" s="69"/>
      <c r="AC86" s="56"/>
      <c r="AD86" s="57"/>
      <c r="AE86" s="69"/>
      <c r="AF86" s="56"/>
      <c r="AG86" s="592">
        <f t="shared" si="25"/>
        <v>1950</v>
      </c>
      <c r="AH86" s="412"/>
    </row>
    <row r="87" spans="1:34" s="64" customFormat="1" ht="18" customHeight="1" x14ac:dyDescent="0.2">
      <c r="A87" s="513">
        <v>544</v>
      </c>
      <c r="B87" s="530" t="s">
        <v>72</v>
      </c>
      <c r="C87" s="543">
        <f>SUM(C88:C91)</f>
        <v>150</v>
      </c>
      <c r="D87" s="430">
        <f>SUM(D88:D91)</f>
        <v>0</v>
      </c>
      <c r="E87" s="430">
        <f>SUM(E88:E91)</f>
        <v>0</v>
      </c>
      <c r="F87" s="435">
        <f>SUM(F88:F91)</f>
        <v>30</v>
      </c>
      <c r="G87" s="544">
        <f>SUM(C87:F87)</f>
        <v>180</v>
      </c>
      <c r="H87" s="571">
        <f>SUM(H88:H91)</f>
        <v>120</v>
      </c>
      <c r="I87" s="54">
        <f>SUM(I88:I90)</f>
        <v>30</v>
      </c>
      <c r="J87" s="54">
        <f>SUM(J88:J90)</f>
        <v>110</v>
      </c>
      <c r="K87" s="54">
        <f>SUM(K88:K90)</f>
        <v>30</v>
      </c>
      <c r="L87" s="566">
        <f>SUM(H87:K87)</f>
        <v>290</v>
      </c>
      <c r="M87" s="192">
        <v>0</v>
      </c>
      <c r="N87" s="69">
        <v>0</v>
      </c>
      <c r="O87" s="69">
        <v>0</v>
      </c>
      <c r="P87" s="69">
        <v>0</v>
      </c>
      <c r="Q87" s="69">
        <v>0</v>
      </c>
      <c r="R87" s="566">
        <f t="shared" si="23"/>
        <v>0</v>
      </c>
      <c r="S87" s="540">
        <v>0</v>
      </c>
      <c r="T87" s="572">
        <v>0</v>
      </c>
      <c r="U87" s="196">
        <v>0</v>
      </c>
      <c r="V87" s="505">
        <f t="shared" si="24"/>
        <v>0</v>
      </c>
      <c r="W87" s="196"/>
      <c r="X87" s="57"/>
      <c r="Y87" s="69"/>
      <c r="Z87" s="55"/>
      <c r="AA87" s="192"/>
      <c r="AB87" s="69"/>
      <c r="AC87" s="56"/>
      <c r="AD87" s="57"/>
      <c r="AE87" s="69"/>
      <c r="AF87" s="56"/>
      <c r="AG87" s="591">
        <f t="shared" si="25"/>
        <v>470</v>
      </c>
      <c r="AH87" s="412"/>
    </row>
    <row r="88" spans="1:34" s="64" customFormat="1" ht="18" customHeight="1" x14ac:dyDescent="0.2">
      <c r="A88" s="515">
        <v>54401</v>
      </c>
      <c r="B88" s="529" t="s">
        <v>73</v>
      </c>
      <c r="C88" s="548">
        <f>'egresos 25% y F.P'!C159</f>
        <v>100</v>
      </c>
      <c r="D88" s="431">
        <f>'egresos 25% y F.P'!D159</f>
        <v>0</v>
      </c>
      <c r="E88" s="431">
        <f>'egresos 25% y F.P'!E159</f>
        <v>0</v>
      </c>
      <c r="F88" s="431">
        <f>'egresos 25% y F.P'!F159</f>
        <v>30</v>
      </c>
      <c r="G88" s="549">
        <f t="shared" si="20"/>
        <v>130</v>
      </c>
      <c r="H88" s="570">
        <f>'egresos 25% y F.P'!C54</f>
        <v>100</v>
      </c>
      <c r="I88" s="69">
        <f>'egresos 25% y F.P'!D54</f>
        <v>20</v>
      </c>
      <c r="J88" s="69">
        <f>'egresos 25% y F.P'!E54</f>
        <v>100</v>
      </c>
      <c r="K88" s="69">
        <f>'egresos 25% y F.P'!F54</f>
        <v>20</v>
      </c>
      <c r="L88" s="568">
        <f>SUM(H88:K88)</f>
        <v>240</v>
      </c>
      <c r="M88" s="192">
        <v>0</v>
      </c>
      <c r="N88" s="69">
        <v>0</v>
      </c>
      <c r="O88" s="69">
        <v>0</v>
      </c>
      <c r="P88" s="69">
        <v>0</v>
      </c>
      <c r="Q88" s="69">
        <v>0</v>
      </c>
      <c r="R88" s="568">
        <f t="shared" si="23"/>
        <v>0</v>
      </c>
      <c r="S88" s="540">
        <v>0</v>
      </c>
      <c r="T88" s="572">
        <v>0</v>
      </c>
      <c r="U88" s="196">
        <v>0</v>
      </c>
      <c r="V88" s="506">
        <f t="shared" si="24"/>
        <v>0</v>
      </c>
      <c r="W88" s="196"/>
      <c r="X88" s="57"/>
      <c r="Y88" s="69"/>
      <c r="Z88" s="55"/>
      <c r="AA88" s="192"/>
      <c r="AB88" s="69"/>
      <c r="AC88" s="56"/>
      <c r="AD88" s="57"/>
      <c r="AE88" s="69"/>
      <c r="AF88" s="56"/>
      <c r="AG88" s="592">
        <f t="shared" si="25"/>
        <v>370</v>
      </c>
      <c r="AH88" s="412"/>
    </row>
    <row r="89" spans="1:34" s="64" customFormat="1" ht="18" hidden="1" customHeight="1" x14ac:dyDescent="0.2">
      <c r="A89" s="515">
        <v>54402</v>
      </c>
      <c r="B89" s="529" t="s">
        <v>74</v>
      </c>
      <c r="C89" s="548"/>
      <c r="D89" s="431"/>
      <c r="E89" s="434"/>
      <c r="F89" s="434"/>
      <c r="G89" s="546">
        <f t="shared" si="20"/>
        <v>0</v>
      </c>
      <c r="H89" s="570"/>
      <c r="I89" s="69"/>
      <c r="J89" s="69"/>
      <c r="K89" s="69"/>
      <c r="L89" s="568">
        <f>SUM(H89:J89)</f>
        <v>0</v>
      </c>
      <c r="M89" s="192">
        <v>0</v>
      </c>
      <c r="N89" s="69">
        <v>0</v>
      </c>
      <c r="O89" s="69">
        <v>0</v>
      </c>
      <c r="P89" s="69">
        <v>0</v>
      </c>
      <c r="Q89" s="69">
        <v>0</v>
      </c>
      <c r="R89" s="568">
        <f t="shared" si="23"/>
        <v>0</v>
      </c>
      <c r="S89" s="540">
        <v>0</v>
      </c>
      <c r="T89" s="572">
        <v>0</v>
      </c>
      <c r="U89" s="196">
        <v>0</v>
      </c>
      <c r="V89" s="506">
        <f t="shared" si="24"/>
        <v>0</v>
      </c>
      <c r="W89" s="196"/>
      <c r="X89" s="57"/>
      <c r="Y89" s="69"/>
      <c r="Z89" s="55"/>
      <c r="AA89" s="192"/>
      <c r="AB89" s="69"/>
      <c r="AC89" s="56"/>
      <c r="AD89" s="57"/>
      <c r="AE89" s="69"/>
      <c r="AF89" s="56"/>
      <c r="AG89" s="592">
        <f t="shared" si="25"/>
        <v>0</v>
      </c>
      <c r="AH89" s="412"/>
    </row>
    <row r="90" spans="1:34" s="64" customFormat="1" ht="18" customHeight="1" x14ac:dyDescent="0.2">
      <c r="A90" s="515">
        <v>54403</v>
      </c>
      <c r="B90" s="529" t="s">
        <v>75</v>
      </c>
      <c r="C90" s="548">
        <f>'egresos 25% y F.P'!C161</f>
        <v>50</v>
      </c>
      <c r="D90" s="431">
        <f>'egresos 25% y F.P'!D161</f>
        <v>0</v>
      </c>
      <c r="E90" s="434">
        <f>'egresos 25% y F.P'!E161</f>
        <v>0</v>
      </c>
      <c r="F90" s="434">
        <f>'egresos 25% y F.P'!F161</f>
        <v>0</v>
      </c>
      <c r="G90" s="546">
        <f>SUM(C90:F90)</f>
        <v>50</v>
      </c>
      <c r="H90" s="570">
        <f>'egresos 25% y F.P'!C56</f>
        <v>20</v>
      </c>
      <c r="I90" s="69">
        <f>'egresos 25% y F.P'!D56</f>
        <v>10</v>
      </c>
      <c r="J90" s="69">
        <f>'egresos 25% y F.P'!E56</f>
        <v>10</v>
      </c>
      <c r="K90" s="69">
        <f>'egresos 25% y F.P'!F56</f>
        <v>10</v>
      </c>
      <c r="L90" s="568">
        <f>SUM(H90:K90)</f>
        <v>50</v>
      </c>
      <c r="M90" s="192">
        <v>0</v>
      </c>
      <c r="N90" s="69">
        <v>0</v>
      </c>
      <c r="O90" s="69">
        <v>0</v>
      </c>
      <c r="P90" s="69">
        <v>0</v>
      </c>
      <c r="Q90" s="69">
        <v>0</v>
      </c>
      <c r="R90" s="568">
        <f t="shared" si="23"/>
        <v>0</v>
      </c>
      <c r="S90" s="540">
        <v>0</v>
      </c>
      <c r="T90" s="572">
        <v>0</v>
      </c>
      <c r="U90" s="196">
        <v>0</v>
      </c>
      <c r="V90" s="506">
        <f t="shared" si="24"/>
        <v>0</v>
      </c>
      <c r="W90" s="196"/>
      <c r="X90" s="57"/>
      <c r="Y90" s="69"/>
      <c r="Z90" s="55"/>
      <c r="AA90" s="192"/>
      <c r="AB90" s="69"/>
      <c r="AC90" s="56"/>
      <c r="AD90" s="57"/>
      <c r="AE90" s="69"/>
      <c r="AF90" s="56"/>
      <c r="AG90" s="592">
        <f t="shared" si="25"/>
        <v>100</v>
      </c>
      <c r="AH90" s="412"/>
    </row>
    <row r="91" spans="1:34" s="64" customFormat="1" ht="18" customHeight="1" x14ac:dyDescent="0.2">
      <c r="A91" s="515">
        <v>54404</v>
      </c>
      <c r="B91" s="529" t="s">
        <v>76</v>
      </c>
      <c r="C91" s="548">
        <f>'egresos 25% y F.P'!C162</f>
        <v>0</v>
      </c>
      <c r="D91" s="431">
        <f>'egresos 25% y F.P'!D162</f>
        <v>0</v>
      </c>
      <c r="E91" s="434">
        <f>'egresos 25% y F.P'!E162</f>
        <v>0</v>
      </c>
      <c r="F91" s="434">
        <f>'egresos 25% y F.P'!F162</f>
        <v>0</v>
      </c>
      <c r="G91" s="546">
        <f t="shared" si="20"/>
        <v>0</v>
      </c>
      <c r="H91" s="570">
        <f>'egresos 25% y F.P'!C57</f>
        <v>0</v>
      </c>
      <c r="I91" s="69">
        <f>'egresos 25% y F.P'!D41</f>
        <v>0</v>
      </c>
      <c r="J91" s="69">
        <f>'egresos 25% y F.P'!E41</f>
        <v>0</v>
      </c>
      <c r="K91" s="69">
        <f>'egresos 25% y F.P'!F41</f>
        <v>0</v>
      </c>
      <c r="L91" s="568">
        <f t="shared" ref="L91:L100" si="26">SUM(H91:J91)</f>
        <v>0</v>
      </c>
      <c r="M91" s="192">
        <v>0</v>
      </c>
      <c r="N91" s="69">
        <v>0</v>
      </c>
      <c r="O91" s="69">
        <v>0</v>
      </c>
      <c r="P91" s="69">
        <v>0</v>
      </c>
      <c r="Q91" s="69">
        <v>0</v>
      </c>
      <c r="R91" s="568">
        <f t="shared" si="23"/>
        <v>0</v>
      </c>
      <c r="S91" s="540">
        <v>0</v>
      </c>
      <c r="T91" s="572">
        <v>0</v>
      </c>
      <c r="U91" s="196">
        <v>0</v>
      </c>
      <c r="V91" s="506">
        <f t="shared" si="24"/>
        <v>0</v>
      </c>
      <c r="W91" s="196"/>
      <c r="X91" s="57"/>
      <c r="Y91" s="69"/>
      <c r="Z91" s="55"/>
      <c r="AA91" s="192"/>
      <c r="AB91" s="69"/>
      <c r="AC91" s="56"/>
      <c r="AD91" s="57"/>
      <c r="AE91" s="69"/>
      <c r="AF91" s="56"/>
      <c r="AG91" s="592">
        <f t="shared" si="25"/>
        <v>0</v>
      </c>
      <c r="AH91" s="412"/>
    </row>
    <row r="92" spans="1:34" s="59" customFormat="1" ht="18" customHeight="1" x14ac:dyDescent="0.2">
      <c r="A92" s="517">
        <v>545</v>
      </c>
      <c r="B92" s="531" t="s">
        <v>77</v>
      </c>
      <c r="C92" s="543">
        <f>SUM(C93)</f>
        <v>600</v>
      </c>
      <c r="D92" s="433">
        <v>0</v>
      </c>
      <c r="E92" s="436">
        <v>0</v>
      </c>
      <c r="F92" s="436">
        <v>0</v>
      </c>
      <c r="G92" s="544">
        <f>SUM(C92:F92)</f>
        <v>600</v>
      </c>
      <c r="H92" s="571">
        <f>SUM(H93)</f>
        <v>700</v>
      </c>
      <c r="I92" s="54">
        <v>0</v>
      </c>
      <c r="J92" s="54">
        <v>0</v>
      </c>
      <c r="K92" s="54">
        <v>0</v>
      </c>
      <c r="L92" s="566">
        <f>SUM(L93)</f>
        <v>700</v>
      </c>
      <c r="M92" s="53">
        <v>0</v>
      </c>
      <c r="N92" s="54">
        <v>0</v>
      </c>
      <c r="O92" s="54">
        <v>0</v>
      </c>
      <c r="P92" s="54">
        <v>0</v>
      </c>
      <c r="Q92" s="54">
        <v>0</v>
      </c>
      <c r="R92" s="568">
        <f t="shared" si="23"/>
        <v>0</v>
      </c>
      <c r="S92" s="493">
        <f>+S94</f>
        <v>14973.19</v>
      </c>
      <c r="T92" s="571">
        <v>0</v>
      </c>
      <c r="U92" s="53">
        <v>0</v>
      </c>
      <c r="V92" s="505">
        <f t="shared" si="24"/>
        <v>0</v>
      </c>
      <c r="W92" s="53"/>
      <c r="X92" s="52"/>
      <c r="Y92" s="54"/>
      <c r="Z92" s="61"/>
      <c r="AA92" s="53"/>
      <c r="AB92" s="54"/>
      <c r="AC92" s="141"/>
      <c r="AD92" s="52"/>
      <c r="AE92" s="54"/>
      <c r="AF92" s="141"/>
      <c r="AG92" s="591">
        <f>+L92+R92+G92+Z92+AC92+AF92+S92+V92+W92</f>
        <v>16273.19</v>
      </c>
      <c r="AH92" s="635"/>
    </row>
    <row r="93" spans="1:34" s="64" customFormat="1" ht="18" customHeight="1" x14ac:dyDescent="0.2">
      <c r="A93" s="518">
        <v>54503</v>
      </c>
      <c r="B93" s="532" t="s">
        <v>79</v>
      </c>
      <c r="C93" s="548">
        <f>+'egresos 25% y F.P'!C165</f>
        <v>600</v>
      </c>
      <c r="D93" s="431">
        <v>0</v>
      </c>
      <c r="E93" s="434">
        <v>0</v>
      </c>
      <c r="F93" s="434">
        <v>0</v>
      </c>
      <c r="G93" s="546">
        <f>SUM(C93:F93)</f>
        <v>600</v>
      </c>
      <c r="H93" s="570">
        <f>+'egresos 25% y F.P'!C60</f>
        <v>700</v>
      </c>
      <c r="I93" s="69">
        <v>0</v>
      </c>
      <c r="J93" s="69">
        <v>0</v>
      </c>
      <c r="K93" s="69">
        <v>0</v>
      </c>
      <c r="L93" s="568">
        <f>+'egresos 25% y F.P'!G60</f>
        <v>700</v>
      </c>
      <c r="M93" s="192">
        <v>0</v>
      </c>
      <c r="N93" s="69">
        <v>0</v>
      </c>
      <c r="O93" s="69">
        <v>0</v>
      </c>
      <c r="P93" s="69">
        <v>0</v>
      </c>
      <c r="Q93" s="69">
        <v>0</v>
      </c>
      <c r="R93" s="568">
        <f t="shared" si="23"/>
        <v>0</v>
      </c>
      <c r="S93" s="540">
        <v>0</v>
      </c>
      <c r="T93" s="572">
        <v>0</v>
      </c>
      <c r="U93" s="196">
        <v>0</v>
      </c>
      <c r="V93" s="506">
        <f t="shared" si="24"/>
        <v>0</v>
      </c>
      <c r="W93" s="196"/>
      <c r="X93" s="57"/>
      <c r="Y93" s="69"/>
      <c r="Z93" s="55"/>
      <c r="AA93" s="192"/>
      <c r="AB93" s="69"/>
      <c r="AC93" s="56"/>
      <c r="AD93" s="57"/>
      <c r="AE93" s="69"/>
      <c r="AF93" s="56"/>
      <c r="AG93" s="592">
        <f t="shared" si="25"/>
        <v>1300</v>
      </c>
      <c r="AH93" s="412"/>
    </row>
    <row r="94" spans="1:34" s="64" customFormat="1" ht="18" customHeight="1" x14ac:dyDescent="0.2">
      <c r="A94" s="515">
        <v>54599</v>
      </c>
      <c r="B94" s="529" t="s">
        <v>570</v>
      </c>
      <c r="C94" s="548">
        <v>0</v>
      </c>
      <c r="D94" s="431">
        <v>0</v>
      </c>
      <c r="E94" s="434">
        <v>0</v>
      </c>
      <c r="F94" s="434">
        <v>0</v>
      </c>
      <c r="G94" s="546">
        <v>0</v>
      </c>
      <c r="H94" s="570">
        <v>0</v>
      </c>
      <c r="I94" s="69">
        <v>0</v>
      </c>
      <c r="J94" s="69">
        <v>0</v>
      </c>
      <c r="K94" s="69">
        <v>0</v>
      </c>
      <c r="L94" s="568">
        <v>0</v>
      </c>
      <c r="M94" s="192">
        <v>0</v>
      </c>
      <c r="N94" s="69">
        <v>0</v>
      </c>
      <c r="O94" s="69">
        <v>0</v>
      </c>
      <c r="P94" s="69">
        <v>0</v>
      </c>
      <c r="Q94" s="69">
        <v>0</v>
      </c>
      <c r="R94" s="568">
        <v>0</v>
      </c>
      <c r="S94" s="540">
        <f>+'AG4'!F16</f>
        <v>14973.19</v>
      </c>
      <c r="T94" s="572">
        <v>0</v>
      </c>
      <c r="U94" s="196">
        <v>0</v>
      </c>
      <c r="V94" s="506">
        <v>0</v>
      </c>
      <c r="W94" s="196"/>
      <c r="X94" s="57"/>
      <c r="Y94" s="69"/>
      <c r="Z94" s="55"/>
      <c r="AA94" s="192"/>
      <c r="AB94" s="69"/>
      <c r="AC94" s="56"/>
      <c r="AD94" s="57"/>
      <c r="AE94" s="69"/>
      <c r="AF94" s="56"/>
      <c r="AG94" s="592">
        <f t="shared" si="25"/>
        <v>14973.19</v>
      </c>
      <c r="AH94" s="412"/>
    </row>
    <row r="95" spans="1:34" s="64" customFormat="1" ht="18" customHeight="1" x14ac:dyDescent="0.2">
      <c r="A95" s="513">
        <v>55</v>
      </c>
      <c r="B95" s="530" t="s">
        <v>85</v>
      </c>
      <c r="C95" s="552">
        <f>+C96+C102+C104</f>
        <v>0</v>
      </c>
      <c r="D95" s="430">
        <f>D96+D104+D108</f>
        <v>150</v>
      </c>
      <c r="E95" s="435">
        <f>E96+E104+E108</f>
        <v>0</v>
      </c>
      <c r="F95" s="435">
        <f>F96+F104+F108</f>
        <v>0</v>
      </c>
      <c r="G95" s="544">
        <f>F95+D95+C95</f>
        <v>150</v>
      </c>
      <c r="H95" s="571">
        <f>H96+H104+H108</f>
        <v>0</v>
      </c>
      <c r="I95" s="54">
        <f>I96+I104+I108</f>
        <v>100</v>
      </c>
      <c r="J95" s="54">
        <f>J96+J104+J108</f>
        <v>0</v>
      </c>
      <c r="K95" s="54">
        <f>K96+K104+K108</f>
        <v>0</v>
      </c>
      <c r="L95" s="566">
        <f t="shared" si="26"/>
        <v>100</v>
      </c>
      <c r="M95" s="196">
        <v>0</v>
      </c>
      <c r="N95" s="194">
        <v>0</v>
      </c>
      <c r="O95" s="194">
        <v>0</v>
      </c>
      <c r="P95" s="54">
        <f>P96+P104</f>
        <v>31982.14</v>
      </c>
      <c r="Q95" s="54">
        <f>Q96+Q104</f>
        <v>3600</v>
      </c>
      <c r="R95" s="566">
        <f>M95+N95+O95+P95+Q95</f>
        <v>35582.14</v>
      </c>
      <c r="S95" s="493">
        <v>0</v>
      </c>
      <c r="T95" s="571">
        <v>0</v>
      </c>
      <c r="U95" s="53">
        <v>0</v>
      </c>
      <c r="V95" s="505">
        <f t="shared" si="24"/>
        <v>0</v>
      </c>
      <c r="W95" s="196"/>
      <c r="X95" s="57"/>
      <c r="Y95" s="69"/>
      <c r="Z95" s="55"/>
      <c r="AA95" s="192"/>
      <c r="AB95" s="69"/>
      <c r="AC95" s="56"/>
      <c r="AD95" s="57"/>
      <c r="AE95" s="69"/>
      <c r="AF95" s="56"/>
      <c r="AG95" s="591">
        <f>+L95+R95+G95+Z95+AC95+AF95+S95+V95+W95</f>
        <v>35832.14</v>
      </c>
      <c r="AH95" s="412"/>
    </row>
    <row r="96" spans="1:34" s="64" customFormat="1" ht="18" customHeight="1" x14ac:dyDescent="0.2">
      <c r="A96" s="513">
        <v>553</v>
      </c>
      <c r="B96" s="530" t="s">
        <v>86</v>
      </c>
      <c r="C96" s="552">
        <f>C98+C99+C100</f>
        <v>0</v>
      </c>
      <c r="D96" s="430">
        <f>D98+D99+D100</f>
        <v>0</v>
      </c>
      <c r="E96" s="430">
        <f>E98+E99+E100</f>
        <v>0</v>
      </c>
      <c r="F96" s="435">
        <f>F98+F99+F100</f>
        <v>0</v>
      </c>
      <c r="G96" s="544">
        <v>0</v>
      </c>
      <c r="H96" s="571">
        <f>SUM(H98:H100)</f>
        <v>0</v>
      </c>
      <c r="I96" s="54">
        <f>SUM(I98:I100)</f>
        <v>0</v>
      </c>
      <c r="J96" s="54">
        <f>SUM(J98:J100)</f>
        <v>0</v>
      </c>
      <c r="K96" s="54">
        <f>SUM(K98:K100)</f>
        <v>0</v>
      </c>
      <c r="L96" s="566">
        <f t="shared" si="26"/>
        <v>0</v>
      </c>
      <c r="M96" s="196">
        <v>0</v>
      </c>
      <c r="N96" s="194">
        <v>0</v>
      </c>
      <c r="O96" s="194">
        <v>0</v>
      </c>
      <c r="P96" s="54">
        <f>SUM(P97:P103)</f>
        <v>31982.14</v>
      </c>
      <c r="Q96" s="54">
        <f>SUM(Q97:Q103)</f>
        <v>3600</v>
      </c>
      <c r="R96" s="566">
        <f>M96+N96+O96+P96+Q96</f>
        <v>35582.14</v>
      </c>
      <c r="S96" s="493">
        <v>0</v>
      </c>
      <c r="T96" s="571">
        <v>0</v>
      </c>
      <c r="U96" s="53">
        <v>0</v>
      </c>
      <c r="V96" s="505">
        <f t="shared" si="24"/>
        <v>0</v>
      </c>
      <c r="W96" s="196"/>
      <c r="X96" s="57"/>
      <c r="Y96" s="69"/>
      <c r="Z96" s="55"/>
      <c r="AA96" s="192"/>
      <c r="AB96" s="69"/>
      <c r="AC96" s="56"/>
      <c r="AD96" s="57"/>
      <c r="AE96" s="69"/>
      <c r="AF96" s="56"/>
      <c r="AG96" s="591">
        <f t="shared" si="25"/>
        <v>35582.14</v>
      </c>
      <c r="AH96" s="412"/>
    </row>
    <row r="97" spans="1:34" s="63" customFormat="1" ht="18" customHeight="1" x14ac:dyDescent="0.2">
      <c r="A97" s="519">
        <v>55302</v>
      </c>
      <c r="B97" s="533" t="s">
        <v>604</v>
      </c>
      <c r="C97" s="623">
        <v>0</v>
      </c>
      <c r="D97" s="624">
        <v>0</v>
      </c>
      <c r="E97" s="625">
        <v>0</v>
      </c>
      <c r="F97" s="626">
        <v>0</v>
      </c>
      <c r="G97" s="549">
        <v>0</v>
      </c>
      <c r="H97" s="627">
        <v>0</v>
      </c>
      <c r="I97" s="628">
        <v>0</v>
      </c>
      <c r="J97" s="628">
        <v>0</v>
      </c>
      <c r="K97" s="628">
        <v>0</v>
      </c>
      <c r="L97" s="629">
        <f t="shared" si="26"/>
        <v>0</v>
      </c>
      <c r="M97" s="193">
        <v>0</v>
      </c>
      <c r="N97" s="628">
        <v>0</v>
      </c>
      <c r="O97" s="628">
        <v>0</v>
      </c>
      <c r="P97" s="194">
        <v>0</v>
      </c>
      <c r="Q97" s="628">
        <f>'AG5'!C19</f>
        <v>3600</v>
      </c>
      <c r="R97" s="568">
        <f>M97+N97+O97+P97+Q97</f>
        <v>3600</v>
      </c>
      <c r="S97" s="630">
        <v>0</v>
      </c>
      <c r="T97" s="627">
        <v>0</v>
      </c>
      <c r="U97" s="193"/>
      <c r="V97" s="631"/>
      <c r="W97" s="193"/>
      <c r="X97" s="632"/>
      <c r="Y97" s="628"/>
      <c r="Z97" s="633"/>
      <c r="AA97" s="193"/>
      <c r="AB97" s="628"/>
      <c r="AC97" s="634"/>
      <c r="AD97" s="632"/>
      <c r="AE97" s="628"/>
      <c r="AF97" s="634"/>
      <c r="AG97" s="592">
        <f t="shared" si="25"/>
        <v>3600</v>
      </c>
      <c r="AH97" s="636"/>
    </row>
    <row r="98" spans="1:34" s="64" customFormat="1" ht="18" hidden="1" customHeight="1" x14ac:dyDescent="0.2">
      <c r="A98" s="515">
        <v>55303</v>
      </c>
      <c r="B98" s="529" t="s">
        <v>87</v>
      </c>
      <c r="C98" s="553"/>
      <c r="D98" s="437"/>
      <c r="E98" s="438"/>
      <c r="F98" s="439"/>
      <c r="G98" s="549">
        <v>0</v>
      </c>
      <c r="H98" s="570"/>
      <c r="I98" s="69"/>
      <c r="J98" s="69"/>
      <c r="K98" s="69"/>
      <c r="L98" s="629">
        <f t="shared" si="26"/>
        <v>0</v>
      </c>
      <c r="M98" s="196">
        <v>0</v>
      </c>
      <c r="N98" s="194">
        <v>0</v>
      </c>
      <c r="O98" s="194">
        <v>0</v>
      </c>
      <c r="P98" s="194">
        <f>+'AG5'!C20</f>
        <v>0</v>
      </c>
      <c r="Q98" s="194"/>
      <c r="R98" s="568">
        <f t="shared" ref="R98" si="27">M98+N98+O98+P98+Q98</f>
        <v>0</v>
      </c>
      <c r="S98" s="540"/>
      <c r="T98" s="572"/>
      <c r="U98" s="196"/>
      <c r="V98" s="506">
        <f t="shared" si="24"/>
        <v>0</v>
      </c>
      <c r="W98" s="196"/>
      <c r="X98" s="57"/>
      <c r="Y98" s="69"/>
      <c r="Z98" s="55"/>
      <c r="AA98" s="192"/>
      <c r="AB98" s="69"/>
      <c r="AC98" s="56"/>
      <c r="AD98" s="57"/>
      <c r="AE98" s="69"/>
      <c r="AF98" s="56"/>
      <c r="AG98" s="592">
        <f t="shared" si="25"/>
        <v>0</v>
      </c>
      <c r="AH98" s="412"/>
    </row>
    <row r="99" spans="1:34" s="64" customFormat="1" ht="18" customHeight="1" x14ac:dyDescent="0.2">
      <c r="A99" s="515">
        <v>55304</v>
      </c>
      <c r="B99" s="529" t="s">
        <v>88</v>
      </c>
      <c r="C99" s="553">
        <v>0</v>
      </c>
      <c r="D99" s="437">
        <v>0</v>
      </c>
      <c r="E99" s="438">
        <v>0</v>
      </c>
      <c r="F99" s="438">
        <v>0</v>
      </c>
      <c r="G99" s="549">
        <v>0</v>
      </c>
      <c r="H99" s="570">
        <v>0</v>
      </c>
      <c r="I99" s="69">
        <v>0</v>
      </c>
      <c r="J99" s="69">
        <v>0</v>
      </c>
      <c r="K99" s="69">
        <v>0</v>
      </c>
      <c r="L99" s="629">
        <f t="shared" si="26"/>
        <v>0</v>
      </c>
      <c r="M99" s="196">
        <v>0</v>
      </c>
      <c r="N99" s="194">
        <v>0</v>
      </c>
      <c r="O99" s="194">
        <v>0</v>
      </c>
      <c r="P99" s="194">
        <f>+'AG5'!C21</f>
        <v>31982.14</v>
      </c>
      <c r="Q99" s="194">
        <v>0</v>
      </c>
      <c r="R99" s="568">
        <f>M99+N99+O99+P99+Q99</f>
        <v>31982.14</v>
      </c>
      <c r="S99" s="540">
        <v>0</v>
      </c>
      <c r="T99" s="572">
        <v>0</v>
      </c>
      <c r="U99" s="196">
        <v>0</v>
      </c>
      <c r="V99" s="506">
        <v>0</v>
      </c>
      <c r="W99" s="196"/>
      <c r="X99" s="57"/>
      <c r="Y99" s="69"/>
      <c r="Z99" s="55"/>
      <c r="AA99" s="192"/>
      <c r="AB99" s="69"/>
      <c r="AC99" s="56"/>
      <c r="AD99" s="57"/>
      <c r="AE99" s="69"/>
      <c r="AF99" s="56"/>
      <c r="AG99" s="592">
        <f t="shared" si="25"/>
        <v>31982.14</v>
      </c>
      <c r="AH99" s="412"/>
    </row>
    <row r="100" spans="1:34" s="64" customFormat="1" ht="18" hidden="1" customHeight="1" x14ac:dyDescent="0.2">
      <c r="A100" s="515">
        <v>55306</v>
      </c>
      <c r="B100" s="529" t="s">
        <v>262</v>
      </c>
      <c r="C100" s="553"/>
      <c r="D100" s="437"/>
      <c r="E100" s="438"/>
      <c r="F100" s="438"/>
      <c r="G100" s="549"/>
      <c r="H100" s="570">
        <v>0</v>
      </c>
      <c r="I100" s="69">
        <v>0</v>
      </c>
      <c r="J100" s="69">
        <v>0</v>
      </c>
      <c r="K100" s="69">
        <v>0</v>
      </c>
      <c r="L100" s="629">
        <f t="shared" si="26"/>
        <v>0</v>
      </c>
      <c r="M100" s="196">
        <v>0</v>
      </c>
      <c r="N100" s="194">
        <v>0</v>
      </c>
      <c r="O100" s="194">
        <v>0</v>
      </c>
      <c r="P100" s="194"/>
      <c r="Q100" s="194"/>
      <c r="R100" s="568">
        <f>M100+N100+O100+P100</f>
        <v>0</v>
      </c>
      <c r="S100" s="540">
        <v>0</v>
      </c>
      <c r="T100" s="572">
        <v>0</v>
      </c>
      <c r="U100" s="196">
        <v>0</v>
      </c>
      <c r="V100" s="506">
        <v>0</v>
      </c>
      <c r="W100" s="196"/>
      <c r="X100" s="57"/>
      <c r="Y100" s="69"/>
      <c r="Z100" s="55"/>
      <c r="AA100" s="192"/>
      <c r="AB100" s="69"/>
      <c r="AC100" s="56"/>
      <c r="AD100" s="57"/>
      <c r="AE100" s="69"/>
      <c r="AF100" s="56"/>
      <c r="AG100" s="592">
        <f t="shared" si="25"/>
        <v>0</v>
      </c>
      <c r="AH100" s="412"/>
    </row>
    <row r="101" spans="1:34" s="64" customFormat="1" ht="18" hidden="1" customHeight="1" x14ac:dyDescent="0.2">
      <c r="A101" s="515">
        <v>55308</v>
      </c>
      <c r="B101" s="529" t="s">
        <v>242</v>
      </c>
      <c r="C101" s="553"/>
      <c r="D101" s="437"/>
      <c r="E101" s="438"/>
      <c r="F101" s="438"/>
      <c r="G101" s="549"/>
      <c r="H101" s="570">
        <v>0</v>
      </c>
      <c r="I101" s="69">
        <v>0</v>
      </c>
      <c r="J101" s="69">
        <v>0</v>
      </c>
      <c r="K101" s="69">
        <v>0</v>
      </c>
      <c r="L101" s="629"/>
      <c r="M101" s="196">
        <v>0</v>
      </c>
      <c r="N101" s="194">
        <v>0</v>
      </c>
      <c r="O101" s="194">
        <v>0</v>
      </c>
      <c r="P101" s="194"/>
      <c r="Q101" s="194"/>
      <c r="R101" s="568"/>
      <c r="S101" s="540">
        <v>0</v>
      </c>
      <c r="T101" s="572">
        <v>0</v>
      </c>
      <c r="U101" s="196">
        <v>0</v>
      </c>
      <c r="V101" s="506">
        <v>0</v>
      </c>
      <c r="W101" s="196"/>
      <c r="X101" s="57"/>
      <c r="Y101" s="69"/>
      <c r="Z101" s="55"/>
      <c r="AA101" s="192"/>
      <c r="AB101" s="69"/>
      <c r="AC101" s="56"/>
      <c r="AD101" s="57"/>
      <c r="AE101" s="69"/>
      <c r="AF101" s="56"/>
      <c r="AG101" s="592">
        <f t="shared" si="25"/>
        <v>0</v>
      </c>
      <c r="AH101" s="412"/>
    </row>
    <row r="102" spans="1:34" s="64" customFormat="1" ht="18" customHeight="1" x14ac:dyDescent="0.2">
      <c r="A102" s="513">
        <v>555</v>
      </c>
      <c r="B102" s="529" t="s">
        <v>539</v>
      </c>
      <c r="C102" s="552">
        <f>SUM(C103)</f>
        <v>0</v>
      </c>
      <c r="D102" s="430">
        <v>0</v>
      </c>
      <c r="E102" s="433">
        <v>0</v>
      </c>
      <c r="F102" s="433">
        <v>0</v>
      </c>
      <c r="G102" s="550">
        <f>+C102+D102+E102+F102</f>
        <v>0</v>
      </c>
      <c r="H102" s="570">
        <v>0</v>
      </c>
      <c r="I102" s="69">
        <v>0</v>
      </c>
      <c r="J102" s="69">
        <v>0</v>
      </c>
      <c r="K102" s="69">
        <v>0</v>
      </c>
      <c r="L102" s="629">
        <v>0</v>
      </c>
      <c r="M102" s="196">
        <v>0</v>
      </c>
      <c r="N102" s="194">
        <v>0</v>
      </c>
      <c r="O102" s="194">
        <v>0</v>
      </c>
      <c r="P102" s="194">
        <v>0</v>
      </c>
      <c r="Q102" s="194">
        <v>0</v>
      </c>
      <c r="R102" s="568">
        <v>0</v>
      </c>
      <c r="S102" s="540">
        <v>0</v>
      </c>
      <c r="T102" s="572">
        <v>0</v>
      </c>
      <c r="U102" s="196">
        <v>0</v>
      </c>
      <c r="V102" s="506">
        <v>0</v>
      </c>
      <c r="W102" s="196"/>
      <c r="X102" s="57"/>
      <c r="Y102" s="69"/>
      <c r="Z102" s="55"/>
      <c r="AA102" s="192"/>
      <c r="AB102" s="69"/>
      <c r="AC102" s="56"/>
      <c r="AD102" s="57"/>
      <c r="AE102" s="69"/>
      <c r="AF102" s="56"/>
      <c r="AG102" s="592">
        <f>+L102+R102+G102+Z102+AC102+AF102+S102+V102+W102</f>
        <v>0</v>
      </c>
      <c r="AH102" s="412"/>
    </row>
    <row r="103" spans="1:34" s="64" customFormat="1" ht="18" customHeight="1" x14ac:dyDescent="0.2">
      <c r="A103" s="519">
        <v>55508</v>
      </c>
      <c r="B103" s="529" t="s">
        <v>343</v>
      </c>
      <c r="C103" s="553">
        <f>+'egresos 25% y F.P'!C178</f>
        <v>0</v>
      </c>
      <c r="D103" s="437">
        <v>0</v>
      </c>
      <c r="E103" s="438">
        <v>0</v>
      </c>
      <c r="F103" s="438">
        <v>0</v>
      </c>
      <c r="G103" s="549">
        <f>SUM(C103:F103)</f>
        <v>0</v>
      </c>
      <c r="H103" s="570">
        <v>0</v>
      </c>
      <c r="I103" s="69">
        <v>0</v>
      </c>
      <c r="J103" s="69">
        <v>0</v>
      </c>
      <c r="K103" s="69">
        <v>0</v>
      </c>
      <c r="L103" s="568">
        <v>0</v>
      </c>
      <c r="M103" s="196">
        <v>0</v>
      </c>
      <c r="N103" s="194">
        <v>0</v>
      </c>
      <c r="O103" s="194">
        <v>0</v>
      </c>
      <c r="P103" s="194">
        <v>0</v>
      </c>
      <c r="Q103" s="194">
        <v>0</v>
      </c>
      <c r="R103" s="568">
        <v>0</v>
      </c>
      <c r="S103" s="540">
        <v>0</v>
      </c>
      <c r="T103" s="572">
        <v>0</v>
      </c>
      <c r="U103" s="196">
        <v>0</v>
      </c>
      <c r="V103" s="506">
        <v>0</v>
      </c>
      <c r="W103" s="196"/>
      <c r="X103" s="57"/>
      <c r="Y103" s="69"/>
      <c r="Z103" s="55"/>
      <c r="AA103" s="192"/>
      <c r="AB103" s="69"/>
      <c r="AC103" s="56"/>
      <c r="AD103" s="57"/>
      <c r="AE103" s="69"/>
      <c r="AF103" s="56"/>
      <c r="AG103" s="592">
        <f t="shared" si="25"/>
        <v>0</v>
      </c>
      <c r="AH103" s="412"/>
    </row>
    <row r="104" spans="1:34" s="64" customFormat="1" ht="18" customHeight="1" x14ac:dyDescent="0.2">
      <c r="A104" s="513">
        <v>556</v>
      </c>
      <c r="B104" s="530" t="s">
        <v>90</v>
      </c>
      <c r="C104" s="552">
        <f>C105+C106+C107</f>
        <v>0</v>
      </c>
      <c r="D104" s="430">
        <f>D105+D106+D107</f>
        <v>150</v>
      </c>
      <c r="E104" s="430">
        <f>E105+E106+E107</f>
        <v>0</v>
      </c>
      <c r="F104" s="430">
        <f>F105+F106+F107</f>
        <v>0</v>
      </c>
      <c r="G104" s="550">
        <f>SUM(G106:G107)</f>
        <v>150</v>
      </c>
      <c r="H104" s="571">
        <f>SUM(H105:H107)</f>
        <v>0</v>
      </c>
      <c r="I104" s="54">
        <f>SUM(I105:I107)</f>
        <v>100</v>
      </c>
      <c r="J104" s="54">
        <f>SUM(J105:J107)</f>
        <v>0</v>
      </c>
      <c r="K104" s="54">
        <f>SUM(K105:K107)</f>
        <v>0</v>
      </c>
      <c r="L104" s="566">
        <f t="shared" ref="L104:L117" si="28">SUM(H104:J104)</f>
        <v>100</v>
      </c>
      <c r="M104" s="53">
        <v>0</v>
      </c>
      <c r="N104" s="54">
        <v>0</v>
      </c>
      <c r="O104" s="54">
        <v>0</v>
      </c>
      <c r="P104" s="54">
        <v>0</v>
      </c>
      <c r="Q104" s="54">
        <f>Q107</f>
        <v>0</v>
      </c>
      <c r="R104" s="566">
        <f>M104+N104+O104+P104+Q104</f>
        <v>0</v>
      </c>
      <c r="S104" s="493">
        <v>0</v>
      </c>
      <c r="T104" s="571">
        <v>0</v>
      </c>
      <c r="U104" s="53">
        <v>0</v>
      </c>
      <c r="V104" s="505">
        <f t="shared" si="24"/>
        <v>0</v>
      </c>
      <c r="W104" s="196"/>
      <c r="X104" s="57"/>
      <c r="Y104" s="69"/>
      <c r="Z104" s="55"/>
      <c r="AA104" s="192"/>
      <c r="AB104" s="69"/>
      <c r="AC104" s="56"/>
      <c r="AD104" s="57"/>
      <c r="AE104" s="69"/>
      <c r="AF104" s="56"/>
      <c r="AG104" s="591">
        <f t="shared" si="25"/>
        <v>250</v>
      </c>
      <c r="AH104" s="412"/>
    </row>
    <row r="105" spans="1:34" s="64" customFormat="1" ht="18" hidden="1" customHeight="1" x14ac:dyDescent="0.2">
      <c r="A105" s="515">
        <v>55601</v>
      </c>
      <c r="B105" s="529" t="s">
        <v>91</v>
      </c>
      <c r="C105" s="553"/>
      <c r="D105" s="437"/>
      <c r="E105" s="438"/>
      <c r="F105" s="438"/>
      <c r="G105" s="549"/>
      <c r="H105" s="570"/>
      <c r="I105" s="69"/>
      <c r="J105" s="69"/>
      <c r="K105" s="69"/>
      <c r="L105" s="566">
        <f t="shared" si="28"/>
        <v>0</v>
      </c>
      <c r="M105" s="196">
        <v>0</v>
      </c>
      <c r="N105" s="194">
        <v>0</v>
      </c>
      <c r="O105" s="194">
        <v>0</v>
      </c>
      <c r="P105" s="194">
        <v>0</v>
      </c>
      <c r="Q105" s="194"/>
      <c r="R105" s="568">
        <f>M105+N105+O105+P105</f>
        <v>0</v>
      </c>
      <c r="S105" s="540"/>
      <c r="T105" s="572"/>
      <c r="U105" s="196"/>
      <c r="V105" s="506">
        <f t="shared" si="24"/>
        <v>0</v>
      </c>
      <c r="W105" s="196"/>
      <c r="X105" s="57"/>
      <c r="Y105" s="69"/>
      <c r="Z105" s="55"/>
      <c r="AA105" s="192"/>
      <c r="AB105" s="69"/>
      <c r="AC105" s="56"/>
      <c r="AD105" s="57"/>
      <c r="AE105" s="69"/>
      <c r="AF105" s="56"/>
      <c r="AG105" s="591">
        <f t="shared" si="25"/>
        <v>0</v>
      </c>
      <c r="AH105" s="412"/>
    </row>
    <row r="106" spans="1:34" s="64" customFormat="1" ht="18" hidden="1" customHeight="1" x14ac:dyDescent="0.2">
      <c r="A106" s="515">
        <v>55602</v>
      </c>
      <c r="B106" s="529" t="s">
        <v>92</v>
      </c>
      <c r="C106" s="553"/>
      <c r="D106" s="437"/>
      <c r="E106" s="438"/>
      <c r="F106" s="438"/>
      <c r="G106" s="549">
        <f>C106</f>
        <v>0</v>
      </c>
      <c r="H106" s="570"/>
      <c r="I106" s="69"/>
      <c r="J106" s="69"/>
      <c r="K106" s="69"/>
      <c r="L106" s="566">
        <f t="shared" si="28"/>
        <v>0</v>
      </c>
      <c r="M106" s="196">
        <v>0</v>
      </c>
      <c r="N106" s="194">
        <v>0</v>
      </c>
      <c r="O106" s="194">
        <v>0</v>
      </c>
      <c r="P106" s="194">
        <v>0</v>
      </c>
      <c r="Q106" s="194"/>
      <c r="R106" s="568">
        <f>M106+N106+O106+P106</f>
        <v>0</v>
      </c>
      <c r="S106" s="540"/>
      <c r="T106" s="572"/>
      <c r="U106" s="196"/>
      <c r="V106" s="506">
        <f t="shared" si="24"/>
        <v>0</v>
      </c>
      <c r="W106" s="196"/>
      <c r="X106" s="57"/>
      <c r="Y106" s="69"/>
      <c r="Z106" s="55"/>
      <c r="AA106" s="192"/>
      <c r="AB106" s="69"/>
      <c r="AC106" s="56"/>
      <c r="AD106" s="57"/>
      <c r="AE106" s="69"/>
      <c r="AF106" s="56"/>
      <c r="AG106" s="591">
        <f t="shared" si="25"/>
        <v>0</v>
      </c>
      <c r="AH106" s="412"/>
    </row>
    <row r="107" spans="1:34" s="64" customFormat="1" ht="18" customHeight="1" x14ac:dyDescent="0.2">
      <c r="A107" s="515">
        <v>55603</v>
      </c>
      <c r="B107" s="529" t="s">
        <v>93</v>
      </c>
      <c r="C107" s="553">
        <v>0</v>
      </c>
      <c r="D107" s="437">
        <f>'egresos 25% y F.P'!D182</f>
        <v>150</v>
      </c>
      <c r="E107" s="438">
        <v>0</v>
      </c>
      <c r="F107" s="438">
        <v>0</v>
      </c>
      <c r="G107" s="549">
        <f>D107</f>
        <v>150</v>
      </c>
      <c r="H107" s="570">
        <f>'egresos 25% y F.P'!C77</f>
        <v>0</v>
      </c>
      <c r="I107" s="69">
        <f>'egresos 25% y F.P'!D77</f>
        <v>100</v>
      </c>
      <c r="J107" s="69">
        <f>'egresos 25% y F.P'!E77</f>
        <v>0</v>
      </c>
      <c r="K107" s="69">
        <f>'egresos 25% y F.P'!F77</f>
        <v>0</v>
      </c>
      <c r="L107" s="566">
        <f t="shared" si="28"/>
        <v>100</v>
      </c>
      <c r="M107" s="196">
        <v>0</v>
      </c>
      <c r="N107" s="194">
        <v>0</v>
      </c>
      <c r="O107" s="194">
        <v>0</v>
      </c>
      <c r="P107" s="194">
        <v>0</v>
      </c>
      <c r="Q107" s="194">
        <f>'AG5'!C24</f>
        <v>0</v>
      </c>
      <c r="R107" s="568">
        <f>M107+N107+O107+P107+Q107</f>
        <v>0</v>
      </c>
      <c r="S107" s="540">
        <v>0</v>
      </c>
      <c r="T107" s="572">
        <v>0</v>
      </c>
      <c r="U107" s="196">
        <v>0</v>
      </c>
      <c r="V107" s="506">
        <f t="shared" si="24"/>
        <v>0</v>
      </c>
      <c r="W107" s="196"/>
      <c r="X107" s="57"/>
      <c r="Y107" s="69"/>
      <c r="Z107" s="55"/>
      <c r="AA107" s="192"/>
      <c r="AB107" s="69"/>
      <c r="AC107" s="56"/>
      <c r="AD107" s="57"/>
      <c r="AE107" s="69"/>
      <c r="AF107" s="56"/>
      <c r="AG107" s="592">
        <f>+L107+R107+G107+Z107+AC107+AF107+S107+V107+W107</f>
        <v>250</v>
      </c>
      <c r="AH107" s="412"/>
    </row>
    <row r="108" spans="1:34" s="64" customFormat="1" ht="18" hidden="1" customHeight="1" x14ac:dyDescent="0.2">
      <c r="A108" s="513">
        <v>557</v>
      </c>
      <c r="B108" s="530" t="s">
        <v>94</v>
      </c>
      <c r="C108" s="552">
        <f>C109+C110+C111</f>
        <v>0</v>
      </c>
      <c r="D108" s="430">
        <f>D109+D110+D111</f>
        <v>0</v>
      </c>
      <c r="E108" s="438"/>
      <c r="F108" s="438"/>
      <c r="G108" s="549"/>
      <c r="H108" s="571">
        <f>SUM(H109:H111)</f>
        <v>0</v>
      </c>
      <c r="I108" s="54">
        <f>SUM(I109:I111)</f>
        <v>0</v>
      </c>
      <c r="J108" s="54">
        <f>SUM(J109:J111)</f>
        <v>0</v>
      </c>
      <c r="K108" s="54">
        <f>SUM(K109:K111)</f>
        <v>0</v>
      </c>
      <c r="L108" s="566">
        <f t="shared" si="28"/>
        <v>0</v>
      </c>
      <c r="M108" s="196">
        <v>0</v>
      </c>
      <c r="N108" s="194">
        <v>0</v>
      </c>
      <c r="O108" s="194">
        <v>0</v>
      </c>
      <c r="P108" s="194">
        <v>0</v>
      </c>
      <c r="Q108" s="194"/>
      <c r="R108" s="568">
        <f>M108+N108+O108+P108</f>
        <v>0</v>
      </c>
      <c r="S108" s="540"/>
      <c r="T108" s="572"/>
      <c r="U108" s="196"/>
      <c r="V108" s="506">
        <f t="shared" si="24"/>
        <v>0</v>
      </c>
      <c r="W108" s="196"/>
      <c r="X108" s="57"/>
      <c r="Y108" s="69"/>
      <c r="Z108" s="55"/>
      <c r="AA108" s="192"/>
      <c r="AB108" s="69"/>
      <c r="AC108" s="56"/>
      <c r="AD108" s="57"/>
      <c r="AE108" s="69"/>
      <c r="AF108" s="56"/>
      <c r="AG108" s="591">
        <f t="shared" si="25"/>
        <v>0</v>
      </c>
      <c r="AH108" s="412"/>
    </row>
    <row r="109" spans="1:34" s="64" customFormat="1" ht="18" hidden="1" customHeight="1" x14ac:dyDescent="0.2">
      <c r="A109" s="515">
        <v>55701</v>
      </c>
      <c r="B109" s="529" t="s">
        <v>95</v>
      </c>
      <c r="C109" s="553"/>
      <c r="D109" s="437"/>
      <c r="E109" s="438"/>
      <c r="F109" s="438"/>
      <c r="G109" s="549"/>
      <c r="H109" s="570"/>
      <c r="I109" s="69"/>
      <c r="J109" s="69"/>
      <c r="K109" s="69"/>
      <c r="L109" s="566">
        <f t="shared" si="28"/>
        <v>0</v>
      </c>
      <c r="M109" s="196">
        <v>0</v>
      </c>
      <c r="N109" s="194">
        <v>0</v>
      </c>
      <c r="O109" s="194">
        <v>0</v>
      </c>
      <c r="P109" s="194">
        <v>0</v>
      </c>
      <c r="Q109" s="194"/>
      <c r="R109" s="568">
        <f>M109+N109+O109+P109</f>
        <v>0</v>
      </c>
      <c r="S109" s="540"/>
      <c r="T109" s="572"/>
      <c r="U109" s="196"/>
      <c r="V109" s="506">
        <f t="shared" si="24"/>
        <v>0</v>
      </c>
      <c r="W109" s="196"/>
      <c r="X109" s="57"/>
      <c r="Y109" s="69"/>
      <c r="Z109" s="55"/>
      <c r="AA109" s="192"/>
      <c r="AB109" s="69"/>
      <c r="AC109" s="56"/>
      <c r="AD109" s="57"/>
      <c r="AE109" s="69"/>
      <c r="AF109" s="56"/>
      <c r="AG109" s="591">
        <f t="shared" si="25"/>
        <v>0</v>
      </c>
      <c r="AH109" s="412"/>
    </row>
    <row r="110" spans="1:34" s="64" customFormat="1" ht="18" hidden="1" customHeight="1" x14ac:dyDescent="0.2">
      <c r="A110" s="515">
        <v>55702</v>
      </c>
      <c r="B110" s="529" t="s">
        <v>96</v>
      </c>
      <c r="C110" s="553"/>
      <c r="D110" s="437"/>
      <c r="E110" s="438"/>
      <c r="F110" s="438"/>
      <c r="G110" s="549"/>
      <c r="H110" s="570"/>
      <c r="I110" s="69"/>
      <c r="J110" s="69"/>
      <c r="K110" s="69"/>
      <c r="L110" s="566">
        <f t="shared" si="28"/>
        <v>0</v>
      </c>
      <c r="M110" s="53">
        <v>0</v>
      </c>
      <c r="N110" s="54">
        <v>0</v>
      </c>
      <c r="O110" s="54">
        <v>0</v>
      </c>
      <c r="P110" s="54">
        <v>0</v>
      </c>
      <c r="Q110" s="54"/>
      <c r="R110" s="568">
        <f>M110+N110+O110+P110</f>
        <v>0</v>
      </c>
      <c r="S110" s="493"/>
      <c r="T110" s="571"/>
      <c r="U110" s="53"/>
      <c r="V110" s="506">
        <f t="shared" si="24"/>
        <v>0</v>
      </c>
      <c r="W110" s="53"/>
      <c r="X110" s="52"/>
      <c r="Y110" s="54"/>
      <c r="Z110" s="61"/>
      <c r="AA110" s="53"/>
      <c r="AB110" s="54"/>
      <c r="AC110" s="141"/>
      <c r="AD110" s="52"/>
      <c r="AE110" s="54"/>
      <c r="AF110" s="141"/>
      <c r="AG110" s="591">
        <f t="shared" si="25"/>
        <v>0</v>
      </c>
      <c r="AH110" s="412"/>
    </row>
    <row r="111" spans="1:34" s="64" customFormat="1" ht="18" hidden="1" customHeight="1" x14ac:dyDescent="0.2">
      <c r="A111" s="515">
        <v>55799</v>
      </c>
      <c r="B111" s="529" t="s">
        <v>97</v>
      </c>
      <c r="C111" s="553"/>
      <c r="D111" s="437"/>
      <c r="E111" s="438"/>
      <c r="F111" s="438"/>
      <c r="G111" s="549">
        <f>C111</f>
        <v>0</v>
      </c>
      <c r="H111" s="570"/>
      <c r="I111" s="69"/>
      <c r="J111" s="69"/>
      <c r="K111" s="69"/>
      <c r="L111" s="566">
        <f t="shared" si="28"/>
        <v>0</v>
      </c>
      <c r="M111" s="196">
        <v>0</v>
      </c>
      <c r="N111" s="194">
        <v>0</v>
      </c>
      <c r="O111" s="194">
        <v>0</v>
      </c>
      <c r="P111" s="194">
        <v>0</v>
      </c>
      <c r="Q111" s="194"/>
      <c r="R111" s="568">
        <f>M111+N111+O111+P111</f>
        <v>0</v>
      </c>
      <c r="S111" s="540"/>
      <c r="T111" s="572"/>
      <c r="U111" s="196"/>
      <c r="V111" s="506">
        <f t="shared" si="24"/>
        <v>0</v>
      </c>
      <c r="W111" s="196"/>
      <c r="X111" s="195"/>
      <c r="Y111" s="194"/>
      <c r="Z111" s="197"/>
      <c r="AA111" s="196"/>
      <c r="AB111" s="194"/>
      <c r="AC111" s="198"/>
      <c r="AD111" s="195"/>
      <c r="AE111" s="194"/>
      <c r="AF111" s="198"/>
      <c r="AG111" s="591">
        <f t="shared" si="25"/>
        <v>0</v>
      </c>
      <c r="AH111" s="412"/>
    </row>
    <row r="112" spans="1:34" s="64" customFormat="1" ht="18" hidden="1" customHeight="1" x14ac:dyDescent="0.2">
      <c r="A112" s="515"/>
      <c r="B112" s="529"/>
      <c r="C112" s="553"/>
      <c r="D112" s="437"/>
      <c r="E112" s="437"/>
      <c r="F112" s="437"/>
      <c r="G112" s="554"/>
      <c r="H112" s="570"/>
      <c r="I112" s="69"/>
      <c r="J112" s="69"/>
      <c r="K112" s="69"/>
      <c r="L112" s="566">
        <f t="shared" si="28"/>
        <v>0</v>
      </c>
      <c r="M112" s="196">
        <v>0</v>
      </c>
      <c r="N112" s="194">
        <v>0</v>
      </c>
      <c r="O112" s="194">
        <v>0</v>
      </c>
      <c r="P112" s="194">
        <v>0</v>
      </c>
      <c r="Q112" s="194"/>
      <c r="R112" s="568">
        <f>M112+N112+O112+P112</f>
        <v>0</v>
      </c>
      <c r="S112" s="540"/>
      <c r="T112" s="572"/>
      <c r="U112" s="196"/>
      <c r="V112" s="506">
        <f t="shared" si="24"/>
        <v>0</v>
      </c>
      <c r="W112" s="196"/>
      <c r="X112" s="195"/>
      <c r="Y112" s="194"/>
      <c r="Z112" s="197"/>
      <c r="AA112" s="196"/>
      <c r="AB112" s="194"/>
      <c r="AC112" s="198"/>
      <c r="AD112" s="195"/>
      <c r="AE112" s="194"/>
      <c r="AF112" s="198"/>
      <c r="AG112" s="591">
        <f t="shared" si="25"/>
        <v>0</v>
      </c>
      <c r="AH112" s="412"/>
    </row>
    <row r="113" spans="1:34" s="64" customFormat="1" ht="18" customHeight="1" x14ac:dyDescent="0.2">
      <c r="A113" s="513">
        <v>56</v>
      </c>
      <c r="B113" s="530" t="s">
        <v>98</v>
      </c>
      <c r="C113" s="552">
        <f>C114+C117</f>
        <v>3329.7799999999997</v>
      </c>
      <c r="D113" s="430">
        <f>D114+D117</f>
        <v>0</v>
      </c>
      <c r="E113" s="430">
        <f>E114+E117</f>
        <v>0</v>
      </c>
      <c r="F113" s="430">
        <f>F114+F117</f>
        <v>0</v>
      </c>
      <c r="G113" s="555">
        <f>F113+D113+C113</f>
        <v>3329.7799999999997</v>
      </c>
      <c r="H113" s="571">
        <f>H114+H117</f>
        <v>15925.9</v>
      </c>
      <c r="I113" s="54">
        <f>I114+I117</f>
        <v>0</v>
      </c>
      <c r="J113" s="54">
        <f>J114+J117</f>
        <v>0</v>
      </c>
      <c r="K113" s="54">
        <f>K114+K117</f>
        <v>0</v>
      </c>
      <c r="L113" s="566">
        <f t="shared" si="28"/>
        <v>15925.9</v>
      </c>
      <c r="M113" s="196">
        <v>0</v>
      </c>
      <c r="N113" s="54">
        <v>0</v>
      </c>
      <c r="O113" s="194">
        <v>0</v>
      </c>
      <c r="P113" s="194">
        <v>0</v>
      </c>
      <c r="Q113" s="194">
        <v>0</v>
      </c>
      <c r="R113" s="566">
        <f>M113+N113+O113+P113+Q113</f>
        <v>0</v>
      </c>
      <c r="S113" s="493">
        <v>0</v>
      </c>
      <c r="T113" s="571">
        <v>0</v>
      </c>
      <c r="U113" s="53">
        <v>0</v>
      </c>
      <c r="V113" s="505">
        <f t="shared" si="24"/>
        <v>0</v>
      </c>
      <c r="W113" s="196"/>
      <c r="X113" s="195"/>
      <c r="Y113" s="194"/>
      <c r="Z113" s="197"/>
      <c r="AA113" s="196"/>
      <c r="AB113" s="194"/>
      <c r="AC113" s="198"/>
      <c r="AD113" s="195"/>
      <c r="AE113" s="194"/>
      <c r="AF113" s="198"/>
      <c r="AG113" s="591">
        <f t="shared" si="25"/>
        <v>19255.68</v>
      </c>
      <c r="AH113" s="412"/>
    </row>
    <row r="114" spans="1:34" s="64" customFormat="1" ht="18" customHeight="1" x14ac:dyDescent="0.2">
      <c r="A114" s="513">
        <v>562</v>
      </c>
      <c r="B114" s="530" t="s">
        <v>99</v>
      </c>
      <c r="C114" s="552">
        <f>C115+C116</f>
        <v>1329.78</v>
      </c>
      <c r="D114" s="430">
        <f>D115+D116</f>
        <v>0</v>
      </c>
      <c r="E114" s="437">
        <v>0</v>
      </c>
      <c r="F114" s="437">
        <v>0</v>
      </c>
      <c r="G114" s="555">
        <f t="shared" ref="G114:G120" si="29">F114+D114+C114</f>
        <v>1329.78</v>
      </c>
      <c r="H114" s="571">
        <f>H115+H116</f>
        <v>14925.9</v>
      </c>
      <c r="I114" s="54">
        <f>I115+I116</f>
        <v>0</v>
      </c>
      <c r="J114" s="54">
        <f>J115+J116</f>
        <v>0</v>
      </c>
      <c r="K114" s="54">
        <f>K115+K116</f>
        <v>0</v>
      </c>
      <c r="L114" s="566">
        <f t="shared" si="28"/>
        <v>14925.9</v>
      </c>
      <c r="M114" s="196">
        <v>0</v>
      </c>
      <c r="N114" s="194">
        <v>0</v>
      </c>
      <c r="O114" s="194">
        <v>0</v>
      </c>
      <c r="P114" s="194">
        <v>0</v>
      </c>
      <c r="Q114" s="194">
        <v>0</v>
      </c>
      <c r="R114" s="566">
        <f t="shared" ref="R114:R119" si="30">M114+N114+O114+P114+Q114</f>
        <v>0</v>
      </c>
      <c r="S114" s="493">
        <v>0</v>
      </c>
      <c r="T114" s="571">
        <v>0</v>
      </c>
      <c r="U114" s="53">
        <v>0</v>
      </c>
      <c r="V114" s="505">
        <f t="shared" si="24"/>
        <v>0</v>
      </c>
      <c r="W114" s="196"/>
      <c r="X114" s="195"/>
      <c r="Y114" s="194"/>
      <c r="Z114" s="197"/>
      <c r="AA114" s="196"/>
      <c r="AB114" s="194"/>
      <c r="AC114" s="198"/>
      <c r="AD114" s="195"/>
      <c r="AE114" s="194"/>
      <c r="AF114" s="198"/>
      <c r="AG114" s="591">
        <f t="shared" si="25"/>
        <v>16255.68</v>
      </c>
      <c r="AH114" s="412"/>
    </row>
    <row r="115" spans="1:34" s="64" customFormat="1" ht="18" customHeight="1" x14ac:dyDescent="0.2">
      <c r="A115" s="515">
        <v>56201</v>
      </c>
      <c r="B115" s="529" t="s">
        <v>541</v>
      </c>
      <c r="C115" s="548">
        <f>'egresos 25% y F.P'!C191</f>
        <v>1329.78</v>
      </c>
      <c r="D115" s="437"/>
      <c r="E115" s="437">
        <v>0</v>
      </c>
      <c r="F115" s="437">
        <v>0</v>
      </c>
      <c r="G115" s="554">
        <f t="shared" si="29"/>
        <v>1329.78</v>
      </c>
      <c r="H115" s="570">
        <f>'egresos 25% y F.P'!C87</f>
        <v>14925.9</v>
      </c>
      <c r="I115" s="69">
        <v>0</v>
      </c>
      <c r="J115" s="69">
        <v>0</v>
      </c>
      <c r="K115" s="69">
        <v>0</v>
      </c>
      <c r="L115" s="566">
        <f t="shared" si="28"/>
        <v>14925.9</v>
      </c>
      <c r="M115" s="196">
        <v>0</v>
      </c>
      <c r="N115" s="194">
        <v>0</v>
      </c>
      <c r="O115" s="194">
        <v>0</v>
      </c>
      <c r="P115" s="194">
        <v>0</v>
      </c>
      <c r="Q115" s="194">
        <v>0</v>
      </c>
      <c r="R115" s="568">
        <f t="shared" si="30"/>
        <v>0</v>
      </c>
      <c r="S115" s="540">
        <v>0</v>
      </c>
      <c r="T115" s="572">
        <v>0</v>
      </c>
      <c r="U115" s="196">
        <v>0</v>
      </c>
      <c r="V115" s="506">
        <f t="shared" si="24"/>
        <v>0</v>
      </c>
      <c r="W115" s="196"/>
      <c r="X115" s="195"/>
      <c r="Y115" s="194"/>
      <c r="Z115" s="197"/>
      <c r="AA115" s="196"/>
      <c r="AB115" s="194"/>
      <c r="AC115" s="198"/>
      <c r="AD115" s="195"/>
      <c r="AE115" s="194"/>
      <c r="AF115" s="198"/>
      <c r="AG115" s="592">
        <f t="shared" si="25"/>
        <v>16255.68</v>
      </c>
      <c r="AH115" s="412"/>
    </row>
    <row r="116" spans="1:34" s="64" customFormat="1" ht="18" hidden="1" customHeight="1" x14ac:dyDescent="0.2">
      <c r="A116" s="515">
        <v>56202</v>
      </c>
      <c r="B116" s="529" t="s">
        <v>243</v>
      </c>
      <c r="C116" s="553"/>
      <c r="D116" s="437"/>
      <c r="E116" s="437">
        <v>0</v>
      </c>
      <c r="F116" s="437">
        <v>0</v>
      </c>
      <c r="G116" s="554">
        <f t="shared" si="29"/>
        <v>0</v>
      </c>
      <c r="H116" s="570"/>
      <c r="I116" s="69"/>
      <c r="J116" s="69"/>
      <c r="K116" s="69"/>
      <c r="L116" s="566">
        <f t="shared" si="28"/>
        <v>0</v>
      </c>
      <c r="M116" s="196">
        <v>0</v>
      </c>
      <c r="N116" s="194">
        <v>0</v>
      </c>
      <c r="O116" s="194">
        <v>0</v>
      </c>
      <c r="P116" s="194">
        <v>0</v>
      </c>
      <c r="Q116" s="194">
        <v>0</v>
      </c>
      <c r="R116" s="568">
        <f t="shared" si="30"/>
        <v>0</v>
      </c>
      <c r="S116" s="540"/>
      <c r="T116" s="572"/>
      <c r="U116" s="196"/>
      <c r="V116" s="506">
        <f t="shared" si="24"/>
        <v>0</v>
      </c>
      <c r="W116" s="196"/>
      <c r="X116" s="195"/>
      <c r="Y116" s="194"/>
      <c r="Z116" s="197"/>
      <c r="AA116" s="196"/>
      <c r="AB116" s="194"/>
      <c r="AC116" s="198"/>
      <c r="AD116" s="195"/>
      <c r="AE116" s="194"/>
      <c r="AF116" s="198"/>
      <c r="AG116" s="591">
        <f t="shared" si="25"/>
        <v>0</v>
      </c>
      <c r="AH116" s="412"/>
    </row>
    <row r="117" spans="1:34" s="64" customFormat="1" ht="18" customHeight="1" x14ac:dyDescent="0.2">
      <c r="A117" s="513">
        <v>563</v>
      </c>
      <c r="B117" s="530" t="s">
        <v>101</v>
      </c>
      <c r="C117" s="552">
        <f>C118+C119</f>
        <v>2000</v>
      </c>
      <c r="D117" s="430">
        <f>D118+D119</f>
        <v>0</v>
      </c>
      <c r="E117" s="437">
        <v>0</v>
      </c>
      <c r="F117" s="437">
        <v>0</v>
      </c>
      <c r="G117" s="555">
        <f t="shared" si="29"/>
        <v>2000</v>
      </c>
      <c r="H117" s="571">
        <f>H118+H119</f>
        <v>1000</v>
      </c>
      <c r="I117" s="54">
        <f>I118+I119</f>
        <v>0</v>
      </c>
      <c r="J117" s="54">
        <f>J118+J119</f>
        <v>0</v>
      </c>
      <c r="K117" s="54">
        <f>K118+K119</f>
        <v>0</v>
      </c>
      <c r="L117" s="566">
        <f t="shared" si="28"/>
        <v>1000</v>
      </c>
      <c r="M117" s="53">
        <v>0</v>
      </c>
      <c r="N117" s="54">
        <v>0</v>
      </c>
      <c r="O117" s="54">
        <v>0</v>
      </c>
      <c r="P117" s="54">
        <v>0</v>
      </c>
      <c r="Q117" s="54">
        <v>0</v>
      </c>
      <c r="R117" s="566">
        <f t="shared" si="30"/>
        <v>0</v>
      </c>
      <c r="S117" s="493">
        <v>0</v>
      </c>
      <c r="T117" s="571">
        <v>0</v>
      </c>
      <c r="U117" s="53">
        <v>0</v>
      </c>
      <c r="V117" s="505">
        <f t="shared" si="24"/>
        <v>0</v>
      </c>
      <c r="W117" s="196"/>
      <c r="X117" s="195"/>
      <c r="Y117" s="194"/>
      <c r="Z117" s="197"/>
      <c r="AA117" s="196"/>
      <c r="AB117" s="194"/>
      <c r="AC117" s="198"/>
      <c r="AD117" s="195"/>
      <c r="AE117" s="194"/>
      <c r="AF117" s="198"/>
      <c r="AG117" s="591">
        <f t="shared" si="25"/>
        <v>3000</v>
      </c>
      <c r="AH117" s="412"/>
    </row>
    <row r="118" spans="1:34" s="64" customFormat="1" ht="18" hidden="1" customHeight="1" x14ac:dyDescent="0.2">
      <c r="A118" s="515">
        <v>56303</v>
      </c>
      <c r="B118" s="529" t="s">
        <v>100</v>
      </c>
      <c r="C118" s="553"/>
      <c r="D118" s="437"/>
      <c r="E118" s="437">
        <v>0</v>
      </c>
      <c r="F118" s="437">
        <v>0</v>
      </c>
      <c r="G118" s="554">
        <f t="shared" si="29"/>
        <v>0</v>
      </c>
      <c r="H118" s="570"/>
      <c r="I118" s="69"/>
      <c r="J118" s="69"/>
      <c r="K118" s="69"/>
      <c r="L118" s="566">
        <f t="shared" ref="L118:L162" si="31">SUM(H118:J118)</f>
        <v>0</v>
      </c>
      <c r="M118" s="196">
        <v>0</v>
      </c>
      <c r="N118" s="194">
        <v>0</v>
      </c>
      <c r="O118" s="194">
        <v>0</v>
      </c>
      <c r="P118" s="194">
        <v>0</v>
      </c>
      <c r="Q118" s="194">
        <v>0</v>
      </c>
      <c r="R118" s="568">
        <f t="shared" si="30"/>
        <v>0</v>
      </c>
      <c r="S118" s="540"/>
      <c r="T118" s="572"/>
      <c r="U118" s="196"/>
      <c r="V118" s="506">
        <f t="shared" si="24"/>
        <v>0</v>
      </c>
      <c r="W118" s="196"/>
      <c r="X118" s="195"/>
      <c r="Y118" s="194"/>
      <c r="Z118" s="197"/>
      <c r="AA118" s="196"/>
      <c r="AB118" s="194"/>
      <c r="AC118" s="198"/>
      <c r="AD118" s="195"/>
      <c r="AE118" s="194"/>
      <c r="AF118" s="198"/>
      <c r="AG118" s="591">
        <f t="shared" si="25"/>
        <v>0</v>
      </c>
      <c r="AH118" s="412"/>
    </row>
    <row r="119" spans="1:34" s="64" customFormat="1" ht="18" customHeight="1" x14ac:dyDescent="0.2">
      <c r="A119" s="515">
        <v>56304</v>
      </c>
      <c r="B119" s="529" t="s">
        <v>111</v>
      </c>
      <c r="C119" s="548">
        <f>'egresos 25% y F.P'!C194</f>
        <v>2000</v>
      </c>
      <c r="D119" s="437">
        <v>0</v>
      </c>
      <c r="E119" s="437">
        <v>0</v>
      </c>
      <c r="F119" s="437">
        <v>0</v>
      </c>
      <c r="G119" s="554">
        <f t="shared" si="29"/>
        <v>2000</v>
      </c>
      <c r="H119" s="570">
        <f>'egresos 25% y F.P'!C90</f>
        <v>1000</v>
      </c>
      <c r="I119" s="69">
        <v>0</v>
      </c>
      <c r="J119" s="69">
        <v>0</v>
      </c>
      <c r="K119" s="69">
        <v>0</v>
      </c>
      <c r="L119" s="566">
        <f t="shared" si="31"/>
        <v>1000</v>
      </c>
      <c r="M119" s="196">
        <v>0</v>
      </c>
      <c r="N119" s="54">
        <v>0</v>
      </c>
      <c r="O119" s="194">
        <v>0</v>
      </c>
      <c r="P119" s="194">
        <v>0</v>
      </c>
      <c r="Q119" s="194">
        <v>0</v>
      </c>
      <c r="R119" s="568">
        <f t="shared" si="30"/>
        <v>0</v>
      </c>
      <c r="S119" s="540">
        <v>0</v>
      </c>
      <c r="T119" s="572">
        <v>0</v>
      </c>
      <c r="U119" s="196">
        <v>0</v>
      </c>
      <c r="V119" s="506">
        <f t="shared" si="24"/>
        <v>0</v>
      </c>
      <c r="W119" s="196"/>
      <c r="X119" s="195"/>
      <c r="Y119" s="194"/>
      <c r="Z119" s="197"/>
      <c r="AA119" s="196"/>
      <c r="AB119" s="194"/>
      <c r="AC119" s="198"/>
      <c r="AD119" s="195"/>
      <c r="AE119" s="194"/>
      <c r="AF119" s="198"/>
      <c r="AG119" s="592">
        <f t="shared" si="25"/>
        <v>3000</v>
      </c>
      <c r="AH119" s="412"/>
    </row>
    <row r="120" spans="1:34" s="64" customFormat="1" ht="18" customHeight="1" x14ac:dyDescent="0.2">
      <c r="A120" s="515">
        <v>56305</v>
      </c>
      <c r="B120" s="533" t="s">
        <v>257</v>
      </c>
      <c r="C120" s="553">
        <v>0</v>
      </c>
      <c r="D120" s="437">
        <v>0</v>
      </c>
      <c r="E120" s="437">
        <v>0</v>
      </c>
      <c r="F120" s="437">
        <v>0</v>
      </c>
      <c r="G120" s="554">
        <f t="shared" si="29"/>
        <v>0</v>
      </c>
      <c r="H120" s="570">
        <v>0</v>
      </c>
      <c r="I120" s="69">
        <v>0</v>
      </c>
      <c r="J120" s="69">
        <v>0</v>
      </c>
      <c r="K120" s="69">
        <v>0</v>
      </c>
      <c r="L120" s="566">
        <f t="shared" si="31"/>
        <v>0</v>
      </c>
      <c r="M120" s="196">
        <v>0</v>
      </c>
      <c r="N120" s="194">
        <v>0</v>
      </c>
      <c r="O120" s="194">
        <v>0</v>
      </c>
      <c r="P120" s="194">
        <v>0</v>
      </c>
      <c r="Q120" s="194">
        <v>0</v>
      </c>
      <c r="R120" s="568">
        <f>M120+N120+O120+P120+Q120</f>
        <v>0</v>
      </c>
      <c r="S120" s="540">
        <v>0</v>
      </c>
      <c r="T120" s="572">
        <v>0</v>
      </c>
      <c r="U120" s="196">
        <v>0</v>
      </c>
      <c r="V120" s="506">
        <f t="shared" si="24"/>
        <v>0</v>
      </c>
      <c r="W120" s="196"/>
      <c r="X120" s="195"/>
      <c r="Y120" s="194"/>
      <c r="Z120" s="197"/>
      <c r="AA120" s="196"/>
      <c r="AB120" s="194"/>
      <c r="AC120" s="198"/>
      <c r="AD120" s="195"/>
      <c r="AE120" s="194"/>
      <c r="AF120" s="198"/>
      <c r="AG120" s="592">
        <f t="shared" si="25"/>
        <v>0</v>
      </c>
      <c r="AH120" s="412"/>
    </row>
    <row r="121" spans="1:34" s="64" customFormat="1" ht="18" customHeight="1" x14ac:dyDescent="0.2">
      <c r="A121" s="516" t="s">
        <v>164</v>
      </c>
      <c r="B121" s="534" t="s">
        <v>165</v>
      </c>
      <c r="C121" s="552">
        <v>0</v>
      </c>
      <c r="D121" s="430">
        <v>0</v>
      </c>
      <c r="E121" s="430">
        <v>0</v>
      </c>
      <c r="F121" s="430">
        <f>F140</f>
        <v>0</v>
      </c>
      <c r="G121" s="555">
        <f>G122+G131+G135+G140</f>
        <v>0</v>
      </c>
      <c r="H121" s="571">
        <f>H122+H131+H135+H140</f>
        <v>0</v>
      </c>
      <c r="I121" s="54">
        <f>I122+I131+I135+I140</f>
        <v>0</v>
      </c>
      <c r="J121" s="54">
        <f>J142</f>
        <v>0</v>
      </c>
      <c r="K121" s="54">
        <f>K122+K131+K135+K140</f>
        <v>0</v>
      </c>
      <c r="L121" s="566">
        <f>SUM(H121:K121)</f>
        <v>0</v>
      </c>
      <c r="M121" s="493">
        <f>M122+M131+M135</f>
        <v>67156.3</v>
      </c>
      <c r="N121" s="54">
        <f>N122+N131+N135+N140</f>
        <v>502367.66000000003</v>
      </c>
      <c r="O121" s="54">
        <f>O122+O131+O135+O140</f>
        <v>248526.13</v>
      </c>
      <c r="P121" s="194">
        <v>0</v>
      </c>
      <c r="Q121" s="194">
        <v>0</v>
      </c>
      <c r="R121" s="566">
        <f>M121+N121+O121+P121+Q121</f>
        <v>818050.09000000008</v>
      </c>
      <c r="S121" s="493">
        <f>S122+S131+S135+S140</f>
        <v>0</v>
      </c>
      <c r="T121" s="571">
        <f>T122+T131+T135+T140</f>
        <v>581.32000000000005</v>
      </c>
      <c r="U121" s="53">
        <f>U122+U131+U135+U140</f>
        <v>0</v>
      </c>
      <c r="V121" s="505">
        <f t="shared" si="24"/>
        <v>581.32000000000005</v>
      </c>
      <c r="W121" s="53">
        <f>W122+W131+W135+W140</f>
        <v>0</v>
      </c>
      <c r="X121" s="195"/>
      <c r="Y121" s="194"/>
      <c r="Z121" s="197"/>
      <c r="AA121" s="196"/>
      <c r="AB121" s="194"/>
      <c r="AC121" s="198"/>
      <c r="AD121" s="195"/>
      <c r="AE121" s="194"/>
      <c r="AF121" s="198"/>
      <c r="AG121" s="591">
        <f t="shared" si="25"/>
        <v>818631.41</v>
      </c>
      <c r="AH121" s="412"/>
    </row>
    <row r="122" spans="1:34" s="64" customFormat="1" ht="18" customHeight="1" x14ac:dyDescent="0.2">
      <c r="A122" s="516" t="s">
        <v>166</v>
      </c>
      <c r="B122" s="534" t="s">
        <v>167</v>
      </c>
      <c r="C122" s="552">
        <v>0</v>
      </c>
      <c r="D122" s="430">
        <v>0</v>
      </c>
      <c r="E122" s="430">
        <v>0</v>
      </c>
      <c r="F122" s="430">
        <v>0</v>
      </c>
      <c r="G122" s="555">
        <v>0</v>
      </c>
      <c r="H122" s="571">
        <v>0</v>
      </c>
      <c r="I122" s="54">
        <v>0</v>
      </c>
      <c r="J122" s="54">
        <v>0</v>
      </c>
      <c r="K122" s="54">
        <v>0</v>
      </c>
      <c r="L122" s="566">
        <f t="shared" si="31"/>
        <v>0</v>
      </c>
      <c r="M122" s="493">
        <f>SUM(M123:M130)</f>
        <v>8322.01</v>
      </c>
      <c r="N122" s="54">
        <f>SUM(N123:N130)</f>
        <v>0</v>
      </c>
      <c r="O122" s="54">
        <f>SUM(O123:O130)</f>
        <v>0</v>
      </c>
      <c r="P122" s="54">
        <v>0</v>
      </c>
      <c r="Q122" s="54">
        <v>0</v>
      </c>
      <c r="R122" s="566">
        <f>M122+N122+O122+P122+Q122</f>
        <v>8322.01</v>
      </c>
      <c r="S122" s="493">
        <v>0</v>
      </c>
      <c r="T122" s="571">
        <v>0</v>
      </c>
      <c r="U122" s="53">
        <v>0</v>
      </c>
      <c r="V122" s="505">
        <f t="shared" si="24"/>
        <v>0</v>
      </c>
      <c r="W122" s="196"/>
      <c r="X122" s="195"/>
      <c r="Y122" s="194"/>
      <c r="Z122" s="197"/>
      <c r="AA122" s="196"/>
      <c r="AB122" s="194"/>
      <c r="AC122" s="198"/>
      <c r="AD122" s="195"/>
      <c r="AE122" s="194"/>
      <c r="AF122" s="198"/>
      <c r="AG122" s="591">
        <f t="shared" si="25"/>
        <v>8322.01</v>
      </c>
      <c r="AH122" s="412"/>
    </row>
    <row r="123" spans="1:34" s="64" customFormat="1" ht="18" customHeight="1" x14ac:dyDescent="0.2">
      <c r="A123" s="514" t="s">
        <v>168</v>
      </c>
      <c r="B123" s="535" t="s">
        <v>169</v>
      </c>
      <c r="C123" s="553">
        <v>0</v>
      </c>
      <c r="D123" s="437">
        <v>0</v>
      </c>
      <c r="E123" s="437">
        <v>0</v>
      </c>
      <c r="F123" s="437">
        <v>0</v>
      </c>
      <c r="G123" s="554">
        <v>0</v>
      </c>
      <c r="H123" s="570">
        <v>0</v>
      </c>
      <c r="I123" s="69">
        <v>0</v>
      </c>
      <c r="J123" s="69">
        <v>0</v>
      </c>
      <c r="K123" s="69">
        <v>0</v>
      </c>
      <c r="L123" s="566">
        <f t="shared" si="31"/>
        <v>0</v>
      </c>
      <c r="M123" s="540">
        <v>0</v>
      </c>
      <c r="N123" s="194">
        <v>0</v>
      </c>
      <c r="O123" s="194">
        <v>0</v>
      </c>
      <c r="P123" s="194">
        <v>0</v>
      </c>
      <c r="Q123" s="194">
        <v>0</v>
      </c>
      <c r="R123" s="568">
        <f>M123+N123+O123+P123+Q123</f>
        <v>0</v>
      </c>
      <c r="S123" s="540">
        <v>0</v>
      </c>
      <c r="T123" s="572">
        <v>0</v>
      </c>
      <c r="U123" s="196">
        <v>0</v>
      </c>
      <c r="V123" s="506">
        <f t="shared" si="24"/>
        <v>0</v>
      </c>
      <c r="W123" s="196"/>
      <c r="X123" s="195"/>
      <c r="Y123" s="194"/>
      <c r="Z123" s="197"/>
      <c r="AA123" s="196"/>
      <c r="AB123" s="194"/>
      <c r="AC123" s="198"/>
      <c r="AD123" s="195"/>
      <c r="AE123" s="194"/>
      <c r="AF123" s="198"/>
      <c r="AG123" s="592">
        <f t="shared" si="25"/>
        <v>0</v>
      </c>
      <c r="AH123" s="412"/>
    </row>
    <row r="124" spans="1:34" s="64" customFormat="1" ht="18" customHeight="1" x14ac:dyDescent="0.2">
      <c r="A124" s="514" t="s">
        <v>170</v>
      </c>
      <c r="B124" s="535" t="s">
        <v>171</v>
      </c>
      <c r="C124" s="553">
        <v>0</v>
      </c>
      <c r="D124" s="437">
        <v>0</v>
      </c>
      <c r="E124" s="437">
        <v>0</v>
      </c>
      <c r="F124" s="437">
        <v>0</v>
      </c>
      <c r="G124" s="554">
        <v>0</v>
      </c>
      <c r="H124" s="570">
        <v>0</v>
      </c>
      <c r="I124" s="69">
        <v>0</v>
      </c>
      <c r="J124" s="69">
        <v>0</v>
      </c>
      <c r="K124" s="69">
        <v>0</v>
      </c>
      <c r="L124" s="566">
        <f t="shared" si="31"/>
        <v>0</v>
      </c>
      <c r="M124" s="540">
        <v>0</v>
      </c>
      <c r="N124" s="194">
        <v>0</v>
      </c>
      <c r="O124" s="194">
        <v>0</v>
      </c>
      <c r="P124" s="194">
        <v>0</v>
      </c>
      <c r="Q124" s="194">
        <v>0</v>
      </c>
      <c r="R124" s="568">
        <f t="shared" ref="R124:R130" si="32">M124+N124+O124+P124+Q124</f>
        <v>0</v>
      </c>
      <c r="S124" s="540">
        <v>0</v>
      </c>
      <c r="T124" s="572">
        <v>0</v>
      </c>
      <c r="U124" s="196">
        <v>0</v>
      </c>
      <c r="V124" s="506">
        <f t="shared" si="24"/>
        <v>0</v>
      </c>
      <c r="W124" s="196"/>
      <c r="X124" s="195"/>
      <c r="Y124" s="194"/>
      <c r="Z124" s="197"/>
      <c r="AA124" s="196"/>
      <c r="AB124" s="194"/>
      <c r="AC124" s="198"/>
      <c r="AD124" s="195"/>
      <c r="AE124" s="194"/>
      <c r="AF124" s="198"/>
      <c r="AG124" s="592">
        <f t="shared" si="25"/>
        <v>0</v>
      </c>
      <c r="AH124" s="412"/>
    </row>
    <row r="125" spans="1:34" s="64" customFormat="1" ht="18" hidden="1" customHeight="1" x14ac:dyDescent="0.2">
      <c r="A125" s="514" t="s">
        <v>172</v>
      </c>
      <c r="B125" s="535" t="s">
        <v>173</v>
      </c>
      <c r="C125" s="553">
        <v>0</v>
      </c>
      <c r="D125" s="437">
        <v>0</v>
      </c>
      <c r="E125" s="437">
        <v>0</v>
      </c>
      <c r="F125" s="437">
        <v>0</v>
      </c>
      <c r="G125" s="554">
        <v>0</v>
      </c>
      <c r="H125" s="570">
        <v>0</v>
      </c>
      <c r="I125" s="69">
        <v>0</v>
      </c>
      <c r="J125" s="69">
        <v>0</v>
      </c>
      <c r="K125" s="69">
        <v>0</v>
      </c>
      <c r="L125" s="566">
        <f t="shared" si="31"/>
        <v>0</v>
      </c>
      <c r="M125" s="540"/>
      <c r="N125" s="194"/>
      <c r="O125" s="194"/>
      <c r="P125" s="194"/>
      <c r="Q125" s="194"/>
      <c r="R125" s="568">
        <f t="shared" si="32"/>
        <v>0</v>
      </c>
      <c r="S125" s="540">
        <v>0</v>
      </c>
      <c r="T125" s="572">
        <v>0</v>
      </c>
      <c r="U125" s="196">
        <v>0</v>
      </c>
      <c r="V125" s="506">
        <f t="shared" si="24"/>
        <v>0</v>
      </c>
      <c r="W125" s="196"/>
      <c r="X125" s="195"/>
      <c r="Y125" s="194"/>
      <c r="Z125" s="197"/>
      <c r="AA125" s="196"/>
      <c r="AB125" s="194"/>
      <c r="AC125" s="198"/>
      <c r="AD125" s="195"/>
      <c r="AE125" s="194"/>
      <c r="AF125" s="198"/>
      <c r="AG125" s="592">
        <f t="shared" si="25"/>
        <v>0</v>
      </c>
      <c r="AH125" s="412"/>
    </row>
    <row r="126" spans="1:34" s="64" customFormat="1" ht="18" customHeight="1" x14ac:dyDescent="0.2">
      <c r="A126" s="514" t="s">
        <v>174</v>
      </c>
      <c r="B126" s="535" t="s">
        <v>175</v>
      </c>
      <c r="C126" s="553">
        <v>0</v>
      </c>
      <c r="D126" s="437">
        <v>0</v>
      </c>
      <c r="E126" s="437">
        <v>0</v>
      </c>
      <c r="F126" s="437">
        <v>0</v>
      </c>
      <c r="G126" s="554">
        <v>0</v>
      </c>
      <c r="H126" s="570">
        <v>0</v>
      </c>
      <c r="I126" s="69">
        <v>0</v>
      </c>
      <c r="J126" s="69">
        <v>0</v>
      </c>
      <c r="K126" s="69">
        <v>0</v>
      </c>
      <c r="L126" s="566">
        <f t="shared" si="31"/>
        <v>0</v>
      </c>
      <c r="M126" s="540">
        <f>+'AG3'!D17</f>
        <v>8322.01</v>
      </c>
      <c r="N126" s="194">
        <v>0</v>
      </c>
      <c r="O126" s="194">
        <v>0</v>
      </c>
      <c r="P126" s="194">
        <v>0</v>
      </c>
      <c r="Q126" s="194">
        <v>0</v>
      </c>
      <c r="R126" s="568">
        <f t="shared" si="32"/>
        <v>8322.01</v>
      </c>
      <c r="S126" s="540">
        <v>0</v>
      </c>
      <c r="T126" s="572">
        <v>0</v>
      </c>
      <c r="U126" s="196">
        <v>0</v>
      </c>
      <c r="V126" s="506">
        <f t="shared" si="24"/>
        <v>0</v>
      </c>
      <c r="W126" s="196"/>
      <c r="X126" s="195"/>
      <c r="Y126" s="194"/>
      <c r="Z126" s="197"/>
      <c r="AA126" s="196"/>
      <c r="AB126" s="194"/>
      <c r="AC126" s="198"/>
      <c r="AD126" s="195"/>
      <c r="AE126" s="194"/>
      <c r="AF126" s="198"/>
      <c r="AG126" s="592">
        <f t="shared" si="25"/>
        <v>8322.01</v>
      </c>
      <c r="AH126" s="412"/>
    </row>
    <row r="127" spans="1:34" s="64" customFormat="1" ht="18" customHeight="1" x14ac:dyDescent="0.2">
      <c r="A127" s="514" t="s">
        <v>176</v>
      </c>
      <c r="B127" s="535" t="s">
        <v>177</v>
      </c>
      <c r="C127" s="553">
        <v>0</v>
      </c>
      <c r="D127" s="437">
        <v>0</v>
      </c>
      <c r="E127" s="437">
        <v>0</v>
      </c>
      <c r="F127" s="437">
        <v>0</v>
      </c>
      <c r="G127" s="554">
        <v>0</v>
      </c>
      <c r="H127" s="570">
        <v>0</v>
      </c>
      <c r="I127" s="69">
        <v>0</v>
      </c>
      <c r="J127" s="69">
        <v>0</v>
      </c>
      <c r="K127" s="69">
        <v>0</v>
      </c>
      <c r="L127" s="566">
        <f t="shared" si="31"/>
        <v>0</v>
      </c>
      <c r="M127" s="540">
        <f>+'AG3'!D18</f>
        <v>0</v>
      </c>
      <c r="N127" s="194">
        <v>0</v>
      </c>
      <c r="O127" s="194">
        <v>0</v>
      </c>
      <c r="P127" s="194">
        <v>0</v>
      </c>
      <c r="Q127" s="194">
        <v>0</v>
      </c>
      <c r="R127" s="568">
        <f t="shared" si="32"/>
        <v>0</v>
      </c>
      <c r="S127" s="540">
        <v>0</v>
      </c>
      <c r="T127" s="572">
        <v>0</v>
      </c>
      <c r="U127" s="196">
        <v>0</v>
      </c>
      <c r="V127" s="506">
        <f t="shared" si="24"/>
        <v>0</v>
      </c>
      <c r="W127" s="196"/>
      <c r="X127" s="195"/>
      <c r="Y127" s="194"/>
      <c r="Z127" s="197"/>
      <c r="AA127" s="196"/>
      <c r="AB127" s="194"/>
      <c r="AC127" s="198"/>
      <c r="AD127" s="195"/>
      <c r="AE127" s="194"/>
      <c r="AF127" s="198"/>
      <c r="AG127" s="592">
        <f t="shared" si="25"/>
        <v>0</v>
      </c>
      <c r="AH127" s="412"/>
    </row>
    <row r="128" spans="1:34" s="64" customFormat="1" ht="18" hidden="1" customHeight="1" x14ac:dyDescent="0.2">
      <c r="A128" s="514" t="s">
        <v>178</v>
      </c>
      <c r="B128" s="535" t="s">
        <v>179</v>
      </c>
      <c r="C128" s="553">
        <v>0</v>
      </c>
      <c r="D128" s="437">
        <v>0</v>
      </c>
      <c r="E128" s="437">
        <v>0</v>
      </c>
      <c r="F128" s="437">
        <v>0</v>
      </c>
      <c r="G128" s="554">
        <v>0</v>
      </c>
      <c r="H128" s="570">
        <v>0</v>
      </c>
      <c r="I128" s="69">
        <v>0</v>
      </c>
      <c r="J128" s="69">
        <v>0</v>
      </c>
      <c r="K128" s="69">
        <v>0</v>
      </c>
      <c r="L128" s="566">
        <f t="shared" si="31"/>
        <v>0</v>
      </c>
      <c r="M128" s="540"/>
      <c r="N128" s="194">
        <v>0</v>
      </c>
      <c r="O128" s="194">
        <v>0</v>
      </c>
      <c r="P128" s="194">
        <v>0</v>
      </c>
      <c r="Q128" s="194">
        <v>0</v>
      </c>
      <c r="R128" s="568">
        <f t="shared" si="32"/>
        <v>0</v>
      </c>
      <c r="S128" s="540">
        <v>0</v>
      </c>
      <c r="T128" s="572">
        <v>0</v>
      </c>
      <c r="U128" s="196">
        <v>0</v>
      </c>
      <c r="V128" s="506">
        <f t="shared" si="24"/>
        <v>0</v>
      </c>
      <c r="W128" s="196"/>
      <c r="X128" s="195"/>
      <c r="Y128" s="194"/>
      <c r="Z128" s="197"/>
      <c r="AA128" s="196"/>
      <c r="AB128" s="194"/>
      <c r="AC128" s="198"/>
      <c r="AD128" s="195"/>
      <c r="AE128" s="194"/>
      <c r="AF128" s="198"/>
      <c r="AG128" s="592">
        <f t="shared" si="25"/>
        <v>0</v>
      </c>
      <c r="AH128" s="412"/>
    </row>
    <row r="129" spans="1:34" s="64" customFormat="1" ht="18" hidden="1" customHeight="1" x14ac:dyDescent="0.2">
      <c r="A129" s="514" t="s">
        <v>180</v>
      </c>
      <c r="B129" s="535" t="s">
        <v>181</v>
      </c>
      <c r="C129" s="553">
        <v>0</v>
      </c>
      <c r="D129" s="437">
        <v>0</v>
      </c>
      <c r="E129" s="437">
        <v>0</v>
      </c>
      <c r="F129" s="437">
        <v>0</v>
      </c>
      <c r="G129" s="554">
        <v>0</v>
      </c>
      <c r="H129" s="570">
        <v>0</v>
      </c>
      <c r="I129" s="69">
        <v>0</v>
      </c>
      <c r="J129" s="69">
        <v>0</v>
      </c>
      <c r="K129" s="69">
        <v>0</v>
      </c>
      <c r="L129" s="566">
        <f t="shared" si="31"/>
        <v>0</v>
      </c>
      <c r="M129" s="540"/>
      <c r="N129" s="194">
        <v>0</v>
      </c>
      <c r="O129" s="194">
        <v>0</v>
      </c>
      <c r="P129" s="194">
        <v>0</v>
      </c>
      <c r="Q129" s="194">
        <v>0</v>
      </c>
      <c r="R129" s="568">
        <f t="shared" si="32"/>
        <v>0</v>
      </c>
      <c r="S129" s="540">
        <v>0</v>
      </c>
      <c r="T129" s="572">
        <v>0</v>
      </c>
      <c r="U129" s="196">
        <v>0</v>
      </c>
      <c r="V129" s="506">
        <f t="shared" si="24"/>
        <v>0</v>
      </c>
      <c r="W129" s="196"/>
      <c r="X129" s="195"/>
      <c r="Y129" s="194"/>
      <c r="Z129" s="197"/>
      <c r="AA129" s="196"/>
      <c r="AB129" s="194"/>
      <c r="AC129" s="198"/>
      <c r="AD129" s="195"/>
      <c r="AE129" s="194"/>
      <c r="AF129" s="198"/>
      <c r="AG129" s="592">
        <f t="shared" si="25"/>
        <v>0</v>
      </c>
      <c r="AH129" s="412"/>
    </row>
    <row r="130" spans="1:34" s="64" customFormat="1" ht="18" customHeight="1" x14ac:dyDescent="0.2">
      <c r="A130" s="514" t="s">
        <v>182</v>
      </c>
      <c r="B130" s="535" t="s">
        <v>183</v>
      </c>
      <c r="C130" s="553">
        <v>0</v>
      </c>
      <c r="D130" s="437">
        <v>0</v>
      </c>
      <c r="E130" s="437">
        <v>0</v>
      </c>
      <c r="F130" s="437">
        <v>0</v>
      </c>
      <c r="G130" s="554">
        <v>0</v>
      </c>
      <c r="H130" s="570">
        <v>0</v>
      </c>
      <c r="I130" s="69">
        <v>0</v>
      </c>
      <c r="J130" s="69">
        <v>0</v>
      </c>
      <c r="K130" s="69">
        <v>0</v>
      </c>
      <c r="L130" s="566">
        <f t="shared" si="31"/>
        <v>0</v>
      </c>
      <c r="M130" s="540">
        <f>+'AG3'!D19</f>
        <v>0</v>
      </c>
      <c r="N130" s="194">
        <v>0</v>
      </c>
      <c r="O130" s="194">
        <v>0</v>
      </c>
      <c r="P130" s="194">
        <v>0</v>
      </c>
      <c r="Q130" s="194">
        <v>0</v>
      </c>
      <c r="R130" s="568">
        <f t="shared" si="32"/>
        <v>0</v>
      </c>
      <c r="S130" s="540">
        <v>0</v>
      </c>
      <c r="T130" s="572">
        <v>0</v>
      </c>
      <c r="U130" s="196">
        <v>0</v>
      </c>
      <c r="V130" s="506">
        <f t="shared" si="24"/>
        <v>0</v>
      </c>
      <c r="W130" s="196"/>
      <c r="X130" s="195"/>
      <c r="Y130" s="194"/>
      <c r="Z130" s="197"/>
      <c r="AA130" s="196"/>
      <c r="AB130" s="194"/>
      <c r="AC130" s="198"/>
      <c r="AD130" s="195"/>
      <c r="AE130" s="194"/>
      <c r="AF130" s="198"/>
      <c r="AG130" s="592">
        <f t="shared" si="25"/>
        <v>0</v>
      </c>
      <c r="AH130" s="412"/>
    </row>
    <row r="131" spans="1:34" s="64" customFormat="1" ht="18" customHeight="1" x14ac:dyDescent="0.2">
      <c r="A131" s="516" t="s">
        <v>244</v>
      </c>
      <c r="B131" s="534" t="s">
        <v>195</v>
      </c>
      <c r="C131" s="552">
        <v>0</v>
      </c>
      <c r="D131" s="430">
        <v>0</v>
      </c>
      <c r="E131" s="430">
        <v>0</v>
      </c>
      <c r="F131" s="430">
        <v>0</v>
      </c>
      <c r="G131" s="555">
        <v>0</v>
      </c>
      <c r="H131" s="571">
        <v>0</v>
      </c>
      <c r="I131" s="54">
        <v>0</v>
      </c>
      <c r="J131" s="54">
        <v>0</v>
      </c>
      <c r="K131" s="54">
        <v>0</v>
      </c>
      <c r="L131" s="566">
        <f t="shared" si="31"/>
        <v>0</v>
      </c>
      <c r="M131" s="493">
        <f>M132+M133+M134</f>
        <v>7223.64</v>
      </c>
      <c r="N131" s="54">
        <f>N132+N133+N134</f>
        <v>0</v>
      </c>
      <c r="O131" s="54">
        <v>0</v>
      </c>
      <c r="P131" s="54">
        <v>0</v>
      </c>
      <c r="Q131" s="54">
        <v>0</v>
      </c>
      <c r="R131" s="566">
        <f>M131+N131+O131+P131+Q131</f>
        <v>7223.64</v>
      </c>
      <c r="S131" s="493">
        <v>0</v>
      </c>
      <c r="T131" s="571">
        <v>0</v>
      </c>
      <c r="U131" s="53">
        <v>0</v>
      </c>
      <c r="V131" s="505">
        <f t="shared" si="24"/>
        <v>0</v>
      </c>
      <c r="W131" s="196"/>
      <c r="X131" s="195"/>
      <c r="Y131" s="194"/>
      <c r="Z131" s="197"/>
      <c r="AA131" s="196"/>
      <c r="AB131" s="194"/>
      <c r="AC131" s="198"/>
      <c r="AD131" s="195"/>
      <c r="AE131" s="194"/>
      <c r="AF131" s="198"/>
      <c r="AG131" s="591">
        <f t="shared" si="25"/>
        <v>7223.64</v>
      </c>
      <c r="AH131" s="412"/>
    </row>
    <row r="132" spans="1:34" s="64" customFormat="1" ht="18" hidden="1" customHeight="1" x14ac:dyDescent="0.2">
      <c r="A132" s="514" t="s">
        <v>245</v>
      </c>
      <c r="B132" s="535" t="s">
        <v>246</v>
      </c>
      <c r="C132" s="553">
        <v>0</v>
      </c>
      <c r="D132" s="437">
        <v>0</v>
      </c>
      <c r="E132" s="437">
        <v>0</v>
      </c>
      <c r="F132" s="437">
        <v>0</v>
      </c>
      <c r="G132" s="554">
        <v>0</v>
      </c>
      <c r="H132" s="572">
        <v>0</v>
      </c>
      <c r="I132" s="194">
        <v>0</v>
      </c>
      <c r="J132" s="194">
        <v>0</v>
      </c>
      <c r="K132" s="194">
        <v>0</v>
      </c>
      <c r="L132" s="566">
        <f t="shared" si="31"/>
        <v>0</v>
      </c>
      <c r="M132" s="540"/>
      <c r="N132" s="194"/>
      <c r="O132" s="194"/>
      <c r="P132" s="194"/>
      <c r="Q132" s="194"/>
      <c r="R132" s="568">
        <f>M132+N132+O132+P132</f>
        <v>0</v>
      </c>
      <c r="S132" s="540"/>
      <c r="T132" s="572"/>
      <c r="U132" s="196"/>
      <c r="V132" s="506">
        <f t="shared" si="24"/>
        <v>0</v>
      </c>
      <c r="W132" s="196"/>
      <c r="X132" s="195"/>
      <c r="Y132" s="194"/>
      <c r="Z132" s="197"/>
      <c r="AA132" s="196"/>
      <c r="AB132" s="194"/>
      <c r="AC132" s="198"/>
      <c r="AD132" s="195"/>
      <c r="AE132" s="194"/>
      <c r="AF132" s="198"/>
      <c r="AG132" s="591">
        <f t="shared" si="25"/>
        <v>0</v>
      </c>
      <c r="AH132" s="412"/>
    </row>
    <row r="133" spans="1:34" s="64" customFormat="1" ht="18" customHeight="1" x14ac:dyDescent="0.2">
      <c r="A133" s="514" t="s">
        <v>247</v>
      </c>
      <c r="B133" s="535" t="s">
        <v>248</v>
      </c>
      <c r="C133" s="553">
        <v>0</v>
      </c>
      <c r="D133" s="437">
        <v>0</v>
      </c>
      <c r="E133" s="437">
        <v>0</v>
      </c>
      <c r="F133" s="437">
        <v>0</v>
      </c>
      <c r="G133" s="554">
        <v>0</v>
      </c>
      <c r="H133" s="572">
        <v>0</v>
      </c>
      <c r="I133" s="194">
        <v>0</v>
      </c>
      <c r="J133" s="194">
        <v>0</v>
      </c>
      <c r="K133" s="194">
        <v>0</v>
      </c>
      <c r="L133" s="566">
        <f t="shared" si="31"/>
        <v>0</v>
      </c>
      <c r="M133" s="540">
        <f>+'AG3'!D23</f>
        <v>7223.64</v>
      </c>
      <c r="N133" s="194">
        <v>0</v>
      </c>
      <c r="O133" s="194">
        <v>0</v>
      </c>
      <c r="P133" s="194">
        <v>0</v>
      </c>
      <c r="Q133" s="194">
        <v>0</v>
      </c>
      <c r="R133" s="568">
        <f>M133+N133+O133+P133+Q133</f>
        <v>7223.64</v>
      </c>
      <c r="S133" s="540">
        <v>0</v>
      </c>
      <c r="T133" s="572">
        <v>0</v>
      </c>
      <c r="U133" s="196">
        <v>0</v>
      </c>
      <c r="V133" s="506">
        <f t="shared" si="24"/>
        <v>0</v>
      </c>
      <c r="W133" s="196"/>
      <c r="X133" s="195"/>
      <c r="Y133" s="194"/>
      <c r="Z133" s="197"/>
      <c r="AA133" s="196"/>
      <c r="AB133" s="194"/>
      <c r="AC133" s="198"/>
      <c r="AD133" s="195"/>
      <c r="AE133" s="194"/>
      <c r="AF133" s="198"/>
      <c r="AG133" s="592">
        <f t="shared" si="25"/>
        <v>7223.64</v>
      </c>
      <c r="AH133" s="412"/>
    </row>
    <row r="134" spans="1:34" s="64" customFormat="1" ht="18" hidden="1" customHeight="1" x14ac:dyDescent="0.2">
      <c r="A134" s="514" t="s">
        <v>249</v>
      </c>
      <c r="B134" s="535" t="s">
        <v>250</v>
      </c>
      <c r="C134" s="553">
        <v>0</v>
      </c>
      <c r="D134" s="437">
        <v>0</v>
      </c>
      <c r="E134" s="437">
        <v>0</v>
      </c>
      <c r="F134" s="437">
        <v>0</v>
      </c>
      <c r="G134" s="554">
        <v>0</v>
      </c>
      <c r="H134" s="572">
        <v>0</v>
      </c>
      <c r="I134" s="194">
        <v>0</v>
      </c>
      <c r="J134" s="194">
        <v>0</v>
      </c>
      <c r="K134" s="194">
        <v>0</v>
      </c>
      <c r="L134" s="566">
        <f t="shared" si="31"/>
        <v>0</v>
      </c>
      <c r="M134" s="540"/>
      <c r="N134" s="194"/>
      <c r="O134" s="194"/>
      <c r="P134" s="194"/>
      <c r="Q134" s="194"/>
      <c r="R134" s="568">
        <f>M134+N134+O134+P134</f>
        <v>0</v>
      </c>
      <c r="S134" s="540"/>
      <c r="T134" s="572"/>
      <c r="U134" s="196"/>
      <c r="V134" s="506">
        <f t="shared" si="24"/>
        <v>0</v>
      </c>
      <c r="W134" s="196"/>
      <c r="X134" s="195"/>
      <c r="Y134" s="194"/>
      <c r="Z134" s="197"/>
      <c r="AA134" s="196"/>
      <c r="AB134" s="194"/>
      <c r="AC134" s="198"/>
      <c r="AD134" s="195"/>
      <c r="AE134" s="194"/>
      <c r="AF134" s="198"/>
      <c r="AG134" s="591">
        <f t="shared" si="25"/>
        <v>0</v>
      </c>
      <c r="AH134" s="412"/>
    </row>
    <row r="135" spans="1:34" s="64" customFormat="1" ht="18" customHeight="1" x14ac:dyDescent="0.2">
      <c r="A135" s="513">
        <v>615</v>
      </c>
      <c r="B135" s="534" t="s">
        <v>197</v>
      </c>
      <c r="C135" s="552">
        <v>0</v>
      </c>
      <c r="D135" s="430">
        <v>0</v>
      </c>
      <c r="E135" s="430">
        <v>0</v>
      </c>
      <c r="F135" s="430">
        <v>0</v>
      </c>
      <c r="G135" s="555">
        <v>0</v>
      </c>
      <c r="H135" s="571">
        <v>0</v>
      </c>
      <c r="I135" s="54">
        <v>0</v>
      </c>
      <c r="J135" s="54">
        <v>0</v>
      </c>
      <c r="K135" s="54">
        <v>0</v>
      </c>
      <c r="L135" s="566">
        <f t="shared" si="31"/>
        <v>0</v>
      </c>
      <c r="M135" s="493">
        <f>M136+M137+M138+M139</f>
        <v>51610.65</v>
      </c>
      <c r="N135" s="54">
        <v>0</v>
      </c>
      <c r="O135" s="54">
        <v>0</v>
      </c>
      <c r="P135" s="54">
        <v>0</v>
      </c>
      <c r="Q135" s="54">
        <v>0</v>
      </c>
      <c r="R135" s="566">
        <f>M135+N135+O135+P135+Q135</f>
        <v>51610.65</v>
      </c>
      <c r="S135" s="493">
        <v>0</v>
      </c>
      <c r="T135" s="571">
        <v>0</v>
      </c>
      <c r="U135" s="53">
        <v>0</v>
      </c>
      <c r="V135" s="505">
        <f t="shared" si="24"/>
        <v>0</v>
      </c>
      <c r="W135" s="196"/>
      <c r="X135" s="195"/>
      <c r="Y135" s="194"/>
      <c r="Z135" s="197"/>
      <c r="AA135" s="196"/>
      <c r="AB135" s="194"/>
      <c r="AC135" s="198"/>
      <c r="AD135" s="195"/>
      <c r="AE135" s="194"/>
      <c r="AF135" s="198"/>
      <c r="AG135" s="591">
        <f t="shared" si="25"/>
        <v>51610.65</v>
      </c>
      <c r="AH135" s="412"/>
    </row>
    <row r="136" spans="1:34" s="64" customFormat="1" ht="18" hidden="1" customHeight="1" x14ac:dyDescent="0.2">
      <c r="A136" s="515">
        <v>61501</v>
      </c>
      <c r="B136" s="535" t="s">
        <v>198</v>
      </c>
      <c r="C136" s="553">
        <v>0</v>
      </c>
      <c r="D136" s="437">
        <v>0</v>
      </c>
      <c r="E136" s="437">
        <v>0</v>
      </c>
      <c r="F136" s="437">
        <v>0</v>
      </c>
      <c r="G136" s="554">
        <v>0</v>
      </c>
      <c r="H136" s="572">
        <v>0</v>
      </c>
      <c r="I136" s="194">
        <v>0</v>
      </c>
      <c r="J136" s="194">
        <v>0</v>
      </c>
      <c r="K136" s="194">
        <v>0</v>
      </c>
      <c r="L136" s="566">
        <f t="shared" si="31"/>
        <v>0</v>
      </c>
      <c r="M136" s="540"/>
      <c r="N136" s="194">
        <v>0</v>
      </c>
      <c r="O136" s="194">
        <v>0</v>
      </c>
      <c r="P136" s="194">
        <v>0</v>
      </c>
      <c r="Q136" s="194">
        <v>0</v>
      </c>
      <c r="R136" s="568">
        <f>M136+N136+O136+P136</f>
        <v>0</v>
      </c>
      <c r="S136" s="540">
        <v>0</v>
      </c>
      <c r="T136" s="572">
        <v>0</v>
      </c>
      <c r="U136" s="196">
        <v>0</v>
      </c>
      <c r="V136" s="505">
        <f t="shared" si="24"/>
        <v>0</v>
      </c>
      <c r="W136" s="196"/>
      <c r="X136" s="195"/>
      <c r="Y136" s="194"/>
      <c r="Z136" s="197"/>
      <c r="AA136" s="196"/>
      <c r="AB136" s="194"/>
      <c r="AC136" s="198"/>
      <c r="AD136" s="195"/>
      <c r="AE136" s="194"/>
      <c r="AF136" s="198"/>
      <c r="AG136" s="591">
        <f t="shared" si="25"/>
        <v>0</v>
      </c>
      <c r="AH136" s="412"/>
    </row>
    <row r="137" spans="1:34" s="64" customFormat="1" ht="18" hidden="1" customHeight="1" x14ac:dyDescent="0.2">
      <c r="A137" s="515">
        <v>61502</v>
      </c>
      <c r="B137" s="535" t="s">
        <v>199</v>
      </c>
      <c r="C137" s="553">
        <v>0</v>
      </c>
      <c r="D137" s="437">
        <v>0</v>
      </c>
      <c r="E137" s="437">
        <v>0</v>
      </c>
      <c r="F137" s="437">
        <v>0</v>
      </c>
      <c r="G137" s="554">
        <v>0</v>
      </c>
      <c r="H137" s="572">
        <v>0</v>
      </c>
      <c r="I137" s="194">
        <v>0</v>
      </c>
      <c r="J137" s="194">
        <v>0</v>
      </c>
      <c r="K137" s="194">
        <v>0</v>
      </c>
      <c r="L137" s="566">
        <f t="shared" si="31"/>
        <v>0</v>
      </c>
      <c r="M137" s="540"/>
      <c r="N137" s="194">
        <v>0</v>
      </c>
      <c r="O137" s="194">
        <v>0</v>
      </c>
      <c r="P137" s="194">
        <v>0</v>
      </c>
      <c r="Q137" s="194">
        <v>0</v>
      </c>
      <c r="R137" s="568">
        <f>M137+N137+O137+P137</f>
        <v>0</v>
      </c>
      <c r="S137" s="540">
        <v>0</v>
      </c>
      <c r="T137" s="572">
        <v>0</v>
      </c>
      <c r="U137" s="196">
        <v>0</v>
      </c>
      <c r="V137" s="505">
        <f t="shared" si="24"/>
        <v>0</v>
      </c>
      <c r="W137" s="196"/>
      <c r="X137" s="195"/>
      <c r="Y137" s="194"/>
      <c r="Z137" s="197"/>
      <c r="AA137" s="196"/>
      <c r="AB137" s="194"/>
      <c r="AC137" s="198"/>
      <c r="AD137" s="195"/>
      <c r="AE137" s="194"/>
      <c r="AF137" s="198"/>
      <c r="AG137" s="591">
        <f t="shared" si="25"/>
        <v>0</v>
      </c>
      <c r="AH137" s="412"/>
    </row>
    <row r="138" spans="1:34" s="64" customFormat="1" ht="18" hidden="1" customHeight="1" x14ac:dyDescent="0.2">
      <c r="A138" s="515">
        <v>61503</v>
      </c>
      <c r="B138" s="535" t="s">
        <v>200</v>
      </c>
      <c r="C138" s="553">
        <v>0</v>
      </c>
      <c r="D138" s="437">
        <v>0</v>
      </c>
      <c r="E138" s="437">
        <v>0</v>
      </c>
      <c r="F138" s="437">
        <v>0</v>
      </c>
      <c r="G138" s="554">
        <v>0</v>
      </c>
      <c r="H138" s="572">
        <v>0</v>
      </c>
      <c r="I138" s="194">
        <v>0</v>
      </c>
      <c r="J138" s="194">
        <v>0</v>
      </c>
      <c r="K138" s="194">
        <v>0</v>
      </c>
      <c r="L138" s="566">
        <f t="shared" si="31"/>
        <v>0</v>
      </c>
      <c r="M138" s="540"/>
      <c r="N138" s="194">
        <v>0</v>
      </c>
      <c r="O138" s="194">
        <v>0</v>
      </c>
      <c r="P138" s="194">
        <v>0</v>
      </c>
      <c r="Q138" s="194">
        <v>0</v>
      </c>
      <c r="R138" s="568">
        <f>M138+N138+O138+P138</f>
        <v>0</v>
      </c>
      <c r="S138" s="540">
        <v>0</v>
      </c>
      <c r="T138" s="572">
        <v>0</v>
      </c>
      <c r="U138" s="196">
        <v>0</v>
      </c>
      <c r="V138" s="505">
        <f t="shared" si="24"/>
        <v>0</v>
      </c>
      <c r="W138" s="196"/>
      <c r="X138" s="195"/>
      <c r="Y138" s="194"/>
      <c r="Z138" s="197"/>
      <c r="AA138" s="196"/>
      <c r="AB138" s="194"/>
      <c r="AC138" s="198"/>
      <c r="AD138" s="195"/>
      <c r="AE138" s="194"/>
      <c r="AF138" s="198"/>
      <c r="AG138" s="591">
        <f t="shared" si="25"/>
        <v>0</v>
      </c>
      <c r="AH138" s="412"/>
    </row>
    <row r="139" spans="1:34" s="64" customFormat="1" ht="18" customHeight="1" x14ac:dyDescent="0.2">
      <c r="A139" s="515">
        <v>61599</v>
      </c>
      <c r="B139" s="535" t="s">
        <v>201</v>
      </c>
      <c r="C139" s="553">
        <v>0</v>
      </c>
      <c r="D139" s="437">
        <v>0</v>
      </c>
      <c r="E139" s="437">
        <v>0</v>
      </c>
      <c r="F139" s="437">
        <v>0</v>
      </c>
      <c r="G139" s="554">
        <v>0</v>
      </c>
      <c r="H139" s="572">
        <v>0</v>
      </c>
      <c r="I139" s="194">
        <v>0</v>
      </c>
      <c r="J139" s="194">
        <v>0</v>
      </c>
      <c r="K139" s="194">
        <v>0</v>
      </c>
      <c r="L139" s="566">
        <f t="shared" si="31"/>
        <v>0</v>
      </c>
      <c r="M139" s="540">
        <f>+'AG3'!D29</f>
        <v>51610.65</v>
      </c>
      <c r="N139" s="194">
        <v>0</v>
      </c>
      <c r="O139" s="194">
        <v>0</v>
      </c>
      <c r="P139" s="194">
        <v>0</v>
      </c>
      <c r="Q139" s="194">
        <v>0</v>
      </c>
      <c r="R139" s="568">
        <f>M139+N139+O139+P139+Q139</f>
        <v>51610.65</v>
      </c>
      <c r="S139" s="540">
        <v>0</v>
      </c>
      <c r="T139" s="572">
        <v>0</v>
      </c>
      <c r="U139" s="196">
        <v>0</v>
      </c>
      <c r="V139" s="506">
        <f t="shared" si="24"/>
        <v>0</v>
      </c>
      <c r="W139" s="196"/>
      <c r="X139" s="195"/>
      <c r="Y139" s="194"/>
      <c r="Z139" s="197"/>
      <c r="AA139" s="196"/>
      <c r="AB139" s="194"/>
      <c r="AC139" s="198"/>
      <c r="AD139" s="195"/>
      <c r="AE139" s="194"/>
      <c r="AF139" s="198"/>
      <c r="AG139" s="592">
        <f t="shared" si="25"/>
        <v>51610.65</v>
      </c>
      <c r="AH139" s="412"/>
    </row>
    <row r="140" spans="1:34" s="64" customFormat="1" ht="18" customHeight="1" x14ac:dyDescent="0.2">
      <c r="A140" s="513">
        <v>616</v>
      </c>
      <c r="B140" s="534" t="s">
        <v>202</v>
      </c>
      <c r="C140" s="552">
        <v>0</v>
      </c>
      <c r="D140" s="430">
        <v>0</v>
      </c>
      <c r="E140" s="430">
        <v>0</v>
      </c>
      <c r="F140" s="437">
        <f>F142</f>
        <v>0</v>
      </c>
      <c r="G140" s="555">
        <f>G142</f>
        <v>0</v>
      </c>
      <c r="H140" s="571">
        <v>0</v>
      </c>
      <c r="I140" s="54">
        <v>0</v>
      </c>
      <c r="J140" s="54">
        <v>0</v>
      </c>
      <c r="K140" s="54">
        <v>0</v>
      </c>
      <c r="L140" s="566">
        <f>K140</f>
        <v>0</v>
      </c>
      <c r="M140" s="493">
        <f>M141+M142+M143+M144+M145+M146+M147+M148</f>
        <v>0</v>
      </c>
      <c r="N140" s="54">
        <f>SUM(N141:N148)</f>
        <v>502367.66000000003</v>
      </c>
      <c r="O140" s="54">
        <f>SUM(O141:O148)</f>
        <v>248526.13</v>
      </c>
      <c r="P140" s="194">
        <v>0</v>
      </c>
      <c r="Q140" s="194">
        <v>0</v>
      </c>
      <c r="R140" s="566">
        <f>M140+N140+O140+P140+Q140</f>
        <v>750893.79</v>
      </c>
      <c r="S140" s="493">
        <f>S141+S142+S143+S144+S145+S146+S147+S148</f>
        <v>0</v>
      </c>
      <c r="T140" s="571">
        <f>T141+T142+T143+T144+T145+T146+T147+T148</f>
        <v>581.32000000000005</v>
      </c>
      <c r="U140" s="53">
        <f>U141+U142+U143+U144+U145+U146+U147+U148</f>
        <v>0</v>
      </c>
      <c r="V140" s="505">
        <f t="shared" si="24"/>
        <v>581.32000000000005</v>
      </c>
      <c r="W140" s="53">
        <f>W141+W142+W143+W144+W145+W146+W147+W148</f>
        <v>0</v>
      </c>
      <c r="X140" s="195"/>
      <c r="Y140" s="194"/>
      <c r="Z140" s="197"/>
      <c r="AA140" s="196"/>
      <c r="AB140" s="194"/>
      <c r="AC140" s="198"/>
      <c r="AD140" s="195"/>
      <c r="AE140" s="194"/>
      <c r="AF140" s="198"/>
      <c r="AG140" s="591">
        <f t="shared" si="25"/>
        <v>751475.11</v>
      </c>
      <c r="AH140" s="412"/>
    </row>
    <row r="141" spans="1:34" s="64" customFormat="1" ht="18" customHeight="1" x14ac:dyDescent="0.2">
      <c r="A141" s="515">
        <v>61601</v>
      </c>
      <c r="B141" s="535" t="s">
        <v>203</v>
      </c>
      <c r="C141" s="556">
        <v>0</v>
      </c>
      <c r="D141" s="432">
        <v>0</v>
      </c>
      <c r="E141" s="432">
        <v>0</v>
      </c>
      <c r="F141" s="432">
        <v>0</v>
      </c>
      <c r="G141" s="557">
        <v>0</v>
      </c>
      <c r="H141" s="572">
        <v>0</v>
      </c>
      <c r="I141" s="194">
        <v>0</v>
      </c>
      <c r="J141" s="194">
        <v>0</v>
      </c>
      <c r="K141" s="194">
        <v>0</v>
      </c>
      <c r="L141" s="566">
        <f t="shared" si="31"/>
        <v>0</v>
      </c>
      <c r="M141" s="540">
        <v>0</v>
      </c>
      <c r="N141" s="194">
        <v>0</v>
      </c>
      <c r="O141" s="194">
        <f>'AG4'!D25</f>
        <v>227109.92</v>
      </c>
      <c r="P141" s="194">
        <v>0</v>
      </c>
      <c r="Q141" s="194">
        <v>0</v>
      </c>
      <c r="R141" s="568">
        <f>SUM(M141:Q141)</f>
        <v>227109.92</v>
      </c>
      <c r="S141" s="540">
        <f>'AG4'!F25</f>
        <v>0</v>
      </c>
      <c r="T141" s="572">
        <v>0</v>
      </c>
      <c r="U141" s="196">
        <f>+'AG4'!G25</f>
        <v>0</v>
      </c>
      <c r="V141" s="506">
        <f t="shared" si="24"/>
        <v>0</v>
      </c>
      <c r="W141" s="196"/>
      <c r="X141" s="195"/>
      <c r="Y141" s="194"/>
      <c r="Z141" s="197"/>
      <c r="AA141" s="196"/>
      <c r="AB141" s="194"/>
      <c r="AC141" s="198"/>
      <c r="AD141" s="195"/>
      <c r="AE141" s="194"/>
      <c r="AF141" s="198"/>
      <c r="AG141" s="592">
        <f t="shared" si="25"/>
        <v>227109.92</v>
      </c>
      <c r="AH141" s="412"/>
    </row>
    <row r="142" spans="1:34" s="64" customFormat="1" ht="18" customHeight="1" x14ac:dyDescent="0.2">
      <c r="A142" s="515">
        <v>61602</v>
      </c>
      <c r="B142" s="535" t="s">
        <v>204</v>
      </c>
      <c r="C142" s="548">
        <v>0</v>
      </c>
      <c r="D142" s="432">
        <v>0</v>
      </c>
      <c r="E142" s="432">
        <v>0</v>
      </c>
      <c r="F142" s="432">
        <v>0</v>
      </c>
      <c r="G142" s="557">
        <v>0</v>
      </c>
      <c r="H142" s="572">
        <v>0</v>
      </c>
      <c r="I142" s="194">
        <v>0</v>
      </c>
      <c r="J142" s="194">
        <v>0</v>
      </c>
      <c r="K142" s="194">
        <v>0</v>
      </c>
      <c r="L142" s="566">
        <f>K142</f>
        <v>0</v>
      </c>
      <c r="M142" s="540">
        <v>0</v>
      </c>
      <c r="N142" s="194">
        <f>+'AG3'!D32</f>
        <v>119355.28000000001</v>
      </c>
      <c r="O142" s="194">
        <v>0</v>
      </c>
      <c r="P142" s="194">
        <v>0</v>
      </c>
      <c r="Q142" s="194">
        <v>0</v>
      </c>
      <c r="R142" s="568">
        <f>SUM(M142:Q142)</f>
        <v>119355.28000000001</v>
      </c>
      <c r="S142" s="540">
        <v>0</v>
      </c>
      <c r="T142" s="572">
        <v>0</v>
      </c>
      <c r="U142" s="196">
        <v>0</v>
      </c>
      <c r="V142" s="506">
        <f t="shared" si="24"/>
        <v>0</v>
      </c>
      <c r="W142" s="196"/>
      <c r="X142" s="195"/>
      <c r="Y142" s="194"/>
      <c r="Z142" s="197"/>
      <c r="AA142" s="196"/>
      <c r="AB142" s="194"/>
      <c r="AC142" s="198"/>
      <c r="AD142" s="195"/>
      <c r="AE142" s="194"/>
      <c r="AF142" s="198"/>
      <c r="AG142" s="592">
        <f t="shared" si="25"/>
        <v>119355.28000000001</v>
      </c>
      <c r="AH142" s="412"/>
    </row>
    <row r="143" spans="1:34" s="64" customFormat="1" ht="18" customHeight="1" x14ac:dyDescent="0.2">
      <c r="A143" s="515">
        <v>61603</v>
      </c>
      <c r="B143" s="535" t="s">
        <v>205</v>
      </c>
      <c r="C143" s="556">
        <v>0</v>
      </c>
      <c r="D143" s="432">
        <v>0</v>
      </c>
      <c r="E143" s="432">
        <v>0</v>
      </c>
      <c r="F143" s="432">
        <v>0</v>
      </c>
      <c r="G143" s="557">
        <v>0</v>
      </c>
      <c r="H143" s="572">
        <v>0</v>
      </c>
      <c r="I143" s="194">
        <v>0</v>
      </c>
      <c r="J143" s="194">
        <v>0</v>
      </c>
      <c r="K143" s="194">
        <v>0</v>
      </c>
      <c r="L143" s="566">
        <f t="shared" si="31"/>
        <v>0</v>
      </c>
      <c r="M143" s="540">
        <v>0</v>
      </c>
      <c r="N143" s="194">
        <f>+'AG3'!D42</f>
        <v>183371.84000000003</v>
      </c>
      <c r="O143" s="194">
        <v>0</v>
      </c>
      <c r="P143" s="194">
        <v>0</v>
      </c>
      <c r="Q143" s="194">
        <v>0</v>
      </c>
      <c r="R143" s="568">
        <f t="shared" ref="R143:R149" si="33">SUM(M143:Q143)</f>
        <v>183371.84000000003</v>
      </c>
      <c r="S143" s="540">
        <v>0</v>
      </c>
      <c r="T143" s="572">
        <f>+'AG3'!I42</f>
        <v>581.32000000000005</v>
      </c>
      <c r="U143" s="196">
        <v>0</v>
      </c>
      <c r="V143" s="506">
        <f t="shared" ref="V143:V153" si="34">+T143+U143</f>
        <v>581.32000000000005</v>
      </c>
      <c r="W143" s="196"/>
      <c r="X143" s="195"/>
      <c r="Y143" s="194"/>
      <c r="Z143" s="197"/>
      <c r="AA143" s="196"/>
      <c r="AB143" s="194"/>
      <c r="AC143" s="198"/>
      <c r="AD143" s="195"/>
      <c r="AE143" s="194"/>
      <c r="AF143" s="198"/>
      <c r="AG143" s="592">
        <f t="shared" ref="AG143:AG152" si="35">+L143+R143+G143+Z143+AC143+AF143+S143+V143+W143</f>
        <v>183953.16000000003</v>
      </c>
      <c r="AH143" s="412"/>
    </row>
    <row r="144" spans="1:34" s="64" customFormat="1" ht="18" customHeight="1" x14ac:dyDescent="0.2">
      <c r="A144" s="515">
        <v>61604</v>
      </c>
      <c r="B144" s="535" t="s">
        <v>206</v>
      </c>
      <c r="C144" s="556">
        <v>0</v>
      </c>
      <c r="D144" s="432">
        <v>0</v>
      </c>
      <c r="E144" s="432">
        <v>0</v>
      </c>
      <c r="F144" s="432">
        <v>0</v>
      </c>
      <c r="G144" s="557">
        <v>0</v>
      </c>
      <c r="H144" s="572">
        <v>0</v>
      </c>
      <c r="I144" s="194">
        <v>0</v>
      </c>
      <c r="J144" s="194">
        <v>0</v>
      </c>
      <c r="K144" s="194">
        <v>0</v>
      </c>
      <c r="L144" s="566">
        <f t="shared" si="31"/>
        <v>0</v>
      </c>
      <c r="M144" s="196">
        <v>0</v>
      </c>
      <c r="N144" s="194">
        <f>+'AG3'!D54</f>
        <v>39711.879999999997</v>
      </c>
      <c r="O144" s="194">
        <v>0</v>
      </c>
      <c r="P144" s="194">
        <v>0</v>
      </c>
      <c r="Q144" s="194">
        <v>0</v>
      </c>
      <c r="R144" s="568">
        <f t="shared" si="33"/>
        <v>39711.879999999997</v>
      </c>
      <c r="S144" s="540">
        <v>0</v>
      </c>
      <c r="T144" s="572">
        <v>0</v>
      </c>
      <c r="U144" s="196">
        <v>0</v>
      </c>
      <c r="V144" s="506">
        <f t="shared" si="34"/>
        <v>0</v>
      </c>
      <c r="W144" s="196"/>
      <c r="X144" s="195"/>
      <c r="Y144" s="194"/>
      <c r="Z144" s="197"/>
      <c r="AA144" s="196"/>
      <c r="AB144" s="194"/>
      <c r="AC144" s="198"/>
      <c r="AD144" s="195"/>
      <c r="AE144" s="194"/>
      <c r="AF144" s="198"/>
      <c r="AG144" s="592">
        <f t="shared" si="35"/>
        <v>39711.879999999997</v>
      </c>
      <c r="AH144" s="412"/>
    </row>
    <row r="145" spans="1:34" s="64" customFormat="1" ht="18" customHeight="1" x14ac:dyDescent="0.2">
      <c r="A145" s="515">
        <v>61606</v>
      </c>
      <c r="B145" s="535" t="s">
        <v>207</v>
      </c>
      <c r="C145" s="556">
        <v>0</v>
      </c>
      <c r="D145" s="432">
        <v>0</v>
      </c>
      <c r="E145" s="432">
        <v>0</v>
      </c>
      <c r="F145" s="432">
        <v>0</v>
      </c>
      <c r="G145" s="557">
        <v>0</v>
      </c>
      <c r="H145" s="572">
        <v>0</v>
      </c>
      <c r="I145" s="194">
        <v>0</v>
      </c>
      <c r="J145" s="194">
        <v>0</v>
      </c>
      <c r="K145" s="194">
        <v>0</v>
      </c>
      <c r="L145" s="566">
        <f t="shared" si="31"/>
        <v>0</v>
      </c>
      <c r="M145" s="196">
        <v>0</v>
      </c>
      <c r="N145" s="194">
        <f>+'AG3'!D57</f>
        <v>20000</v>
      </c>
      <c r="O145" s="194">
        <v>0</v>
      </c>
      <c r="P145" s="194">
        <v>0</v>
      </c>
      <c r="Q145" s="194">
        <v>0</v>
      </c>
      <c r="R145" s="568">
        <f t="shared" si="33"/>
        <v>20000</v>
      </c>
      <c r="S145" s="540">
        <v>0</v>
      </c>
      <c r="T145" s="572">
        <v>0</v>
      </c>
      <c r="U145" s="196">
        <v>0</v>
      </c>
      <c r="V145" s="506">
        <f t="shared" si="34"/>
        <v>0</v>
      </c>
      <c r="W145" s="196"/>
      <c r="X145" s="195"/>
      <c r="Y145" s="194"/>
      <c r="Z145" s="197"/>
      <c r="AA145" s="196"/>
      <c r="AB145" s="194"/>
      <c r="AC145" s="198"/>
      <c r="AD145" s="195"/>
      <c r="AE145" s="194"/>
      <c r="AF145" s="198"/>
      <c r="AG145" s="592">
        <f t="shared" si="35"/>
        <v>20000</v>
      </c>
      <c r="AH145" s="412"/>
    </row>
    <row r="146" spans="1:34" s="64" customFormat="1" ht="18" customHeight="1" x14ac:dyDescent="0.2">
      <c r="A146" s="515">
        <v>61607</v>
      </c>
      <c r="B146" s="529" t="s">
        <v>208</v>
      </c>
      <c r="C146" s="556">
        <v>0</v>
      </c>
      <c r="D146" s="432">
        <v>0</v>
      </c>
      <c r="E146" s="432">
        <v>0</v>
      </c>
      <c r="F146" s="432">
        <v>0</v>
      </c>
      <c r="G146" s="557">
        <v>0</v>
      </c>
      <c r="H146" s="572">
        <v>0</v>
      </c>
      <c r="I146" s="194">
        <v>0</v>
      </c>
      <c r="J146" s="194">
        <v>0</v>
      </c>
      <c r="K146" s="194">
        <v>0</v>
      </c>
      <c r="L146" s="566">
        <f t="shared" si="31"/>
        <v>0</v>
      </c>
      <c r="M146" s="196">
        <v>0</v>
      </c>
      <c r="N146" s="194">
        <v>0</v>
      </c>
      <c r="O146" s="194">
        <v>0</v>
      </c>
      <c r="P146" s="194">
        <v>0</v>
      </c>
      <c r="Q146" s="194">
        <v>0</v>
      </c>
      <c r="R146" s="568">
        <f t="shared" si="33"/>
        <v>0</v>
      </c>
      <c r="S146" s="540">
        <v>0</v>
      </c>
      <c r="T146" s="572">
        <v>0</v>
      </c>
      <c r="U146" s="196">
        <v>0</v>
      </c>
      <c r="V146" s="506">
        <f t="shared" si="34"/>
        <v>0</v>
      </c>
      <c r="W146" s="196"/>
      <c r="X146" s="195"/>
      <c r="Y146" s="194"/>
      <c r="Z146" s="197"/>
      <c r="AA146" s="196"/>
      <c r="AB146" s="194"/>
      <c r="AC146" s="198"/>
      <c r="AD146" s="195"/>
      <c r="AE146" s="194"/>
      <c r="AF146" s="198"/>
      <c r="AG146" s="592">
        <f t="shared" si="35"/>
        <v>0</v>
      </c>
      <c r="AH146" s="412"/>
    </row>
    <row r="147" spans="1:34" s="64" customFormat="1" ht="18" customHeight="1" x14ac:dyDescent="0.2">
      <c r="A147" s="515">
        <v>61608</v>
      </c>
      <c r="B147" s="529" t="s">
        <v>209</v>
      </c>
      <c r="C147" s="556">
        <v>0</v>
      </c>
      <c r="D147" s="432">
        <v>0</v>
      </c>
      <c r="E147" s="432">
        <v>0</v>
      </c>
      <c r="F147" s="432">
        <v>0</v>
      </c>
      <c r="G147" s="557">
        <v>0</v>
      </c>
      <c r="H147" s="572">
        <v>0</v>
      </c>
      <c r="I147" s="194">
        <v>0</v>
      </c>
      <c r="J147" s="194">
        <v>0</v>
      </c>
      <c r="K147" s="194">
        <v>0</v>
      </c>
      <c r="L147" s="566">
        <f t="shared" si="31"/>
        <v>0</v>
      </c>
      <c r="M147" s="196">
        <v>0</v>
      </c>
      <c r="N147" s="194">
        <v>0</v>
      </c>
      <c r="O147" s="194">
        <f>+'AG4'!D40</f>
        <v>0</v>
      </c>
      <c r="P147" s="194">
        <v>0</v>
      </c>
      <c r="Q147" s="194">
        <v>0</v>
      </c>
      <c r="R147" s="568">
        <f t="shared" si="33"/>
        <v>0</v>
      </c>
      <c r="S147" s="540">
        <v>0</v>
      </c>
      <c r="T147" s="572">
        <v>0</v>
      </c>
      <c r="U147" s="196">
        <v>0</v>
      </c>
      <c r="V147" s="506">
        <f t="shared" si="34"/>
        <v>0</v>
      </c>
      <c r="W147" s="196"/>
      <c r="X147" s="195"/>
      <c r="Y147" s="194"/>
      <c r="Z147" s="197"/>
      <c r="AA147" s="196"/>
      <c r="AB147" s="194"/>
      <c r="AC147" s="198"/>
      <c r="AD147" s="195"/>
      <c r="AE147" s="194"/>
      <c r="AF147" s="198"/>
      <c r="AG147" s="592">
        <f t="shared" si="35"/>
        <v>0</v>
      </c>
      <c r="AH147" s="412"/>
    </row>
    <row r="148" spans="1:34" s="64" customFormat="1" ht="18" customHeight="1" x14ac:dyDescent="0.2">
      <c r="A148" s="515">
        <v>61699</v>
      </c>
      <c r="B148" s="529" t="s">
        <v>210</v>
      </c>
      <c r="C148" s="556">
        <v>0</v>
      </c>
      <c r="D148" s="432">
        <v>0</v>
      </c>
      <c r="E148" s="432">
        <v>0</v>
      </c>
      <c r="F148" s="432">
        <v>0</v>
      </c>
      <c r="G148" s="557">
        <v>0</v>
      </c>
      <c r="H148" s="572">
        <v>0</v>
      </c>
      <c r="I148" s="194">
        <v>0</v>
      </c>
      <c r="J148" s="194">
        <v>0</v>
      </c>
      <c r="K148" s="194">
        <v>0</v>
      </c>
      <c r="L148" s="566">
        <f t="shared" si="31"/>
        <v>0</v>
      </c>
      <c r="M148" s="196">
        <v>0</v>
      </c>
      <c r="N148" s="194">
        <f>+'AG3'!D60</f>
        <v>139928.66</v>
      </c>
      <c r="O148" s="194">
        <f>+'AG4'!D43</f>
        <v>21416.21</v>
      </c>
      <c r="P148" s="194">
        <v>0</v>
      </c>
      <c r="Q148" s="194">
        <v>0</v>
      </c>
      <c r="R148" s="568">
        <f t="shared" si="33"/>
        <v>161344.87</v>
      </c>
      <c r="S148" s="540">
        <v>0</v>
      </c>
      <c r="T148" s="572">
        <v>0</v>
      </c>
      <c r="U148" s="196">
        <v>0</v>
      </c>
      <c r="V148" s="506">
        <f t="shared" si="34"/>
        <v>0</v>
      </c>
      <c r="W148" s="196"/>
      <c r="X148" s="195"/>
      <c r="Y148" s="194"/>
      <c r="Z148" s="197"/>
      <c r="AA148" s="196"/>
      <c r="AB148" s="194"/>
      <c r="AC148" s="198"/>
      <c r="AD148" s="195"/>
      <c r="AE148" s="194"/>
      <c r="AF148" s="198"/>
      <c r="AG148" s="592">
        <f t="shared" si="35"/>
        <v>161344.87</v>
      </c>
      <c r="AH148" s="412"/>
    </row>
    <row r="149" spans="1:34" s="64" customFormat="1" ht="18" hidden="1" customHeight="1" x14ac:dyDescent="0.2">
      <c r="A149" s="515"/>
      <c r="B149" s="529"/>
      <c r="C149" s="553"/>
      <c r="D149" s="437"/>
      <c r="E149" s="437"/>
      <c r="F149" s="437"/>
      <c r="G149" s="554"/>
      <c r="H149" s="572">
        <v>0</v>
      </c>
      <c r="I149" s="194">
        <v>0</v>
      </c>
      <c r="J149" s="194">
        <v>0</v>
      </c>
      <c r="K149" s="194">
        <v>0</v>
      </c>
      <c r="L149" s="566">
        <f t="shared" si="31"/>
        <v>0</v>
      </c>
      <c r="M149" s="196">
        <v>0</v>
      </c>
      <c r="N149" s="194"/>
      <c r="O149" s="194"/>
      <c r="P149" s="194"/>
      <c r="Q149" s="194"/>
      <c r="R149" s="568">
        <f t="shared" si="33"/>
        <v>0</v>
      </c>
      <c r="S149" s="540">
        <v>0</v>
      </c>
      <c r="T149" s="572">
        <v>0</v>
      </c>
      <c r="U149" s="196">
        <v>0</v>
      </c>
      <c r="V149" s="506">
        <f t="shared" si="34"/>
        <v>0</v>
      </c>
      <c r="W149" s="196"/>
      <c r="X149" s="195"/>
      <c r="Y149" s="194"/>
      <c r="Z149" s="197"/>
      <c r="AA149" s="196"/>
      <c r="AB149" s="194"/>
      <c r="AC149" s="198"/>
      <c r="AD149" s="195"/>
      <c r="AE149" s="194"/>
      <c r="AF149" s="198"/>
      <c r="AG149" s="591">
        <f t="shared" si="35"/>
        <v>0</v>
      </c>
      <c r="AH149" s="412"/>
    </row>
    <row r="150" spans="1:34" s="64" customFormat="1" ht="18" customHeight="1" x14ac:dyDescent="0.2">
      <c r="A150" s="513">
        <v>71</v>
      </c>
      <c r="B150" s="530" t="s">
        <v>218</v>
      </c>
      <c r="C150" s="552">
        <v>0</v>
      </c>
      <c r="D150" s="430">
        <v>0</v>
      </c>
      <c r="E150" s="430">
        <v>0</v>
      </c>
      <c r="F150" s="430">
        <v>0</v>
      </c>
      <c r="G150" s="555">
        <v>0</v>
      </c>
      <c r="H150" s="571">
        <v>0</v>
      </c>
      <c r="I150" s="54">
        <v>0</v>
      </c>
      <c r="J150" s="54">
        <v>0</v>
      </c>
      <c r="K150" s="54">
        <v>0</v>
      </c>
      <c r="L150" s="566">
        <f t="shared" si="31"/>
        <v>0</v>
      </c>
      <c r="M150" s="53">
        <v>0</v>
      </c>
      <c r="N150" s="54">
        <v>0</v>
      </c>
      <c r="O150" s="54">
        <v>0</v>
      </c>
      <c r="P150" s="54">
        <f>P151</f>
        <v>246410.18</v>
      </c>
      <c r="Q150" s="54">
        <f>Q151</f>
        <v>0</v>
      </c>
      <c r="R150" s="566">
        <f>M150+N150+O150+P150+Q150</f>
        <v>246410.18</v>
      </c>
      <c r="S150" s="493">
        <v>0</v>
      </c>
      <c r="T150" s="571">
        <v>0</v>
      </c>
      <c r="U150" s="53">
        <v>0</v>
      </c>
      <c r="V150" s="505">
        <f t="shared" si="34"/>
        <v>0</v>
      </c>
      <c r="W150" s="53"/>
      <c r="X150" s="52"/>
      <c r="Y150" s="54"/>
      <c r="Z150" s="61"/>
      <c r="AA150" s="53"/>
      <c r="AB150" s="54"/>
      <c r="AC150" s="141"/>
      <c r="AD150" s="52"/>
      <c r="AE150" s="54"/>
      <c r="AF150" s="141"/>
      <c r="AG150" s="591">
        <f t="shared" si="35"/>
        <v>246410.18</v>
      </c>
      <c r="AH150" s="412"/>
    </row>
    <row r="151" spans="1:34" s="64" customFormat="1" ht="18" customHeight="1" x14ac:dyDescent="0.2">
      <c r="A151" s="513">
        <v>713</v>
      </c>
      <c r="B151" s="530" t="s">
        <v>219</v>
      </c>
      <c r="C151" s="552">
        <v>0</v>
      </c>
      <c r="D151" s="430">
        <v>0</v>
      </c>
      <c r="E151" s="430">
        <v>0</v>
      </c>
      <c r="F151" s="430">
        <v>0</v>
      </c>
      <c r="G151" s="555">
        <v>0</v>
      </c>
      <c r="H151" s="571">
        <v>0</v>
      </c>
      <c r="I151" s="54">
        <v>0</v>
      </c>
      <c r="J151" s="54">
        <v>0</v>
      </c>
      <c r="K151" s="54">
        <v>0</v>
      </c>
      <c r="L151" s="566">
        <f t="shared" si="31"/>
        <v>0</v>
      </c>
      <c r="M151" s="53">
        <v>0</v>
      </c>
      <c r="N151" s="54">
        <v>0</v>
      </c>
      <c r="O151" s="54">
        <v>0</v>
      </c>
      <c r="P151" s="54">
        <f>SUM(P152:P154)</f>
        <v>246410.18</v>
      </c>
      <c r="Q151" s="54">
        <f>SUM(Q152:Q154)</f>
        <v>0</v>
      </c>
      <c r="R151" s="566">
        <f>M151+N151+O151+P151+Q151</f>
        <v>246410.18</v>
      </c>
      <c r="S151" s="540">
        <v>0</v>
      </c>
      <c r="T151" s="572">
        <v>0</v>
      </c>
      <c r="U151" s="196">
        <v>0</v>
      </c>
      <c r="V151" s="505">
        <f t="shared" si="34"/>
        <v>0</v>
      </c>
      <c r="W151" s="196"/>
      <c r="X151" s="195"/>
      <c r="Y151" s="194"/>
      <c r="Z151" s="197"/>
      <c r="AA151" s="196"/>
      <c r="AB151" s="194"/>
      <c r="AC151" s="198"/>
      <c r="AD151" s="195"/>
      <c r="AE151" s="194"/>
      <c r="AF151" s="198"/>
      <c r="AG151" s="591">
        <f t="shared" si="35"/>
        <v>246410.18</v>
      </c>
      <c r="AH151" s="412"/>
    </row>
    <row r="152" spans="1:34" s="64" customFormat="1" ht="18" hidden="1" customHeight="1" x14ac:dyDescent="0.2">
      <c r="A152" s="515">
        <v>71303</v>
      </c>
      <c r="B152" s="529" t="s">
        <v>87</v>
      </c>
      <c r="C152" s="553"/>
      <c r="D152" s="437"/>
      <c r="E152" s="437"/>
      <c r="F152" s="437"/>
      <c r="G152" s="554"/>
      <c r="H152" s="572">
        <v>0</v>
      </c>
      <c r="I152" s="194">
        <v>0</v>
      </c>
      <c r="J152" s="194">
        <v>0</v>
      </c>
      <c r="K152" s="194">
        <v>0</v>
      </c>
      <c r="L152" s="566">
        <f t="shared" si="31"/>
        <v>0</v>
      </c>
      <c r="M152" s="196">
        <v>0</v>
      </c>
      <c r="N152" s="194">
        <v>0</v>
      </c>
      <c r="O152" s="194">
        <v>0</v>
      </c>
      <c r="P152" s="194"/>
      <c r="Q152" s="194"/>
      <c r="R152" s="566">
        <f>M152+N152+O152+P152+Q152</f>
        <v>0</v>
      </c>
      <c r="S152" s="540">
        <v>0</v>
      </c>
      <c r="T152" s="572">
        <v>0</v>
      </c>
      <c r="U152" s="196">
        <v>0</v>
      </c>
      <c r="V152" s="505">
        <f t="shared" si="34"/>
        <v>0</v>
      </c>
      <c r="W152" s="196"/>
      <c r="X152" s="195"/>
      <c r="Y152" s="194"/>
      <c r="Z152" s="197"/>
      <c r="AA152" s="196"/>
      <c r="AB152" s="194"/>
      <c r="AC152" s="198"/>
      <c r="AD152" s="195"/>
      <c r="AE152" s="194"/>
      <c r="AF152" s="198"/>
      <c r="AG152" s="591">
        <f t="shared" si="35"/>
        <v>0</v>
      </c>
      <c r="AH152" s="412"/>
    </row>
    <row r="153" spans="1:34" s="64" customFormat="1" ht="18" customHeight="1" thickBot="1" x14ac:dyDescent="0.25">
      <c r="A153" s="515">
        <v>71304</v>
      </c>
      <c r="B153" s="529" t="s">
        <v>88</v>
      </c>
      <c r="C153" s="553">
        <v>0</v>
      </c>
      <c r="D153" s="437">
        <v>0</v>
      </c>
      <c r="E153" s="437">
        <v>0</v>
      </c>
      <c r="F153" s="437">
        <v>0</v>
      </c>
      <c r="G153" s="554">
        <v>0</v>
      </c>
      <c r="H153" s="572">
        <v>0</v>
      </c>
      <c r="I153" s="194">
        <v>0</v>
      </c>
      <c r="J153" s="194">
        <v>0</v>
      </c>
      <c r="K153" s="194">
        <v>0</v>
      </c>
      <c r="L153" s="566">
        <f t="shared" si="31"/>
        <v>0</v>
      </c>
      <c r="M153" s="196">
        <v>0</v>
      </c>
      <c r="N153" s="194">
        <v>0</v>
      </c>
      <c r="O153" s="194">
        <v>0</v>
      </c>
      <c r="P153" s="194">
        <f>+'AG5'!C28</f>
        <v>246410.18</v>
      </c>
      <c r="Q153" s="194">
        <f>+'AG5'!D28</f>
        <v>0</v>
      </c>
      <c r="R153" s="568">
        <f>M153+N153+O153+P153+Q153</f>
        <v>246410.18</v>
      </c>
      <c r="S153" s="540">
        <v>0</v>
      </c>
      <c r="T153" s="572">
        <v>0</v>
      </c>
      <c r="U153" s="196">
        <v>0</v>
      </c>
      <c r="V153" s="505">
        <f t="shared" si="34"/>
        <v>0</v>
      </c>
      <c r="W153" s="196"/>
      <c r="X153" s="195"/>
      <c r="Y153" s="194"/>
      <c r="Z153" s="197"/>
      <c r="AA153" s="196"/>
      <c r="AB153" s="194"/>
      <c r="AC153" s="198"/>
      <c r="AD153" s="195"/>
      <c r="AE153" s="194"/>
      <c r="AF153" s="198"/>
      <c r="AG153" s="592">
        <f t="shared" ref="AG153:AG162" si="36">+L153+R153+G153+Z153+AC153+AF153</f>
        <v>246410.18</v>
      </c>
      <c r="AH153" s="412"/>
    </row>
    <row r="154" spans="1:34" s="64" customFormat="1" ht="18" hidden="1" customHeight="1" x14ac:dyDescent="0.2">
      <c r="A154" s="515">
        <v>71308</v>
      </c>
      <c r="B154" s="529" t="s">
        <v>242</v>
      </c>
      <c r="C154" s="553"/>
      <c r="D154" s="437"/>
      <c r="E154" s="437"/>
      <c r="F154" s="437"/>
      <c r="G154" s="554"/>
      <c r="H154" s="573"/>
      <c r="I154" s="194"/>
      <c r="J154" s="198"/>
      <c r="K154" s="194"/>
      <c r="L154" s="574">
        <f t="shared" si="31"/>
        <v>0</v>
      </c>
      <c r="M154" s="196"/>
      <c r="N154" s="196"/>
      <c r="O154" s="194"/>
      <c r="P154" s="194"/>
      <c r="Q154" s="198"/>
      <c r="R154" s="568">
        <f t="shared" ref="R154:R162" si="37">M154+N154+O154+P154</f>
        <v>0</v>
      </c>
      <c r="S154" s="540"/>
      <c r="T154" s="572"/>
      <c r="U154" s="196"/>
      <c r="V154" s="585"/>
      <c r="W154" s="196"/>
      <c r="X154" s="195"/>
      <c r="Y154" s="194"/>
      <c r="Z154" s="197"/>
      <c r="AA154" s="196"/>
      <c r="AB154" s="194"/>
      <c r="AC154" s="198"/>
      <c r="AD154" s="195"/>
      <c r="AE154" s="194"/>
      <c r="AF154" s="198"/>
      <c r="AG154" s="592">
        <f t="shared" si="36"/>
        <v>0</v>
      </c>
      <c r="AH154" s="412"/>
    </row>
    <row r="155" spans="1:34" s="64" customFormat="1" ht="18" hidden="1" customHeight="1" x14ac:dyDescent="0.2">
      <c r="A155" s="515"/>
      <c r="B155" s="529"/>
      <c r="C155" s="553"/>
      <c r="D155" s="437"/>
      <c r="E155" s="437"/>
      <c r="F155" s="437"/>
      <c r="G155" s="554"/>
      <c r="H155" s="573"/>
      <c r="I155" s="194"/>
      <c r="J155" s="198"/>
      <c r="K155" s="194"/>
      <c r="L155" s="574">
        <f t="shared" si="31"/>
        <v>0</v>
      </c>
      <c r="M155" s="196"/>
      <c r="N155" s="196"/>
      <c r="O155" s="194"/>
      <c r="P155" s="194"/>
      <c r="Q155" s="198"/>
      <c r="R155" s="568">
        <f t="shared" si="37"/>
        <v>0</v>
      </c>
      <c r="S155" s="540"/>
      <c r="T155" s="572"/>
      <c r="U155" s="196"/>
      <c r="V155" s="585"/>
      <c r="W155" s="196"/>
      <c r="X155" s="195"/>
      <c r="Y155" s="194"/>
      <c r="Z155" s="197"/>
      <c r="AA155" s="196"/>
      <c r="AB155" s="194"/>
      <c r="AC155" s="198"/>
      <c r="AD155" s="195"/>
      <c r="AE155" s="194"/>
      <c r="AF155" s="198"/>
      <c r="AG155" s="591">
        <f t="shared" si="36"/>
        <v>0</v>
      </c>
      <c r="AH155" s="412"/>
    </row>
    <row r="156" spans="1:34" s="64" customFormat="1" ht="18" hidden="1" customHeight="1" x14ac:dyDescent="0.2">
      <c r="A156" s="513">
        <v>72</v>
      </c>
      <c r="B156" s="530" t="s">
        <v>13</v>
      </c>
      <c r="C156" s="553"/>
      <c r="D156" s="437"/>
      <c r="E156" s="437"/>
      <c r="F156" s="437"/>
      <c r="G156" s="554"/>
      <c r="H156" s="573"/>
      <c r="I156" s="194"/>
      <c r="J156" s="198"/>
      <c r="K156" s="194"/>
      <c r="L156" s="574">
        <f t="shared" si="31"/>
        <v>0</v>
      </c>
      <c r="M156" s="196"/>
      <c r="N156" s="196"/>
      <c r="O156" s="194"/>
      <c r="P156" s="194"/>
      <c r="Q156" s="198"/>
      <c r="R156" s="568">
        <f t="shared" si="37"/>
        <v>0</v>
      </c>
      <c r="S156" s="540"/>
      <c r="T156" s="572"/>
      <c r="U156" s="196"/>
      <c r="V156" s="585"/>
      <c r="W156" s="196"/>
      <c r="X156" s="195"/>
      <c r="Y156" s="194"/>
      <c r="Z156" s="197"/>
      <c r="AA156" s="196"/>
      <c r="AB156" s="194"/>
      <c r="AC156" s="198"/>
      <c r="AD156" s="195"/>
      <c r="AE156" s="194"/>
      <c r="AF156" s="198"/>
      <c r="AG156" s="591">
        <f t="shared" si="36"/>
        <v>0</v>
      </c>
      <c r="AH156" s="412"/>
    </row>
    <row r="157" spans="1:34" s="64" customFormat="1" ht="23.25" hidden="1" customHeight="1" x14ac:dyDescent="0.2">
      <c r="A157" s="513">
        <v>721</v>
      </c>
      <c r="B157" s="536" t="s">
        <v>184</v>
      </c>
      <c r="C157" s="553"/>
      <c r="D157" s="437"/>
      <c r="E157" s="437"/>
      <c r="F157" s="437"/>
      <c r="G157" s="554"/>
      <c r="H157" s="573"/>
      <c r="I157" s="194"/>
      <c r="J157" s="198"/>
      <c r="K157" s="194"/>
      <c r="L157" s="574">
        <f t="shared" si="31"/>
        <v>0</v>
      </c>
      <c r="M157" s="196"/>
      <c r="N157" s="196"/>
      <c r="O157" s="194"/>
      <c r="P157" s="194"/>
      <c r="Q157" s="198"/>
      <c r="R157" s="568">
        <f t="shared" si="37"/>
        <v>0</v>
      </c>
      <c r="S157" s="540"/>
      <c r="T157" s="572"/>
      <c r="U157" s="196"/>
      <c r="V157" s="585"/>
      <c r="W157" s="196"/>
      <c r="X157" s="195"/>
      <c r="Y157" s="194"/>
      <c r="Z157" s="197"/>
      <c r="AA157" s="196"/>
      <c r="AB157" s="194"/>
      <c r="AC157" s="198"/>
      <c r="AD157" s="195"/>
      <c r="AE157" s="194"/>
      <c r="AF157" s="198"/>
      <c r="AG157" s="591">
        <f t="shared" si="36"/>
        <v>0</v>
      </c>
      <c r="AH157" s="412"/>
    </row>
    <row r="158" spans="1:34" s="64" customFormat="1" ht="18" hidden="1" customHeight="1" x14ac:dyDescent="0.2">
      <c r="A158" s="515">
        <v>72101</v>
      </c>
      <c r="B158" s="529" t="s">
        <v>184</v>
      </c>
      <c r="C158" s="553"/>
      <c r="D158" s="437"/>
      <c r="E158" s="437"/>
      <c r="F158" s="437"/>
      <c r="G158" s="554"/>
      <c r="H158" s="573"/>
      <c r="I158" s="194"/>
      <c r="J158" s="198"/>
      <c r="K158" s="194"/>
      <c r="L158" s="574">
        <f t="shared" si="31"/>
        <v>0</v>
      </c>
      <c r="M158" s="196"/>
      <c r="N158" s="196"/>
      <c r="O158" s="194"/>
      <c r="P158" s="194"/>
      <c r="Q158" s="198"/>
      <c r="R158" s="568">
        <f t="shared" si="37"/>
        <v>0</v>
      </c>
      <c r="S158" s="540"/>
      <c r="T158" s="572"/>
      <c r="U158" s="196"/>
      <c r="V158" s="585"/>
      <c r="W158" s="196"/>
      <c r="X158" s="195"/>
      <c r="Y158" s="194"/>
      <c r="Z158" s="197"/>
      <c r="AA158" s="196"/>
      <c r="AB158" s="194"/>
      <c r="AC158" s="198"/>
      <c r="AD158" s="195"/>
      <c r="AE158" s="194"/>
      <c r="AF158" s="198"/>
      <c r="AG158" s="591">
        <f t="shared" si="36"/>
        <v>0</v>
      </c>
      <c r="AH158" s="412"/>
    </row>
    <row r="159" spans="1:34" s="64" customFormat="1" ht="18" hidden="1" customHeight="1" x14ac:dyDescent="0.2">
      <c r="A159" s="515"/>
      <c r="B159" s="529"/>
      <c r="C159" s="553"/>
      <c r="D159" s="437"/>
      <c r="E159" s="437"/>
      <c r="F159" s="437"/>
      <c r="G159" s="554"/>
      <c r="H159" s="573"/>
      <c r="I159" s="194"/>
      <c r="J159" s="198"/>
      <c r="K159" s="194"/>
      <c r="L159" s="574">
        <f t="shared" si="31"/>
        <v>0</v>
      </c>
      <c r="M159" s="196"/>
      <c r="N159" s="196"/>
      <c r="O159" s="194"/>
      <c r="P159" s="194"/>
      <c r="Q159" s="198"/>
      <c r="R159" s="568">
        <f t="shared" si="37"/>
        <v>0</v>
      </c>
      <c r="S159" s="540"/>
      <c r="T159" s="572"/>
      <c r="U159" s="196"/>
      <c r="V159" s="585"/>
      <c r="W159" s="196"/>
      <c r="X159" s="195"/>
      <c r="Y159" s="194"/>
      <c r="Z159" s="197"/>
      <c r="AA159" s="196"/>
      <c r="AB159" s="194"/>
      <c r="AC159" s="198"/>
      <c r="AD159" s="195"/>
      <c r="AE159" s="194"/>
      <c r="AF159" s="198"/>
      <c r="AG159" s="591">
        <f t="shared" si="36"/>
        <v>0</v>
      </c>
      <c r="AH159" s="412"/>
    </row>
    <row r="160" spans="1:34" s="64" customFormat="1" ht="18" hidden="1" customHeight="1" x14ac:dyDescent="0.2">
      <c r="A160" s="513">
        <v>99</v>
      </c>
      <c r="B160" s="530" t="s">
        <v>185</v>
      </c>
      <c r="C160" s="558"/>
      <c r="D160" s="437"/>
      <c r="E160" s="440"/>
      <c r="F160" s="440"/>
      <c r="G160" s="559"/>
      <c r="H160" s="573"/>
      <c r="I160" s="194"/>
      <c r="J160" s="198"/>
      <c r="K160" s="194"/>
      <c r="L160" s="574">
        <f t="shared" si="31"/>
        <v>0</v>
      </c>
      <c r="M160" s="196"/>
      <c r="N160" s="196"/>
      <c r="O160" s="194"/>
      <c r="P160" s="194"/>
      <c r="Q160" s="198"/>
      <c r="R160" s="568">
        <f t="shared" si="37"/>
        <v>0</v>
      </c>
      <c r="S160" s="540"/>
      <c r="T160" s="572"/>
      <c r="U160" s="196"/>
      <c r="V160" s="585"/>
      <c r="W160" s="196"/>
      <c r="X160" s="195"/>
      <c r="Y160" s="194"/>
      <c r="Z160" s="197"/>
      <c r="AA160" s="196"/>
      <c r="AB160" s="194"/>
      <c r="AC160" s="198"/>
      <c r="AD160" s="195"/>
      <c r="AE160" s="194"/>
      <c r="AF160" s="198"/>
      <c r="AG160" s="591">
        <f t="shared" si="36"/>
        <v>0</v>
      </c>
      <c r="AH160" s="412"/>
    </row>
    <row r="161" spans="1:35" s="64" customFormat="1" ht="18" hidden="1" customHeight="1" x14ac:dyDescent="0.2">
      <c r="A161" s="513">
        <v>991</v>
      </c>
      <c r="B161" s="530" t="s">
        <v>186</v>
      </c>
      <c r="C161" s="558"/>
      <c r="D161" s="437"/>
      <c r="E161" s="440"/>
      <c r="F161" s="440"/>
      <c r="G161" s="559"/>
      <c r="H161" s="573"/>
      <c r="I161" s="194"/>
      <c r="J161" s="198"/>
      <c r="K161" s="194"/>
      <c r="L161" s="574">
        <f t="shared" si="31"/>
        <v>0</v>
      </c>
      <c r="M161" s="196"/>
      <c r="N161" s="196"/>
      <c r="O161" s="194"/>
      <c r="P161" s="194"/>
      <c r="Q161" s="198"/>
      <c r="R161" s="568">
        <f t="shared" si="37"/>
        <v>0</v>
      </c>
      <c r="S161" s="540"/>
      <c r="T161" s="572"/>
      <c r="U161" s="196"/>
      <c r="V161" s="585"/>
      <c r="W161" s="196"/>
      <c r="X161" s="195"/>
      <c r="Y161" s="194"/>
      <c r="Z161" s="197"/>
      <c r="AA161" s="196"/>
      <c r="AB161" s="194"/>
      <c r="AC161" s="198"/>
      <c r="AD161" s="195"/>
      <c r="AE161" s="194"/>
      <c r="AF161" s="198"/>
      <c r="AG161" s="591">
        <f t="shared" si="36"/>
        <v>0</v>
      </c>
      <c r="AH161" s="412"/>
    </row>
    <row r="162" spans="1:35" s="64" customFormat="1" ht="18" hidden="1" customHeight="1" thickBot="1" x14ac:dyDescent="0.25">
      <c r="A162" s="520">
        <v>99101</v>
      </c>
      <c r="B162" s="537" t="s">
        <v>186</v>
      </c>
      <c r="C162" s="560"/>
      <c r="D162" s="441"/>
      <c r="E162" s="442"/>
      <c r="F162" s="442"/>
      <c r="G162" s="561"/>
      <c r="H162" s="575"/>
      <c r="I162" s="202"/>
      <c r="J162" s="200"/>
      <c r="K162" s="200"/>
      <c r="L162" s="576">
        <f t="shared" si="31"/>
        <v>0</v>
      </c>
      <c r="M162" s="202"/>
      <c r="N162" s="202"/>
      <c r="O162" s="200"/>
      <c r="P162" s="200"/>
      <c r="Q162" s="201"/>
      <c r="R162" s="579">
        <f t="shared" si="37"/>
        <v>0</v>
      </c>
      <c r="S162" s="582"/>
      <c r="T162" s="575"/>
      <c r="U162" s="202"/>
      <c r="V162" s="586"/>
      <c r="W162" s="202"/>
      <c r="X162" s="199"/>
      <c r="Y162" s="200"/>
      <c r="Z162" s="507"/>
      <c r="AA162" s="202"/>
      <c r="AB162" s="200"/>
      <c r="AC162" s="201"/>
      <c r="AD162" s="199"/>
      <c r="AE162" s="200"/>
      <c r="AF162" s="201"/>
      <c r="AG162" s="593">
        <f t="shared" si="36"/>
        <v>0</v>
      </c>
      <c r="AH162" s="412"/>
    </row>
    <row r="163" spans="1:35" s="252" customFormat="1" ht="18" customHeight="1" thickTop="1" thickBot="1" x14ac:dyDescent="0.25">
      <c r="A163" s="521"/>
      <c r="B163" s="538" t="s">
        <v>27</v>
      </c>
      <c r="C163" s="969">
        <f>C10+C44+C95+C113+C121+C150</f>
        <v>125098.06730000001</v>
      </c>
      <c r="D163" s="970">
        <f>D10+D44+D95+D113+D121+D150</f>
        <v>31218.899999999998</v>
      </c>
      <c r="E163" s="970">
        <f>E10+E44+E95+E113+E121+E150</f>
        <v>20781.41</v>
      </c>
      <c r="F163" s="970">
        <f>F10+F44+F95+F113+F121+F150</f>
        <v>79688.924999999988</v>
      </c>
      <c r="G163" s="971">
        <f>G10+G44+G95+G113+G121+G150</f>
        <v>256787.30230000001</v>
      </c>
      <c r="H163" s="577">
        <f>H10+H150+H121+H113+H95+H44</f>
        <v>134014.18729999999</v>
      </c>
      <c r="I163" s="972">
        <f>I10+I150+I121+I113+I95+I44</f>
        <v>30098.899999999998</v>
      </c>
      <c r="J163" s="972">
        <f>J10+J150+J121+J113+J95+J44</f>
        <v>20341.41</v>
      </c>
      <c r="K163" s="972">
        <f>K10+K150+K121+K113+K95+K44</f>
        <v>157438.95499999999</v>
      </c>
      <c r="L163" s="578">
        <f>L10+L44+L95+L113+L121</f>
        <v>341893.4523</v>
      </c>
      <c r="M163" s="583">
        <f>M121</f>
        <v>67156.3</v>
      </c>
      <c r="N163" s="594">
        <f>N10+N44+N113+N121</f>
        <v>502367.66000000003</v>
      </c>
      <c r="O163" s="594">
        <f>+O10+O121</f>
        <v>248526.13</v>
      </c>
      <c r="P163" s="594">
        <f>P95+P150</f>
        <v>278392.32000000001</v>
      </c>
      <c r="Q163" s="594">
        <f>+Q95</f>
        <v>3600</v>
      </c>
      <c r="R163" s="594">
        <f>R10+R44+R95+R113+R121+R150</f>
        <v>1100042.4100000001</v>
      </c>
      <c r="S163" s="583">
        <f t="shared" ref="S163:W163" si="38">S10+S44+S95+S113+S121+S150</f>
        <v>14973.19</v>
      </c>
      <c r="T163" s="587">
        <f t="shared" si="38"/>
        <v>581.32000000000005</v>
      </c>
      <c r="U163" s="508">
        <f t="shared" si="38"/>
        <v>0</v>
      </c>
      <c r="V163" s="511">
        <f t="shared" si="38"/>
        <v>581.32000000000005</v>
      </c>
      <c r="W163" s="562">
        <f t="shared" si="38"/>
        <v>0</v>
      </c>
      <c r="X163" s="509">
        <f t="shared" ref="X163:AF163" si="39">SUM(X10:X162)</f>
        <v>0</v>
      </c>
      <c r="Y163" s="510">
        <f t="shared" si="39"/>
        <v>0</v>
      </c>
      <c r="Z163" s="510">
        <f t="shared" si="39"/>
        <v>0</v>
      </c>
      <c r="AA163" s="510">
        <f t="shared" si="39"/>
        <v>0</v>
      </c>
      <c r="AB163" s="510">
        <f t="shared" si="39"/>
        <v>0</v>
      </c>
      <c r="AC163" s="510">
        <f t="shared" si="39"/>
        <v>0</v>
      </c>
      <c r="AD163" s="508">
        <f>AD44+AD95+AD113+AD121+AD150</f>
        <v>0</v>
      </c>
      <c r="AE163" s="510">
        <f t="shared" si="39"/>
        <v>0</v>
      </c>
      <c r="AF163" s="588">
        <f t="shared" si="39"/>
        <v>0</v>
      </c>
      <c r="AG163" s="594">
        <f>AG10+AG150+AG121+AG113+AG95+AG44</f>
        <v>1714277.6745999996</v>
      </c>
      <c r="AH163" s="412"/>
    </row>
    <row r="164" spans="1:35" s="64" customFormat="1" ht="18" customHeight="1" thickTop="1" x14ac:dyDescent="0.2">
      <c r="A164" s="203"/>
      <c r="C164" s="410"/>
      <c r="D164" s="410"/>
      <c r="E164" s="410"/>
      <c r="F164" s="410"/>
      <c r="G164" s="410"/>
      <c r="N164" s="63"/>
      <c r="O164" s="63"/>
      <c r="R164" s="63"/>
      <c r="S164" s="63"/>
      <c r="T164" s="63"/>
      <c r="U164" s="63"/>
      <c r="W164" s="63"/>
      <c r="AH164" s="412"/>
    </row>
    <row r="165" spans="1:35" s="64" customFormat="1" ht="18" customHeight="1" x14ac:dyDescent="0.2">
      <c r="A165" s="203"/>
      <c r="C165" s="410"/>
      <c r="D165" s="410"/>
      <c r="E165" s="410"/>
      <c r="F165" s="410"/>
      <c r="G165" s="443"/>
      <c r="L165" s="443"/>
      <c r="V165" s="63"/>
      <c r="AF165" s="63"/>
      <c r="AG165" s="412"/>
      <c r="AH165" s="412"/>
    </row>
    <row r="166" spans="1:35" s="64" customFormat="1" ht="18" customHeight="1" x14ac:dyDescent="0.2">
      <c r="A166" s="203"/>
      <c r="C166" s="410"/>
      <c r="D166" s="410"/>
      <c r="E166" s="410"/>
      <c r="F166" s="410"/>
      <c r="G166" s="410"/>
      <c r="L166" s="410"/>
      <c r="M166" s="59"/>
      <c r="N166" s="63"/>
      <c r="O166" s="59"/>
      <c r="P166" s="59"/>
      <c r="Q166" s="59"/>
      <c r="S166" s="59"/>
      <c r="T166" s="59"/>
      <c r="U166" s="59"/>
      <c r="V166" s="63"/>
      <c r="W166" s="59"/>
      <c r="AF166" s="63"/>
      <c r="AH166" s="412"/>
    </row>
    <row r="167" spans="1:35" s="64" customFormat="1" ht="18" customHeight="1" x14ac:dyDescent="0.2">
      <c r="A167" s="203"/>
      <c r="C167" s="410"/>
      <c r="D167" s="410"/>
      <c r="E167" s="410"/>
      <c r="F167" s="410"/>
      <c r="G167" s="410"/>
      <c r="L167" s="410"/>
      <c r="N167" s="63"/>
      <c r="S167" s="63"/>
      <c r="T167" s="63"/>
      <c r="U167" s="63"/>
      <c r="V167" s="63"/>
      <c r="W167" s="63"/>
      <c r="AF167" s="63"/>
      <c r="AG167" s="410"/>
      <c r="AH167" s="412"/>
    </row>
    <row r="168" spans="1:35" s="64" customFormat="1" ht="18" customHeight="1" x14ac:dyDescent="0.2">
      <c r="A168" s="203"/>
      <c r="C168" s="410"/>
      <c r="D168" s="410"/>
      <c r="E168" s="410"/>
      <c r="F168" s="410"/>
      <c r="G168" s="410"/>
      <c r="V168" s="63"/>
      <c r="AF168" s="63"/>
      <c r="AH168" s="412"/>
    </row>
    <row r="169" spans="1:35" s="64" customFormat="1" ht="18" customHeight="1" x14ac:dyDescent="0.2">
      <c r="A169" s="203"/>
      <c r="C169" s="410"/>
      <c r="D169" s="410"/>
      <c r="E169" s="410"/>
      <c r="F169" s="410"/>
      <c r="G169" s="410"/>
      <c r="V169" s="63"/>
      <c r="AF169" s="63"/>
      <c r="AH169" s="412"/>
    </row>
    <row r="170" spans="1:35" ht="18" customHeight="1" x14ac:dyDescent="0.2">
      <c r="V170" s="63"/>
      <c r="AF170" s="63"/>
      <c r="AG170" s="64"/>
      <c r="AI170" s="64"/>
    </row>
    <row r="171" spans="1:35" ht="18" customHeight="1" x14ac:dyDescent="0.2">
      <c r="V171" s="63"/>
      <c r="AF171" s="63"/>
      <c r="AG171" s="64"/>
      <c r="AI171" s="64"/>
    </row>
    <row r="172" spans="1:35" ht="18" customHeight="1" x14ac:dyDescent="0.2">
      <c r="V172" s="63"/>
      <c r="AF172" s="63"/>
      <c r="AG172" s="64"/>
      <c r="AI172" s="64"/>
    </row>
    <row r="173" spans="1:35" ht="18" customHeight="1" x14ac:dyDescent="0.2">
      <c r="V173" s="64"/>
      <c r="AF173" s="64"/>
      <c r="AG173" s="64"/>
      <c r="AI173" s="64"/>
    </row>
  </sheetData>
  <mergeCells count="40">
    <mergeCell ref="AF6:AF9"/>
    <mergeCell ref="AD5:AE5"/>
    <mergeCell ref="X5:Y5"/>
    <mergeCell ref="AD4:AF4"/>
    <mergeCell ref="AC6:AC9"/>
    <mergeCell ref="X4:Z4"/>
    <mergeCell ref="Z6:Z9"/>
    <mergeCell ref="AA5:AB5"/>
    <mergeCell ref="AA4:AC4"/>
    <mergeCell ref="T4:V4"/>
    <mergeCell ref="V6:V9"/>
    <mergeCell ref="S6:S7"/>
    <mergeCell ref="K8:K9"/>
    <mergeCell ref="D8:D9"/>
    <mergeCell ref="H7:L7"/>
    <mergeCell ref="H8:H9"/>
    <mergeCell ref="G8:G9"/>
    <mergeCell ref="C4:G5"/>
    <mergeCell ref="S4:S5"/>
    <mergeCell ref="C7:G7"/>
    <mergeCell ref="L8:L9"/>
    <mergeCell ref="M7:N7"/>
    <mergeCell ref="I8:I9"/>
    <mergeCell ref="J8:J9"/>
    <mergeCell ref="W4:W5"/>
    <mergeCell ref="A4:A9"/>
    <mergeCell ref="B4:B9"/>
    <mergeCell ref="H6:L6"/>
    <mergeCell ref="P7:Q7"/>
    <mergeCell ref="E8:E9"/>
    <mergeCell ref="M6:N6"/>
    <mergeCell ref="H5:L5"/>
    <mergeCell ref="M5:Q5"/>
    <mergeCell ref="R4:R9"/>
    <mergeCell ref="H4:Q4"/>
    <mergeCell ref="T5:T7"/>
    <mergeCell ref="C6:G6"/>
    <mergeCell ref="F8:F9"/>
    <mergeCell ref="C8:C9"/>
    <mergeCell ref="P6:Q6"/>
  </mergeCells>
  <phoneticPr fontId="0" type="noConversion"/>
  <pageMargins left="0.15748031496062992" right="0.15748031496062992" top="1.1811023622047245" bottom="0.51181102362204722" header="0" footer="0"/>
  <pageSetup paperSize="5" scale="53" orientation="landscape" horizontalDpi="4294967294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H175"/>
  <sheetViews>
    <sheetView topLeftCell="A91" zoomScale="80" workbookViewId="0">
      <selection activeCell="L161" sqref="L161"/>
    </sheetView>
  </sheetViews>
  <sheetFormatPr baseColWidth="10" defaultRowHeight="18" customHeight="1" x14ac:dyDescent="0.2"/>
  <cols>
    <col min="1" max="1" width="7.5703125" style="62" customWidth="1"/>
    <col min="2" max="2" width="55" style="50" customWidth="1"/>
    <col min="3" max="3" width="14.5703125" style="268" customWidth="1"/>
    <col min="4" max="4" width="15.28515625" style="268" customWidth="1"/>
    <col min="5" max="5" width="14.5703125" style="268" customWidth="1"/>
    <col min="6" max="6" width="11.5703125" style="50" bestFit="1" customWidth="1"/>
    <col min="7" max="7" width="11.42578125" style="50" customWidth="1"/>
    <col min="8" max="16384" width="11.42578125" style="50"/>
  </cols>
  <sheetData>
    <row r="1" spans="1:5" ht="18" customHeight="1" x14ac:dyDescent="0.25">
      <c r="A1" s="1177" t="s">
        <v>330</v>
      </c>
      <c r="B1" s="1177"/>
      <c r="C1" s="1177"/>
      <c r="D1" s="1177"/>
      <c r="E1" s="1177"/>
    </row>
    <row r="2" spans="1:5" ht="18" customHeight="1" x14ac:dyDescent="0.25">
      <c r="A2" s="1177" t="s">
        <v>252</v>
      </c>
      <c r="B2" s="1177"/>
      <c r="C2" s="1177"/>
      <c r="D2" s="1177"/>
      <c r="E2" s="1177"/>
    </row>
    <row r="3" spans="1:5" ht="18" customHeight="1" x14ac:dyDescent="0.25">
      <c r="A3" s="1177" t="s">
        <v>517</v>
      </c>
      <c r="B3" s="1177"/>
      <c r="C3" s="1177"/>
      <c r="D3" s="1177"/>
      <c r="E3" s="1177"/>
    </row>
    <row r="4" spans="1:5" ht="18" customHeight="1" x14ac:dyDescent="0.25">
      <c r="A4" s="1178" t="s">
        <v>615</v>
      </c>
      <c r="B4" s="1178"/>
      <c r="C4" s="1178"/>
      <c r="D4" s="1178"/>
      <c r="E4" s="1178"/>
    </row>
    <row r="5" spans="1:5" ht="18" customHeight="1" x14ac:dyDescent="0.25">
      <c r="A5" s="1177" t="s">
        <v>616</v>
      </c>
      <c r="B5" s="1177"/>
      <c r="C5" s="1177"/>
      <c r="D5" s="1177"/>
      <c r="E5" s="1177"/>
    </row>
    <row r="6" spans="1:5" ht="18" customHeight="1" thickBot="1" x14ac:dyDescent="0.3">
      <c r="A6" s="411"/>
      <c r="B6" s="411"/>
      <c r="C6" s="411"/>
      <c r="D6" s="411"/>
      <c r="E6" s="411"/>
    </row>
    <row r="7" spans="1:5" ht="18" customHeight="1" thickBot="1" x14ac:dyDescent="0.25">
      <c r="A7" s="103" t="s">
        <v>339</v>
      </c>
      <c r="B7" s="98" t="s">
        <v>253</v>
      </c>
      <c r="C7" s="262" t="s">
        <v>254</v>
      </c>
      <c r="D7" s="262" t="s">
        <v>255</v>
      </c>
      <c r="E7" s="262" t="s">
        <v>27</v>
      </c>
    </row>
    <row r="8" spans="1:5" s="51" customFormat="1" ht="18" customHeight="1" x14ac:dyDescent="0.25">
      <c r="A8" s="930">
        <v>51</v>
      </c>
      <c r="B8" s="939" t="s">
        <v>124</v>
      </c>
      <c r="C8" s="940"/>
      <c r="D8" s="941"/>
      <c r="E8" s="264">
        <f>SUM(D9:D39)</f>
        <v>383751.40460000001</v>
      </c>
    </row>
    <row r="9" spans="1:5" s="51" customFormat="1" ht="18" customHeight="1" x14ac:dyDescent="0.2">
      <c r="A9" s="930">
        <v>511</v>
      </c>
      <c r="B9" s="942" t="s">
        <v>125</v>
      </c>
      <c r="C9" s="943"/>
      <c r="D9" s="944">
        <f>SUM(C10:C14)</f>
        <v>327655.83</v>
      </c>
      <c r="E9" s="264"/>
    </row>
    <row r="10" spans="1:5" ht="18" customHeight="1" x14ac:dyDescent="0.2">
      <c r="A10" s="931" t="s">
        <v>126</v>
      </c>
      <c r="B10" s="945" t="s">
        <v>127</v>
      </c>
      <c r="C10" s="946">
        <f>CONSOLIDADO!AG12</f>
        <v>231504.24</v>
      </c>
      <c r="D10" s="947"/>
      <c r="E10" s="265"/>
    </row>
    <row r="11" spans="1:5" ht="18" customHeight="1" x14ac:dyDescent="0.2">
      <c r="A11" s="932">
        <v>51103</v>
      </c>
      <c r="B11" s="945" t="s">
        <v>129</v>
      </c>
      <c r="C11" s="946">
        <f>CONSOLIDADO!AG14</f>
        <v>19292.02</v>
      </c>
      <c r="D11" s="944"/>
      <c r="E11" s="265"/>
    </row>
    <row r="12" spans="1:5" s="51" customFormat="1" ht="18" hidden="1" customHeight="1" x14ac:dyDescent="0.2">
      <c r="A12" s="932">
        <v>51104</v>
      </c>
      <c r="B12" s="945" t="s">
        <v>130</v>
      </c>
      <c r="C12" s="946"/>
      <c r="D12" s="944"/>
      <c r="E12" s="264"/>
    </row>
    <row r="13" spans="1:5" ht="18" customHeight="1" x14ac:dyDescent="0.2">
      <c r="A13" s="931" t="s">
        <v>131</v>
      </c>
      <c r="B13" s="945" t="s">
        <v>132</v>
      </c>
      <c r="C13" s="946">
        <f>CONSOLIDADO!AG16</f>
        <v>66000</v>
      </c>
      <c r="D13" s="947"/>
      <c r="E13" s="265"/>
    </row>
    <row r="14" spans="1:5" s="51" customFormat="1" ht="18" customHeight="1" x14ac:dyDescent="0.2">
      <c r="A14" s="931" t="s">
        <v>133</v>
      </c>
      <c r="B14" s="945" t="s">
        <v>134</v>
      </c>
      <c r="C14" s="946">
        <f>CONSOLIDADO!AG17</f>
        <v>10859.57</v>
      </c>
      <c r="D14" s="944"/>
      <c r="E14" s="264"/>
    </row>
    <row r="15" spans="1:5" ht="18" customHeight="1" x14ac:dyDescent="0.2">
      <c r="A15" s="933" t="s">
        <v>135</v>
      </c>
      <c r="B15" s="948" t="s">
        <v>136</v>
      </c>
      <c r="C15" s="946"/>
      <c r="D15" s="944">
        <f>SUM(C16:C19)</f>
        <v>0</v>
      </c>
      <c r="E15" s="265"/>
    </row>
    <row r="16" spans="1:5" ht="18" hidden="1" customHeight="1" x14ac:dyDescent="0.2">
      <c r="A16" s="931" t="s">
        <v>137</v>
      </c>
      <c r="B16" s="945" t="s">
        <v>127</v>
      </c>
      <c r="C16" s="946">
        <f>CONSOLIDADO!AG19</f>
        <v>0</v>
      </c>
      <c r="D16" s="947"/>
      <c r="E16" s="265"/>
    </row>
    <row r="17" spans="1:5" ht="18" customHeight="1" x14ac:dyDescent="0.2">
      <c r="A17" s="932">
        <v>51202</v>
      </c>
      <c r="B17" s="949" t="s">
        <v>138</v>
      </c>
      <c r="C17" s="946">
        <f>CONSOLIDADO!AG20</f>
        <v>0</v>
      </c>
      <c r="D17" s="944"/>
      <c r="E17" s="265"/>
    </row>
    <row r="18" spans="1:5" s="51" customFormat="1" ht="18" hidden="1" customHeight="1" x14ac:dyDescent="0.2">
      <c r="A18" s="931" t="s">
        <v>139</v>
      </c>
      <c r="B18" s="945" t="s">
        <v>129</v>
      </c>
      <c r="C18" s="946"/>
      <c r="D18" s="944"/>
      <c r="E18" s="264"/>
    </row>
    <row r="19" spans="1:5" s="51" customFormat="1" ht="18" hidden="1" customHeight="1" x14ac:dyDescent="0.2">
      <c r="A19" s="931" t="s">
        <v>140</v>
      </c>
      <c r="B19" s="945" t="s">
        <v>134</v>
      </c>
      <c r="C19" s="946"/>
      <c r="D19" s="944"/>
      <c r="E19" s="264"/>
    </row>
    <row r="20" spans="1:5" ht="18" customHeight="1" x14ac:dyDescent="0.2">
      <c r="A20" s="933" t="s">
        <v>141</v>
      </c>
      <c r="B20" s="948" t="s">
        <v>142</v>
      </c>
      <c r="C20" s="946"/>
      <c r="D20" s="944">
        <f>SUM(C21:C22)</f>
        <v>500</v>
      </c>
      <c r="E20" s="265"/>
    </row>
    <row r="21" spans="1:5" ht="18" customHeight="1" x14ac:dyDescent="0.2">
      <c r="A21" s="932">
        <v>51301</v>
      </c>
      <c r="B21" s="949" t="s">
        <v>143</v>
      </c>
      <c r="C21" s="946">
        <f>+CONSOLIDADO!AG24</f>
        <v>500</v>
      </c>
      <c r="D21" s="944"/>
      <c r="E21" s="265"/>
    </row>
    <row r="22" spans="1:5" s="51" customFormat="1" ht="18" hidden="1" customHeight="1" x14ac:dyDescent="0.2">
      <c r="A22" s="932">
        <v>51302</v>
      </c>
      <c r="B22" s="949" t="s">
        <v>144</v>
      </c>
      <c r="C22" s="946"/>
      <c r="D22" s="944"/>
      <c r="E22" s="264"/>
    </row>
    <row r="23" spans="1:5" ht="22.5" customHeight="1" x14ac:dyDescent="0.2">
      <c r="A23" s="930">
        <v>514</v>
      </c>
      <c r="B23" s="950" t="s">
        <v>145</v>
      </c>
      <c r="C23" s="946"/>
      <c r="D23" s="944">
        <f>SUM(C24:C25)</f>
        <v>21968.181</v>
      </c>
      <c r="E23" s="265"/>
    </row>
    <row r="24" spans="1:5" ht="18" customHeight="1" x14ac:dyDescent="0.2">
      <c r="A24" s="931" t="s">
        <v>146</v>
      </c>
      <c r="B24" s="945" t="s">
        <v>147</v>
      </c>
      <c r="C24" s="946">
        <f>CONSOLIDADO!AG27</f>
        <v>21968.181</v>
      </c>
      <c r="D24" s="944"/>
      <c r="E24" s="265"/>
    </row>
    <row r="25" spans="1:5" ht="18" hidden="1" customHeight="1" x14ac:dyDescent="0.2">
      <c r="A25" s="931" t="s">
        <v>148</v>
      </c>
      <c r="B25" s="945" t="s">
        <v>149</v>
      </c>
      <c r="C25" s="946"/>
      <c r="D25" s="947"/>
      <c r="E25" s="265"/>
    </row>
    <row r="26" spans="1:5" s="51" customFormat="1" ht="24.75" customHeight="1" x14ac:dyDescent="0.2">
      <c r="A26" s="930">
        <v>515</v>
      </c>
      <c r="B26" s="950" t="s">
        <v>150</v>
      </c>
      <c r="C26" s="946"/>
      <c r="D26" s="944">
        <f>SUM(C27:C28)</f>
        <v>16935.393599999999</v>
      </c>
      <c r="E26" s="264"/>
    </row>
    <row r="27" spans="1:5" s="51" customFormat="1" ht="18" customHeight="1" x14ac:dyDescent="0.2">
      <c r="A27" s="931" t="s">
        <v>151</v>
      </c>
      <c r="B27" s="945" t="s">
        <v>147</v>
      </c>
      <c r="C27" s="946">
        <f>CONSOLIDADO!AG30</f>
        <v>16935.393599999999</v>
      </c>
      <c r="D27" s="944"/>
      <c r="E27" s="264"/>
    </row>
    <row r="28" spans="1:5" ht="18" hidden="1" customHeight="1" x14ac:dyDescent="0.2">
      <c r="A28" s="931" t="s">
        <v>152</v>
      </c>
      <c r="B28" s="945" t="s">
        <v>149</v>
      </c>
      <c r="C28" s="946"/>
      <c r="D28" s="944"/>
      <c r="E28" s="265"/>
    </row>
    <row r="29" spans="1:5" s="51" customFormat="1" ht="18" customHeight="1" x14ac:dyDescent="0.2">
      <c r="A29" s="933" t="s">
        <v>153</v>
      </c>
      <c r="B29" s="948" t="s">
        <v>154</v>
      </c>
      <c r="C29" s="946"/>
      <c r="D29" s="944">
        <f>SUM(C30:C31)</f>
        <v>7200</v>
      </c>
      <c r="E29" s="264"/>
    </row>
    <row r="30" spans="1:5" s="51" customFormat="1" ht="18" customHeight="1" x14ac:dyDescent="0.2">
      <c r="A30" s="932">
        <v>51601</v>
      </c>
      <c r="B30" s="949" t="s">
        <v>155</v>
      </c>
      <c r="C30" s="946">
        <f>+CONSOLIDADO!AG33</f>
        <v>7200</v>
      </c>
      <c r="D30" s="944"/>
      <c r="E30" s="264"/>
    </row>
    <row r="31" spans="1:5" ht="18" hidden="1" customHeight="1" x14ac:dyDescent="0.2">
      <c r="A31" s="932">
        <v>51602</v>
      </c>
      <c r="B31" s="949" t="s">
        <v>156</v>
      </c>
      <c r="C31" s="946"/>
      <c r="D31" s="947"/>
      <c r="E31" s="265"/>
    </row>
    <row r="32" spans="1:5" ht="18" hidden="1" customHeight="1" x14ac:dyDescent="0.2">
      <c r="A32" s="930">
        <v>517</v>
      </c>
      <c r="B32" s="951" t="s">
        <v>157</v>
      </c>
      <c r="C32" s="946"/>
      <c r="D32" s="944">
        <f>SUM(C33:C34)</f>
        <v>0</v>
      </c>
      <c r="E32" s="265"/>
    </row>
    <row r="33" spans="1:6" s="51" customFormat="1" ht="18" hidden="1" customHeight="1" x14ac:dyDescent="0.2">
      <c r="A33" s="932">
        <v>51701</v>
      </c>
      <c r="B33" s="949" t="s">
        <v>158</v>
      </c>
      <c r="C33" s="946"/>
      <c r="D33" s="944"/>
      <c r="E33" s="264"/>
    </row>
    <row r="34" spans="1:6" s="51" customFormat="1" ht="18" hidden="1" customHeight="1" x14ac:dyDescent="0.2">
      <c r="A34" s="932">
        <v>51702</v>
      </c>
      <c r="B34" s="949" t="s">
        <v>159</v>
      </c>
      <c r="C34" s="946"/>
      <c r="D34" s="944"/>
      <c r="E34" s="264"/>
    </row>
    <row r="35" spans="1:6" ht="18" hidden="1" customHeight="1" x14ac:dyDescent="0.2">
      <c r="A35" s="930">
        <v>518</v>
      </c>
      <c r="B35" s="951" t="s">
        <v>160</v>
      </c>
      <c r="C35" s="946"/>
      <c r="D35" s="944">
        <f>SUM(C36)</f>
        <v>0</v>
      </c>
      <c r="E35" s="265"/>
    </row>
    <row r="36" spans="1:6" ht="18" hidden="1" customHeight="1" x14ac:dyDescent="0.2">
      <c r="A36" s="932">
        <v>51803</v>
      </c>
      <c r="B36" s="949" t="s">
        <v>161</v>
      </c>
      <c r="C36" s="946"/>
      <c r="D36" s="947"/>
      <c r="E36" s="265"/>
    </row>
    <row r="37" spans="1:6" s="51" customFormat="1" ht="18" hidden="1" customHeight="1" x14ac:dyDescent="0.2">
      <c r="A37" s="930">
        <v>519</v>
      </c>
      <c r="B37" s="951" t="s">
        <v>162</v>
      </c>
      <c r="C37" s="946"/>
      <c r="D37" s="944">
        <f>SUM(C38:C39)</f>
        <v>9492</v>
      </c>
      <c r="E37" s="264"/>
    </row>
    <row r="38" spans="1:6" s="51" customFormat="1" ht="18" hidden="1" customHeight="1" x14ac:dyDescent="0.2">
      <c r="A38" s="932">
        <v>51901</v>
      </c>
      <c r="B38" s="949" t="s">
        <v>163</v>
      </c>
      <c r="C38" s="946">
        <f>CONSOLIDADO!AG41</f>
        <v>9492</v>
      </c>
      <c r="D38" s="944"/>
      <c r="E38" s="264"/>
    </row>
    <row r="39" spans="1:6" ht="18" hidden="1" customHeight="1" x14ac:dyDescent="0.2">
      <c r="A39" s="932">
        <v>51999</v>
      </c>
      <c r="B39" s="949" t="s">
        <v>162</v>
      </c>
      <c r="C39" s="946"/>
      <c r="D39" s="947"/>
      <c r="E39" s="265"/>
    </row>
    <row r="40" spans="1:6" s="51" customFormat="1" ht="7.5" customHeight="1" x14ac:dyDescent="0.2">
      <c r="A40" s="932"/>
      <c r="B40" s="952"/>
      <c r="C40" s="946"/>
      <c r="D40" s="944"/>
      <c r="E40" s="264"/>
    </row>
    <row r="41" spans="1:6" ht="18" customHeight="1" x14ac:dyDescent="0.2">
      <c r="A41" s="930">
        <v>54</v>
      </c>
      <c r="B41" s="953" t="s">
        <v>29</v>
      </c>
      <c r="C41" s="946"/>
      <c r="D41" s="947"/>
      <c r="E41" s="264">
        <f>SUM(D42:D93)</f>
        <v>210396.86</v>
      </c>
      <c r="F41" s="51"/>
    </row>
    <row r="42" spans="1:6" s="51" customFormat="1" ht="18" customHeight="1" x14ac:dyDescent="0.2">
      <c r="A42" s="930">
        <v>541</v>
      </c>
      <c r="B42" s="953" t="s">
        <v>30</v>
      </c>
      <c r="C42" s="946"/>
      <c r="D42" s="944">
        <f>SUM(C43:C61)</f>
        <v>33180</v>
      </c>
      <c r="E42" s="264"/>
    </row>
    <row r="43" spans="1:6" ht="18" customHeight="1" x14ac:dyDescent="0.2">
      <c r="A43" s="932">
        <v>54101</v>
      </c>
      <c r="B43" s="952" t="s">
        <v>31</v>
      </c>
      <c r="C43" s="946">
        <f>CONSOLIDADO!AG46</f>
        <v>900</v>
      </c>
      <c r="D43" s="947"/>
      <c r="E43" s="265"/>
    </row>
    <row r="44" spans="1:6" ht="18" hidden="1" customHeight="1" x14ac:dyDescent="0.2">
      <c r="A44" s="932">
        <v>54103</v>
      </c>
      <c r="B44" s="952" t="s">
        <v>32</v>
      </c>
      <c r="C44" s="946"/>
      <c r="D44" s="947"/>
      <c r="E44" s="265"/>
    </row>
    <row r="45" spans="1:6" ht="18" customHeight="1" x14ac:dyDescent="0.2">
      <c r="A45" s="932">
        <v>54104</v>
      </c>
      <c r="B45" s="952" t="s">
        <v>33</v>
      </c>
      <c r="C45" s="946">
        <f>CONSOLIDADO!AG48</f>
        <v>1650</v>
      </c>
      <c r="D45" s="947"/>
      <c r="E45" s="265"/>
    </row>
    <row r="46" spans="1:6" ht="18" customHeight="1" x14ac:dyDescent="0.2">
      <c r="A46" s="932">
        <v>54105</v>
      </c>
      <c r="B46" s="952" t="s">
        <v>34</v>
      </c>
      <c r="C46" s="946">
        <f>CONSOLIDADO!AG49</f>
        <v>1700</v>
      </c>
      <c r="D46" s="947"/>
      <c r="E46" s="265"/>
    </row>
    <row r="47" spans="1:6" s="51" customFormat="1" ht="18" hidden="1" customHeight="1" x14ac:dyDescent="0.2">
      <c r="A47" s="932">
        <v>54106</v>
      </c>
      <c r="B47" s="952" t="s">
        <v>35</v>
      </c>
      <c r="C47" s="946">
        <f>CONSOLIDADO!AG50</f>
        <v>0</v>
      </c>
      <c r="D47" s="944"/>
      <c r="E47" s="264"/>
    </row>
    <row r="48" spans="1:6" s="51" customFormat="1" ht="18" customHeight="1" x14ac:dyDescent="0.2">
      <c r="A48" s="932">
        <v>54107</v>
      </c>
      <c r="B48" s="952" t="s">
        <v>36</v>
      </c>
      <c r="C48" s="946">
        <f>CONSOLIDADO!AG51</f>
        <v>3780</v>
      </c>
      <c r="D48" s="944"/>
      <c r="E48" s="264"/>
    </row>
    <row r="49" spans="1:5" ht="18" customHeight="1" x14ac:dyDescent="0.2">
      <c r="A49" s="932">
        <v>54108</v>
      </c>
      <c r="B49" s="952" t="s">
        <v>37</v>
      </c>
      <c r="C49" s="946">
        <f>CONSOLIDADO!AG52</f>
        <v>0</v>
      </c>
      <c r="D49" s="947"/>
      <c r="E49" s="265"/>
    </row>
    <row r="50" spans="1:5" ht="18" customHeight="1" x14ac:dyDescent="0.2">
      <c r="A50" s="932">
        <v>54109</v>
      </c>
      <c r="B50" s="952" t="s">
        <v>38</v>
      </c>
      <c r="C50" s="946">
        <f>CONSOLIDADO!AG53</f>
        <v>2200</v>
      </c>
      <c r="D50" s="947"/>
      <c r="E50" s="265"/>
    </row>
    <row r="51" spans="1:5" s="51" customFormat="1" ht="18" customHeight="1" x14ac:dyDescent="0.2">
      <c r="A51" s="932">
        <v>54110</v>
      </c>
      <c r="B51" s="952" t="s">
        <v>39</v>
      </c>
      <c r="C51" s="946">
        <f>CONSOLIDADO!AG54</f>
        <v>10600</v>
      </c>
      <c r="D51" s="944"/>
      <c r="E51" s="264"/>
    </row>
    <row r="52" spans="1:5" s="51" customFormat="1" ht="18" customHeight="1" x14ac:dyDescent="0.2">
      <c r="A52" s="932">
        <v>54111</v>
      </c>
      <c r="B52" s="952" t="s">
        <v>40</v>
      </c>
      <c r="C52" s="946">
        <f>CONSOLIDADO!AG55</f>
        <v>0</v>
      </c>
      <c r="D52" s="944"/>
      <c r="E52" s="264"/>
    </row>
    <row r="53" spans="1:5" ht="18" customHeight="1" x14ac:dyDescent="0.2">
      <c r="A53" s="932">
        <v>54112</v>
      </c>
      <c r="B53" s="952" t="s">
        <v>41</v>
      </c>
      <c r="C53" s="946">
        <f>+CONSOLIDADO!AG56</f>
        <v>0</v>
      </c>
      <c r="D53" s="944"/>
      <c r="E53" s="265"/>
    </row>
    <row r="54" spans="1:5" s="51" customFormat="1" ht="18" customHeight="1" x14ac:dyDescent="0.2">
      <c r="A54" s="932">
        <v>54114</v>
      </c>
      <c r="B54" s="952" t="s">
        <v>42</v>
      </c>
      <c r="C54" s="946">
        <f>CONSOLIDADO!AG57</f>
        <v>1600</v>
      </c>
      <c r="D54" s="944"/>
      <c r="E54" s="264"/>
    </row>
    <row r="55" spans="1:5" s="51" customFormat="1" ht="18" customHeight="1" x14ac:dyDescent="0.2">
      <c r="A55" s="932">
        <v>54115</v>
      </c>
      <c r="B55" s="952" t="s">
        <v>43</v>
      </c>
      <c r="C55" s="946">
        <f>CONSOLIDADO!AG58</f>
        <v>2500</v>
      </c>
      <c r="D55" s="944"/>
      <c r="E55" s="264"/>
    </row>
    <row r="56" spans="1:5" ht="18" hidden="1" customHeight="1" x14ac:dyDescent="0.2">
      <c r="A56" s="932">
        <v>54116</v>
      </c>
      <c r="B56" s="952" t="s">
        <v>44</v>
      </c>
      <c r="C56" s="946">
        <f>CONSOLIDADO!AG59</f>
        <v>0</v>
      </c>
      <c r="D56" s="947"/>
      <c r="E56" s="265"/>
    </row>
    <row r="57" spans="1:5" ht="18" hidden="1" customHeight="1" x14ac:dyDescent="0.2">
      <c r="A57" s="932">
        <v>54117</v>
      </c>
      <c r="B57" s="952" t="s">
        <v>45</v>
      </c>
      <c r="C57" s="946">
        <f>CONSOLIDADO!AG60</f>
        <v>0</v>
      </c>
      <c r="D57" s="947"/>
      <c r="E57" s="265"/>
    </row>
    <row r="58" spans="1:5" ht="18" customHeight="1" x14ac:dyDescent="0.2">
      <c r="A58" s="932">
        <v>54118</v>
      </c>
      <c r="B58" s="952" t="s">
        <v>46</v>
      </c>
      <c r="C58" s="946">
        <f>CONSOLIDADO!AG61</f>
        <v>3550</v>
      </c>
      <c r="D58" s="947"/>
      <c r="E58" s="265"/>
    </row>
    <row r="59" spans="1:5" ht="18" customHeight="1" x14ac:dyDescent="0.2">
      <c r="A59" s="932">
        <v>54119</v>
      </c>
      <c r="B59" s="952" t="s">
        <v>47</v>
      </c>
      <c r="C59" s="946">
        <f>CONSOLIDADO!AG62</f>
        <v>150</v>
      </c>
      <c r="D59" s="947"/>
      <c r="E59" s="265"/>
    </row>
    <row r="60" spans="1:5" ht="18" customHeight="1" x14ac:dyDescent="0.2">
      <c r="A60" s="932">
        <v>54121</v>
      </c>
      <c r="B60" s="952" t="s">
        <v>48</v>
      </c>
      <c r="C60" s="946">
        <f>CONSOLIDADO!AG63</f>
        <v>400</v>
      </c>
      <c r="D60" s="947"/>
      <c r="E60" s="265"/>
    </row>
    <row r="61" spans="1:5" ht="18" customHeight="1" x14ac:dyDescent="0.2">
      <c r="A61" s="932">
        <v>54199</v>
      </c>
      <c r="B61" s="952" t="s">
        <v>49</v>
      </c>
      <c r="C61" s="946">
        <f>CONSOLIDADO!AG64</f>
        <v>4150</v>
      </c>
      <c r="D61" s="947"/>
      <c r="E61" s="265"/>
    </row>
    <row r="62" spans="1:5" ht="18" hidden="1" customHeight="1" x14ac:dyDescent="0.2">
      <c r="A62" s="204"/>
      <c r="B62" s="952"/>
      <c r="C62" s="946"/>
      <c r="D62" s="947"/>
      <c r="E62" s="266"/>
    </row>
    <row r="63" spans="1:5" ht="18" hidden="1" customHeight="1" x14ac:dyDescent="0.2">
      <c r="A63" s="204"/>
      <c r="B63" s="952"/>
      <c r="C63" s="946"/>
      <c r="D63" s="947"/>
      <c r="E63" s="266"/>
    </row>
    <row r="64" spans="1:5" ht="18" hidden="1" customHeight="1" x14ac:dyDescent="0.2">
      <c r="A64" s="204"/>
      <c r="B64" s="952"/>
      <c r="C64" s="946"/>
      <c r="D64" s="947"/>
      <c r="E64" s="266"/>
    </row>
    <row r="65" spans="1:5" ht="18" hidden="1" customHeight="1" x14ac:dyDescent="0.2">
      <c r="A65" s="204"/>
      <c r="B65" s="952"/>
      <c r="C65" s="946"/>
      <c r="D65" s="947"/>
      <c r="E65" s="266"/>
    </row>
    <row r="66" spans="1:5" ht="18" customHeight="1" x14ac:dyDescent="0.2">
      <c r="A66" s="930">
        <v>542</v>
      </c>
      <c r="B66" s="953" t="s">
        <v>50</v>
      </c>
      <c r="C66" s="946"/>
      <c r="D66" s="944">
        <f>SUM(C67:C71)</f>
        <v>137423.66999999998</v>
      </c>
      <c r="E66" s="265"/>
    </row>
    <row r="67" spans="1:5" ht="18" customHeight="1" x14ac:dyDescent="0.2">
      <c r="A67" s="961">
        <v>54201</v>
      </c>
      <c r="B67" s="962" t="s">
        <v>51</v>
      </c>
      <c r="C67" s="963">
        <f>CONSOLIDADO!AG66</f>
        <v>103883.67</v>
      </c>
      <c r="D67" s="964"/>
      <c r="E67" s="965"/>
    </row>
    <row r="68" spans="1:5" ht="18" customHeight="1" x14ac:dyDescent="0.2">
      <c r="A68" s="932">
        <v>54202</v>
      </c>
      <c r="B68" s="952" t="s">
        <v>52</v>
      </c>
      <c r="C68" s="946">
        <f>CONSOLIDADO!AG67</f>
        <v>1020</v>
      </c>
      <c r="D68" s="947"/>
      <c r="E68" s="265"/>
    </row>
    <row r="69" spans="1:5" ht="18" customHeight="1" x14ac:dyDescent="0.2">
      <c r="A69" s="932">
        <v>54203</v>
      </c>
      <c r="B69" s="952" t="s">
        <v>53</v>
      </c>
      <c r="C69" s="946">
        <f>CONSOLIDADO!AG68</f>
        <v>12120</v>
      </c>
      <c r="D69" s="947"/>
      <c r="E69" s="265"/>
    </row>
    <row r="70" spans="1:5" ht="18" hidden="1" customHeight="1" x14ac:dyDescent="0.2">
      <c r="A70" s="932">
        <v>54204</v>
      </c>
      <c r="B70" s="952" t="s">
        <v>54</v>
      </c>
      <c r="C70" s="946">
        <f>CONSOLIDADO!AG69</f>
        <v>0</v>
      </c>
      <c r="D70" s="947"/>
      <c r="E70" s="265"/>
    </row>
    <row r="71" spans="1:5" ht="18" customHeight="1" x14ac:dyDescent="0.2">
      <c r="A71" s="932">
        <v>54205</v>
      </c>
      <c r="B71" s="952" t="s">
        <v>55</v>
      </c>
      <c r="C71" s="946">
        <f>CONSOLIDADO!AG70</f>
        <v>20400</v>
      </c>
      <c r="D71" s="944"/>
      <c r="E71" s="265"/>
    </row>
    <row r="72" spans="1:5" ht="18" customHeight="1" x14ac:dyDescent="0.2">
      <c r="A72" s="930">
        <v>543</v>
      </c>
      <c r="B72" s="953" t="s">
        <v>56</v>
      </c>
      <c r="C72" s="946"/>
      <c r="D72" s="944">
        <f>SUM(C73:C87)</f>
        <v>23050</v>
      </c>
      <c r="E72" s="265"/>
    </row>
    <row r="73" spans="1:5" ht="18" customHeight="1" x14ac:dyDescent="0.2">
      <c r="A73" s="932">
        <v>54301</v>
      </c>
      <c r="B73" s="952" t="s">
        <v>57</v>
      </c>
      <c r="C73" s="946">
        <f>CONSOLIDADO!AG72</f>
        <v>1400</v>
      </c>
      <c r="D73" s="947"/>
      <c r="E73" s="265"/>
    </row>
    <row r="74" spans="1:5" ht="18" customHeight="1" x14ac:dyDescent="0.2">
      <c r="A74" s="932">
        <v>54302</v>
      </c>
      <c r="B74" s="952" t="s">
        <v>58</v>
      </c>
      <c r="C74" s="946">
        <f>CONSOLIDADO!AG73</f>
        <v>5500</v>
      </c>
      <c r="D74" s="947"/>
      <c r="E74" s="265"/>
    </row>
    <row r="75" spans="1:5" ht="18" customHeight="1" x14ac:dyDescent="0.2">
      <c r="A75" s="932">
        <v>54303</v>
      </c>
      <c r="B75" s="952" t="s">
        <v>59</v>
      </c>
      <c r="C75" s="946">
        <f>CONSOLIDADO!AG74</f>
        <v>0</v>
      </c>
      <c r="D75" s="947"/>
      <c r="E75" s="265"/>
    </row>
    <row r="76" spans="1:5" ht="18" customHeight="1" x14ac:dyDescent="0.2">
      <c r="A76" s="932">
        <v>54304</v>
      </c>
      <c r="B76" s="952" t="s">
        <v>60</v>
      </c>
      <c r="C76" s="946">
        <f>CONSOLIDADO!AG75</f>
        <v>3500</v>
      </c>
      <c r="D76" s="947"/>
      <c r="E76" s="265"/>
    </row>
    <row r="77" spans="1:5" ht="18" customHeight="1" x14ac:dyDescent="0.2">
      <c r="A77" s="932">
        <v>54305</v>
      </c>
      <c r="B77" s="952" t="s">
        <v>61</v>
      </c>
      <c r="C77" s="946">
        <f>CONSOLIDADO!AG76</f>
        <v>200</v>
      </c>
      <c r="D77" s="947"/>
      <c r="E77" s="265"/>
    </row>
    <row r="78" spans="1:5" ht="18" customHeight="1" x14ac:dyDescent="0.2">
      <c r="A78" s="932">
        <v>54306</v>
      </c>
      <c r="B78" s="952" t="s">
        <v>62</v>
      </c>
      <c r="C78" s="946"/>
      <c r="D78" s="947"/>
      <c r="E78" s="265"/>
    </row>
    <row r="79" spans="1:5" ht="18" customHeight="1" x14ac:dyDescent="0.2">
      <c r="A79" s="932">
        <v>54307</v>
      </c>
      <c r="B79" s="952" t="s">
        <v>63</v>
      </c>
      <c r="C79" s="946">
        <f>CONSOLIDADO!AG78</f>
        <v>0</v>
      </c>
      <c r="D79" s="947"/>
      <c r="E79" s="264"/>
    </row>
    <row r="80" spans="1:5" ht="18" hidden="1" customHeight="1" x14ac:dyDescent="0.2">
      <c r="A80" s="932">
        <v>54309</v>
      </c>
      <c r="B80" s="952" t="s">
        <v>64</v>
      </c>
      <c r="C80" s="946"/>
      <c r="D80" s="944"/>
      <c r="E80" s="265"/>
    </row>
    <row r="81" spans="1:5" ht="18" hidden="1" customHeight="1" x14ac:dyDescent="0.2">
      <c r="A81" s="932">
        <v>54310</v>
      </c>
      <c r="B81" s="952" t="s">
        <v>65</v>
      </c>
      <c r="C81" s="946"/>
      <c r="D81" s="947"/>
      <c r="E81" s="265"/>
    </row>
    <row r="82" spans="1:5" ht="18" hidden="1" customHeight="1" x14ac:dyDescent="0.2">
      <c r="A82" s="932">
        <v>54311</v>
      </c>
      <c r="B82" s="952" t="s">
        <v>66</v>
      </c>
      <c r="C82" s="946"/>
      <c r="D82" s="947"/>
      <c r="E82" s="265"/>
    </row>
    <row r="83" spans="1:5" ht="18" hidden="1" customHeight="1" x14ac:dyDescent="0.2">
      <c r="A83" s="932">
        <v>54313</v>
      </c>
      <c r="B83" s="952" t="s">
        <v>67</v>
      </c>
      <c r="C83" s="946"/>
      <c r="D83" s="944"/>
      <c r="E83" s="265"/>
    </row>
    <row r="84" spans="1:5" ht="18" customHeight="1" x14ac:dyDescent="0.2">
      <c r="A84" s="932">
        <v>54314</v>
      </c>
      <c r="B84" s="952" t="s">
        <v>68</v>
      </c>
      <c r="C84" s="946">
        <f>CONSOLIDADO!AG83</f>
        <v>9000</v>
      </c>
      <c r="D84" s="947"/>
      <c r="E84" s="265"/>
    </row>
    <row r="85" spans="1:5" ht="18" hidden="1" customHeight="1" x14ac:dyDescent="0.2">
      <c r="A85" s="932">
        <v>54316</v>
      </c>
      <c r="B85" s="952" t="s">
        <v>69</v>
      </c>
      <c r="C85" s="946"/>
      <c r="D85" s="947"/>
      <c r="E85" s="265"/>
    </row>
    <row r="86" spans="1:5" ht="18" customHeight="1" x14ac:dyDescent="0.2">
      <c r="A86" s="932">
        <v>54317</v>
      </c>
      <c r="B86" s="952" t="s">
        <v>70</v>
      </c>
      <c r="C86" s="946">
        <f>CONSOLIDADO!AG85</f>
        <v>1500</v>
      </c>
      <c r="D86" s="947"/>
      <c r="E86" s="264"/>
    </row>
    <row r="87" spans="1:5" ht="18" customHeight="1" x14ac:dyDescent="0.2">
      <c r="A87" s="932">
        <v>54399</v>
      </c>
      <c r="B87" s="952" t="s">
        <v>71</v>
      </c>
      <c r="C87" s="946">
        <f>CONSOLIDADO!AG86</f>
        <v>1950</v>
      </c>
      <c r="D87" s="944"/>
      <c r="E87" s="265"/>
    </row>
    <row r="88" spans="1:5" ht="18" customHeight="1" x14ac:dyDescent="0.2">
      <c r="A88" s="930">
        <v>544</v>
      </c>
      <c r="B88" s="953" t="s">
        <v>72</v>
      </c>
      <c r="C88" s="946"/>
      <c r="D88" s="944">
        <f>SUM(C89:C92)</f>
        <v>470</v>
      </c>
      <c r="E88" s="265"/>
    </row>
    <row r="89" spans="1:5" ht="18" customHeight="1" x14ac:dyDescent="0.2">
      <c r="A89" s="932">
        <v>54401</v>
      </c>
      <c r="B89" s="952" t="s">
        <v>73</v>
      </c>
      <c r="C89" s="946">
        <f>CONSOLIDADO!AG88</f>
        <v>370</v>
      </c>
      <c r="D89" s="947"/>
      <c r="E89" s="265"/>
    </row>
    <row r="90" spans="1:5" ht="18" hidden="1" customHeight="1" x14ac:dyDescent="0.2">
      <c r="A90" s="932">
        <v>54402</v>
      </c>
      <c r="B90" s="952" t="s">
        <v>74</v>
      </c>
      <c r="C90" s="946">
        <f>CONSOLIDADO!AG89</f>
        <v>0</v>
      </c>
      <c r="D90" s="947"/>
      <c r="E90" s="265"/>
    </row>
    <row r="91" spans="1:5" ht="18" customHeight="1" x14ac:dyDescent="0.2">
      <c r="A91" s="932">
        <v>54403</v>
      </c>
      <c r="B91" s="952" t="s">
        <v>75</v>
      </c>
      <c r="C91" s="946">
        <f>CONSOLIDADO!AG90</f>
        <v>100</v>
      </c>
      <c r="D91" s="947"/>
      <c r="E91" s="265"/>
    </row>
    <row r="92" spans="1:5" ht="18" hidden="1" customHeight="1" x14ac:dyDescent="0.2">
      <c r="A92" s="932">
        <v>54404</v>
      </c>
      <c r="B92" s="952" t="s">
        <v>76</v>
      </c>
      <c r="C92" s="946">
        <f>CONSOLIDADO!AG91</f>
        <v>0</v>
      </c>
      <c r="D92" s="947"/>
      <c r="E92" s="265"/>
    </row>
    <row r="93" spans="1:5" ht="18" customHeight="1" x14ac:dyDescent="0.2">
      <c r="A93" s="930">
        <v>545</v>
      </c>
      <c r="B93" s="953" t="s">
        <v>77</v>
      </c>
      <c r="C93" s="946"/>
      <c r="D93" s="947">
        <f>C94+C95</f>
        <v>16273.19</v>
      </c>
      <c r="E93" s="265"/>
    </row>
    <row r="94" spans="1:5" ht="18" customHeight="1" x14ac:dyDescent="0.2">
      <c r="A94" s="932">
        <v>54503</v>
      </c>
      <c r="B94" s="952" t="s">
        <v>79</v>
      </c>
      <c r="C94" s="946">
        <f>+CONSOLIDADO!AG93</f>
        <v>1300</v>
      </c>
      <c r="D94" s="947"/>
      <c r="E94" s="265"/>
    </row>
    <row r="95" spans="1:5" ht="18" customHeight="1" x14ac:dyDescent="0.2">
      <c r="A95" s="932">
        <v>54599</v>
      </c>
      <c r="B95" s="952" t="s">
        <v>570</v>
      </c>
      <c r="C95" s="946">
        <f>+CONSOLIDADO!AG94</f>
        <v>14973.19</v>
      </c>
      <c r="D95" s="947"/>
      <c r="E95" s="265"/>
    </row>
    <row r="96" spans="1:5" ht="18" customHeight="1" x14ac:dyDescent="0.2">
      <c r="A96" s="930">
        <v>55</v>
      </c>
      <c r="B96" s="953" t="s">
        <v>85</v>
      </c>
      <c r="C96" s="946"/>
      <c r="D96" s="944"/>
      <c r="E96" s="264">
        <f>SUM(D97:D112)</f>
        <v>35832.14</v>
      </c>
    </row>
    <row r="97" spans="1:6" ht="15.75" customHeight="1" x14ac:dyDescent="0.2">
      <c r="A97" s="930">
        <v>553</v>
      </c>
      <c r="B97" s="950" t="s">
        <v>86</v>
      </c>
      <c r="C97" s="946"/>
      <c r="D97" s="944">
        <f>SUM(C98:C102)</f>
        <v>35582.14</v>
      </c>
      <c r="E97" s="264"/>
    </row>
    <row r="98" spans="1:6" ht="18" customHeight="1" x14ac:dyDescent="0.2">
      <c r="A98" s="932">
        <v>55302</v>
      </c>
      <c r="B98" s="954" t="s">
        <v>604</v>
      </c>
      <c r="C98" s="946">
        <f>CONSOLIDADO!AG97</f>
        <v>3600</v>
      </c>
      <c r="D98" s="944"/>
      <c r="E98" s="264"/>
    </row>
    <row r="99" spans="1:6" ht="18" hidden="1" customHeight="1" x14ac:dyDescent="0.2">
      <c r="A99" s="932">
        <v>55303</v>
      </c>
      <c r="B99" s="954" t="s">
        <v>87</v>
      </c>
      <c r="C99" s="946"/>
      <c r="D99" s="944"/>
      <c r="E99" s="264"/>
    </row>
    <row r="100" spans="1:6" ht="18" customHeight="1" x14ac:dyDescent="0.2">
      <c r="A100" s="932">
        <v>55304</v>
      </c>
      <c r="B100" s="952" t="s">
        <v>88</v>
      </c>
      <c r="C100" s="946">
        <f>+CONSOLIDADO!AG99</f>
        <v>31982.14</v>
      </c>
      <c r="D100" s="944"/>
      <c r="E100" s="264"/>
    </row>
    <row r="101" spans="1:6" s="66" customFormat="1" ht="18" hidden="1" customHeight="1" x14ac:dyDescent="0.2">
      <c r="A101" s="932">
        <v>55306</v>
      </c>
      <c r="B101" s="952" t="s">
        <v>256</v>
      </c>
      <c r="C101" s="946">
        <f>CONSOLIDADO!AG100</f>
        <v>0</v>
      </c>
      <c r="D101" s="955"/>
      <c r="E101" s="937"/>
      <c r="F101" s="65"/>
    </row>
    <row r="102" spans="1:6" ht="18" hidden="1" customHeight="1" x14ac:dyDescent="0.2">
      <c r="A102" s="932">
        <v>55308</v>
      </c>
      <c r="B102" s="952" t="s">
        <v>89</v>
      </c>
      <c r="C102" s="946"/>
      <c r="D102" s="944"/>
      <c r="E102" s="264"/>
    </row>
    <row r="103" spans="1:6" ht="18" customHeight="1" x14ac:dyDescent="0.2">
      <c r="A103" s="930">
        <v>555</v>
      </c>
      <c r="B103" s="956" t="s">
        <v>539</v>
      </c>
      <c r="C103" s="946"/>
      <c r="D103" s="944">
        <f>+C104</f>
        <v>0</v>
      </c>
      <c r="E103" s="264"/>
    </row>
    <row r="104" spans="1:6" ht="18" customHeight="1" x14ac:dyDescent="0.2">
      <c r="A104" s="932">
        <v>55508</v>
      </c>
      <c r="B104" s="954" t="s">
        <v>343</v>
      </c>
      <c r="C104" s="946">
        <f>CONSOLIDADO!AG103</f>
        <v>0</v>
      </c>
      <c r="D104" s="944"/>
      <c r="E104" s="264"/>
    </row>
    <row r="105" spans="1:6" ht="18" customHeight="1" x14ac:dyDescent="0.2">
      <c r="A105" s="930">
        <v>556</v>
      </c>
      <c r="B105" s="953" t="s">
        <v>90</v>
      </c>
      <c r="C105" s="946"/>
      <c r="D105" s="944">
        <f>SUM(C106:C108)</f>
        <v>250</v>
      </c>
      <c r="E105" s="264"/>
    </row>
    <row r="106" spans="1:6" ht="18" hidden="1" customHeight="1" x14ac:dyDescent="0.2">
      <c r="A106" s="932">
        <v>55601</v>
      </c>
      <c r="B106" s="952" t="s">
        <v>91</v>
      </c>
      <c r="C106" s="946"/>
      <c r="D106" s="944"/>
      <c r="E106" s="264"/>
    </row>
    <row r="107" spans="1:6" ht="18" customHeight="1" x14ac:dyDescent="0.2">
      <c r="A107" s="932">
        <v>55602</v>
      </c>
      <c r="B107" s="952" t="s">
        <v>92</v>
      </c>
      <c r="C107" s="946"/>
      <c r="D107" s="944"/>
      <c r="E107" s="264"/>
    </row>
    <row r="108" spans="1:6" ht="18" customHeight="1" x14ac:dyDescent="0.2">
      <c r="A108" s="932">
        <v>55603</v>
      </c>
      <c r="B108" s="952" t="s">
        <v>93</v>
      </c>
      <c r="C108" s="946">
        <f>CONSOLIDADO!AG104</f>
        <v>250</v>
      </c>
      <c r="D108" s="944"/>
      <c r="E108" s="264"/>
    </row>
    <row r="109" spans="1:6" ht="18" hidden="1" customHeight="1" x14ac:dyDescent="0.2">
      <c r="A109" s="930">
        <v>557</v>
      </c>
      <c r="B109" s="953" t="s">
        <v>94</v>
      </c>
      <c r="C109" s="946"/>
      <c r="D109" s="944">
        <f>SUM(C110:C112)</f>
        <v>0</v>
      </c>
      <c r="E109" s="264"/>
    </row>
    <row r="110" spans="1:6" ht="18" hidden="1" customHeight="1" x14ac:dyDescent="0.2">
      <c r="A110" s="932">
        <v>55701</v>
      </c>
      <c r="B110" s="952" t="s">
        <v>95</v>
      </c>
      <c r="C110" s="946"/>
      <c r="D110" s="944"/>
      <c r="E110" s="264"/>
    </row>
    <row r="111" spans="1:6" ht="18" hidden="1" customHeight="1" x14ac:dyDescent="0.2">
      <c r="A111" s="932">
        <v>55702</v>
      </c>
      <c r="B111" s="952" t="s">
        <v>96</v>
      </c>
      <c r="C111" s="946"/>
      <c r="D111" s="947"/>
      <c r="E111" s="265"/>
    </row>
    <row r="112" spans="1:6" ht="18" hidden="1" customHeight="1" x14ac:dyDescent="0.2">
      <c r="A112" s="932">
        <v>55799</v>
      </c>
      <c r="B112" s="952" t="s">
        <v>97</v>
      </c>
      <c r="C112" s="946"/>
      <c r="D112" s="947"/>
      <c r="E112" s="265"/>
    </row>
    <row r="113" spans="1:8" ht="18" hidden="1" customHeight="1" x14ac:dyDescent="0.2">
      <c r="A113" s="932"/>
      <c r="B113" s="952"/>
      <c r="C113" s="946"/>
      <c r="D113" s="947"/>
      <c r="E113" s="265"/>
    </row>
    <row r="114" spans="1:8" ht="18" customHeight="1" x14ac:dyDescent="0.2">
      <c r="A114" s="930">
        <v>56</v>
      </c>
      <c r="B114" s="953" t="s">
        <v>98</v>
      </c>
      <c r="C114" s="946"/>
      <c r="D114" s="947"/>
      <c r="E114" s="264">
        <f>SUM(D115:D120)</f>
        <v>19255.68</v>
      </c>
    </row>
    <row r="115" spans="1:8" ht="18" customHeight="1" x14ac:dyDescent="0.2">
      <c r="A115" s="930">
        <v>562</v>
      </c>
      <c r="B115" s="953" t="s">
        <v>99</v>
      </c>
      <c r="C115" s="946"/>
      <c r="D115" s="944">
        <f>SUM(C116:C117)</f>
        <v>16255.68</v>
      </c>
      <c r="E115" s="265"/>
    </row>
    <row r="116" spans="1:8" ht="18" customHeight="1" x14ac:dyDescent="0.2">
      <c r="A116" s="932">
        <v>56201</v>
      </c>
      <c r="B116" s="952" t="s">
        <v>100</v>
      </c>
      <c r="C116" s="946">
        <f>CONSOLIDADO!AG115</f>
        <v>16255.68</v>
      </c>
      <c r="D116" s="947"/>
      <c r="E116" s="265"/>
    </row>
    <row r="117" spans="1:8" ht="18" hidden="1" customHeight="1" x14ac:dyDescent="0.2">
      <c r="A117" s="932">
        <v>56202</v>
      </c>
      <c r="B117" s="952" t="s">
        <v>243</v>
      </c>
      <c r="C117" s="946"/>
      <c r="D117" s="947"/>
      <c r="E117" s="265"/>
    </row>
    <row r="118" spans="1:8" ht="18" customHeight="1" x14ac:dyDescent="0.2">
      <c r="A118" s="930">
        <v>563</v>
      </c>
      <c r="B118" s="953" t="s">
        <v>101</v>
      </c>
      <c r="C118" s="946"/>
      <c r="D118" s="944">
        <f>SUM(C119:C120)</f>
        <v>3000</v>
      </c>
      <c r="E118" s="265"/>
    </row>
    <row r="119" spans="1:8" ht="18" customHeight="1" x14ac:dyDescent="0.2">
      <c r="A119" s="932">
        <v>56304</v>
      </c>
      <c r="B119" s="952" t="s">
        <v>111</v>
      </c>
      <c r="C119" s="946">
        <f>CONSOLIDADO!AG119</f>
        <v>3000</v>
      </c>
      <c r="D119" s="947"/>
      <c r="E119" s="265"/>
    </row>
    <row r="120" spans="1:8" ht="18" customHeight="1" x14ac:dyDescent="0.2">
      <c r="A120" s="932">
        <v>56305</v>
      </c>
      <c r="B120" s="952" t="s">
        <v>257</v>
      </c>
      <c r="C120" s="946">
        <f>+CONSOLIDADO!AG120</f>
        <v>0</v>
      </c>
      <c r="D120" s="947"/>
      <c r="E120" s="265"/>
    </row>
    <row r="121" spans="1:8" ht="8.25" customHeight="1" x14ac:dyDescent="0.2">
      <c r="A121" s="932"/>
      <c r="B121" s="952"/>
      <c r="C121" s="946"/>
      <c r="D121" s="947"/>
      <c r="E121" s="265"/>
    </row>
    <row r="122" spans="1:8" ht="18" customHeight="1" x14ac:dyDescent="0.2">
      <c r="A122" s="966" t="s">
        <v>164</v>
      </c>
      <c r="B122" s="967" t="s">
        <v>165</v>
      </c>
      <c r="C122" s="963"/>
      <c r="D122" s="964"/>
      <c r="E122" s="968">
        <f>SUM(D123:D149)</f>
        <v>818631.41000000015</v>
      </c>
    </row>
    <row r="123" spans="1:8" ht="18" customHeight="1" x14ac:dyDescent="0.2">
      <c r="A123" s="934" t="s">
        <v>166</v>
      </c>
      <c r="B123" s="957" t="s">
        <v>167</v>
      </c>
      <c r="C123" s="946"/>
      <c r="D123" s="944">
        <f>SUM(C124:C131)</f>
        <v>8322.01</v>
      </c>
      <c r="E123" s="265"/>
    </row>
    <row r="124" spans="1:8" ht="18" customHeight="1" x14ac:dyDescent="0.2">
      <c r="A124" s="935" t="s">
        <v>168</v>
      </c>
      <c r="B124" s="958" t="s">
        <v>169</v>
      </c>
      <c r="C124" s="946">
        <f>+CONSOLIDADO!AG123</f>
        <v>0</v>
      </c>
      <c r="D124" s="947"/>
      <c r="E124" s="265"/>
    </row>
    <row r="125" spans="1:8" ht="18" customHeight="1" x14ac:dyDescent="0.2">
      <c r="A125" s="935" t="s">
        <v>170</v>
      </c>
      <c r="B125" s="958" t="s">
        <v>171</v>
      </c>
      <c r="C125" s="946">
        <f>+CONSOLIDADO!AG124</f>
        <v>0</v>
      </c>
      <c r="D125" s="947"/>
      <c r="E125" s="265"/>
    </row>
    <row r="126" spans="1:8" ht="18" customHeight="1" x14ac:dyDescent="0.2">
      <c r="A126" s="935" t="s">
        <v>172</v>
      </c>
      <c r="B126" s="958" t="s">
        <v>173</v>
      </c>
      <c r="C126" s="946"/>
      <c r="D126" s="947"/>
      <c r="E126" s="265"/>
    </row>
    <row r="127" spans="1:8" ht="18" customHeight="1" x14ac:dyDescent="0.2">
      <c r="A127" s="935" t="s">
        <v>174</v>
      </c>
      <c r="B127" s="958" t="s">
        <v>175</v>
      </c>
      <c r="C127" s="946">
        <f>+CONSOLIDADO!AG126</f>
        <v>8322.01</v>
      </c>
      <c r="D127" s="947"/>
      <c r="E127" s="265"/>
      <c r="F127" s="66"/>
      <c r="G127" s="66"/>
      <c r="H127" s="66"/>
    </row>
    <row r="128" spans="1:8" ht="18" customHeight="1" x14ac:dyDescent="0.2">
      <c r="A128" s="935" t="s">
        <v>176</v>
      </c>
      <c r="B128" s="958" t="s">
        <v>177</v>
      </c>
      <c r="C128" s="946">
        <f>+CONSOLIDADO!AG127</f>
        <v>0</v>
      </c>
      <c r="D128" s="947"/>
      <c r="E128" s="265"/>
    </row>
    <row r="129" spans="1:5" ht="18" hidden="1" customHeight="1" x14ac:dyDescent="0.2">
      <c r="A129" s="935" t="s">
        <v>178</v>
      </c>
      <c r="B129" s="958" t="s">
        <v>179</v>
      </c>
      <c r="C129" s="946"/>
      <c r="D129" s="947"/>
      <c r="E129" s="265"/>
    </row>
    <row r="130" spans="1:5" ht="18" hidden="1" customHeight="1" x14ac:dyDescent="0.2">
      <c r="A130" s="935" t="s">
        <v>180</v>
      </c>
      <c r="B130" s="958" t="s">
        <v>181</v>
      </c>
      <c r="C130" s="946"/>
      <c r="D130" s="947"/>
      <c r="E130" s="265"/>
    </row>
    <row r="131" spans="1:5" ht="18" customHeight="1" x14ac:dyDescent="0.2">
      <c r="A131" s="935" t="s">
        <v>182</v>
      </c>
      <c r="B131" s="958" t="s">
        <v>183</v>
      </c>
      <c r="C131" s="946">
        <f>+CONSOLIDADO!AG130</f>
        <v>0</v>
      </c>
      <c r="D131" s="947"/>
      <c r="E131" s="265"/>
    </row>
    <row r="132" spans="1:5" ht="18" customHeight="1" x14ac:dyDescent="0.2">
      <c r="A132" s="934" t="s">
        <v>244</v>
      </c>
      <c r="B132" s="957" t="s">
        <v>195</v>
      </c>
      <c r="C132" s="946"/>
      <c r="D132" s="944">
        <f>SUM(C133:C135)</f>
        <v>7223.64</v>
      </c>
      <c r="E132" s="265"/>
    </row>
    <row r="133" spans="1:5" ht="18" hidden="1" customHeight="1" x14ac:dyDescent="0.2">
      <c r="A133" s="935" t="s">
        <v>245</v>
      </c>
      <c r="B133" s="958" t="s">
        <v>246</v>
      </c>
      <c r="C133" s="946"/>
      <c r="D133" s="947"/>
      <c r="E133" s="265"/>
    </row>
    <row r="134" spans="1:5" ht="18" customHeight="1" x14ac:dyDescent="0.2">
      <c r="A134" s="935" t="s">
        <v>247</v>
      </c>
      <c r="B134" s="958" t="s">
        <v>248</v>
      </c>
      <c r="C134" s="946">
        <f>CONSOLIDADO!AG133</f>
        <v>7223.64</v>
      </c>
      <c r="D134" s="947"/>
      <c r="E134" s="265"/>
    </row>
    <row r="135" spans="1:5" ht="18" customHeight="1" x14ac:dyDescent="0.2">
      <c r="A135" s="935" t="s">
        <v>249</v>
      </c>
      <c r="B135" s="958" t="s">
        <v>250</v>
      </c>
      <c r="C135" s="946"/>
      <c r="D135" s="947"/>
      <c r="E135" s="265"/>
    </row>
    <row r="136" spans="1:5" ht="18" customHeight="1" x14ac:dyDescent="0.2">
      <c r="A136" s="930">
        <v>615</v>
      </c>
      <c r="B136" s="957" t="s">
        <v>197</v>
      </c>
      <c r="C136" s="946"/>
      <c r="D136" s="944">
        <f>SUM(C137:C140)</f>
        <v>51610.65</v>
      </c>
      <c r="E136" s="265"/>
    </row>
    <row r="137" spans="1:5" ht="18" customHeight="1" x14ac:dyDescent="0.2">
      <c r="A137" s="932">
        <v>61501</v>
      </c>
      <c r="B137" s="958" t="s">
        <v>198</v>
      </c>
      <c r="C137" s="946"/>
      <c r="D137" s="947"/>
      <c r="E137" s="265"/>
    </row>
    <row r="138" spans="1:5" ht="18" customHeight="1" x14ac:dyDescent="0.2">
      <c r="A138" s="932">
        <v>61502</v>
      </c>
      <c r="B138" s="958" t="s">
        <v>199</v>
      </c>
      <c r="C138" s="946"/>
      <c r="D138" s="947"/>
      <c r="E138" s="265"/>
    </row>
    <row r="139" spans="1:5" ht="18" customHeight="1" x14ac:dyDescent="0.2">
      <c r="A139" s="932">
        <v>61503</v>
      </c>
      <c r="B139" s="958" t="s">
        <v>200</v>
      </c>
      <c r="C139" s="946"/>
      <c r="D139" s="947"/>
      <c r="E139" s="265"/>
    </row>
    <row r="140" spans="1:5" ht="18" customHeight="1" x14ac:dyDescent="0.2">
      <c r="A140" s="932">
        <v>61599</v>
      </c>
      <c r="B140" s="958" t="s">
        <v>201</v>
      </c>
      <c r="C140" s="946">
        <f>CONSOLIDADO!AG139</f>
        <v>51610.65</v>
      </c>
      <c r="D140" s="947"/>
      <c r="E140" s="265"/>
    </row>
    <row r="141" spans="1:5" ht="18" customHeight="1" x14ac:dyDescent="0.2">
      <c r="A141" s="930">
        <v>616</v>
      </c>
      <c r="B141" s="957" t="s">
        <v>202</v>
      </c>
      <c r="C141" s="946"/>
      <c r="D141" s="944">
        <f>SUM(C142:C149)</f>
        <v>751475.1100000001</v>
      </c>
      <c r="E141" s="265"/>
    </row>
    <row r="142" spans="1:5" ht="18" customHeight="1" x14ac:dyDescent="0.2">
      <c r="A142" s="932">
        <v>61601</v>
      </c>
      <c r="B142" s="958" t="s">
        <v>203</v>
      </c>
      <c r="C142" s="946">
        <f>CONSOLIDADO!AG141</f>
        <v>227109.92</v>
      </c>
      <c r="D142" s="947"/>
      <c r="E142" s="265"/>
    </row>
    <row r="143" spans="1:5" ht="18" customHeight="1" x14ac:dyDescent="0.2">
      <c r="A143" s="932">
        <v>61602</v>
      </c>
      <c r="B143" s="958" t="s">
        <v>204</v>
      </c>
      <c r="C143" s="946">
        <f>CONSOLIDADO!AG142</f>
        <v>119355.28000000001</v>
      </c>
      <c r="D143" s="947"/>
      <c r="E143" s="265"/>
    </row>
    <row r="144" spans="1:5" ht="18" customHeight="1" x14ac:dyDescent="0.2">
      <c r="A144" s="932">
        <v>61603</v>
      </c>
      <c r="B144" s="958" t="s">
        <v>205</v>
      </c>
      <c r="C144" s="946">
        <f>CONSOLIDADO!AG143</f>
        <v>183953.16000000003</v>
      </c>
      <c r="D144" s="947"/>
      <c r="E144" s="265"/>
    </row>
    <row r="145" spans="1:5" ht="18" customHeight="1" x14ac:dyDescent="0.2">
      <c r="A145" s="932">
        <v>61604</v>
      </c>
      <c r="B145" s="958" t="s">
        <v>206</v>
      </c>
      <c r="C145" s="946">
        <f>CONSOLIDADO!AG144</f>
        <v>39711.879999999997</v>
      </c>
      <c r="D145" s="947"/>
      <c r="E145" s="265"/>
    </row>
    <row r="146" spans="1:5" ht="18" customHeight="1" x14ac:dyDescent="0.2">
      <c r="A146" s="932">
        <v>61606</v>
      </c>
      <c r="B146" s="958" t="s">
        <v>207</v>
      </c>
      <c r="C146" s="946">
        <f>CONSOLIDADO!AG145</f>
        <v>20000</v>
      </c>
      <c r="D146" s="947"/>
      <c r="E146" s="265"/>
    </row>
    <row r="147" spans="1:5" ht="18" customHeight="1" x14ac:dyDescent="0.2">
      <c r="A147" s="932">
        <v>61607</v>
      </c>
      <c r="B147" s="952" t="s">
        <v>208</v>
      </c>
      <c r="C147" s="946">
        <f>CONSOLIDADO!AG146</f>
        <v>0</v>
      </c>
      <c r="D147" s="947"/>
      <c r="E147" s="265"/>
    </row>
    <row r="148" spans="1:5" ht="18" customHeight="1" x14ac:dyDescent="0.2">
      <c r="A148" s="932">
        <v>61608</v>
      </c>
      <c r="B148" s="952" t="s">
        <v>209</v>
      </c>
      <c r="C148" s="946">
        <f>CONSOLIDADO!AG147</f>
        <v>0</v>
      </c>
      <c r="D148" s="947"/>
      <c r="E148" s="265"/>
    </row>
    <row r="149" spans="1:5" ht="18" customHeight="1" x14ac:dyDescent="0.2">
      <c r="A149" s="932">
        <v>61699</v>
      </c>
      <c r="B149" s="952" t="s">
        <v>210</v>
      </c>
      <c r="C149" s="946">
        <f>CONSOLIDADO!AG148</f>
        <v>161344.87</v>
      </c>
      <c r="D149" s="947"/>
      <c r="E149" s="265"/>
    </row>
    <row r="150" spans="1:5" ht="8.25" customHeight="1" x14ac:dyDescent="0.2">
      <c r="A150" s="932"/>
      <c r="B150" s="952"/>
      <c r="C150" s="946"/>
      <c r="D150" s="947"/>
      <c r="E150" s="265"/>
    </row>
    <row r="151" spans="1:5" ht="18" customHeight="1" x14ac:dyDescent="0.2">
      <c r="A151" s="930">
        <v>71</v>
      </c>
      <c r="B151" s="953" t="s">
        <v>218</v>
      </c>
      <c r="C151" s="946"/>
      <c r="D151" s="947"/>
      <c r="E151" s="264">
        <f>SUM(D152:D155)</f>
        <v>246410.18</v>
      </c>
    </row>
    <row r="152" spans="1:5" ht="18" customHeight="1" x14ac:dyDescent="0.2">
      <c r="A152" s="930">
        <v>713</v>
      </c>
      <c r="B152" s="953" t="s">
        <v>219</v>
      </c>
      <c r="C152" s="946"/>
      <c r="D152" s="944">
        <f>SUM(C153:C155)</f>
        <v>246410.18</v>
      </c>
      <c r="E152" s="265"/>
    </row>
    <row r="153" spans="1:5" ht="18" hidden="1" customHeight="1" x14ac:dyDescent="0.2">
      <c r="A153" s="932">
        <v>71303</v>
      </c>
      <c r="B153" s="952" t="s">
        <v>87</v>
      </c>
      <c r="C153" s="946" t="s">
        <v>540</v>
      </c>
      <c r="D153" s="947"/>
      <c r="E153" s="265"/>
    </row>
    <row r="154" spans="1:5" ht="18" customHeight="1" x14ac:dyDescent="0.2">
      <c r="A154" s="932">
        <v>71304</v>
      </c>
      <c r="B154" s="952" t="s">
        <v>88</v>
      </c>
      <c r="C154" s="946">
        <f>+CONSOLIDADO!AG153</f>
        <v>246410.18</v>
      </c>
      <c r="D154" s="947"/>
      <c r="E154" s="265"/>
    </row>
    <row r="155" spans="1:5" ht="18" hidden="1" customHeight="1" x14ac:dyDescent="0.2">
      <c r="A155" s="932">
        <v>71308</v>
      </c>
      <c r="B155" s="952" t="s">
        <v>242</v>
      </c>
      <c r="C155" s="946">
        <f>CONSOLIDADO!P154</f>
        <v>0</v>
      </c>
      <c r="D155" s="947"/>
      <c r="E155" s="265"/>
    </row>
    <row r="156" spans="1:5" ht="18" hidden="1" customHeight="1" x14ac:dyDescent="0.2">
      <c r="A156" s="932"/>
      <c r="B156" s="952"/>
      <c r="C156" s="946"/>
      <c r="D156" s="947"/>
      <c r="E156" s="265"/>
    </row>
    <row r="157" spans="1:5" ht="18" customHeight="1" x14ac:dyDescent="0.2">
      <c r="A157" s="930">
        <v>72</v>
      </c>
      <c r="B157" s="953" t="s">
        <v>13</v>
      </c>
      <c r="C157" s="946"/>
      <c r="D157" s="944"/>
      <c r="E157" s="264">
        <f>+D158</f>
        <v>0</v>
      </c>
    </row>
    <row r="158" spans="1:5" ht="18" customHeight="1" x14ac:dyDescent="0.2">
      <c r="A158" s="930">
        <v>721</v>
      </c>
      <c r="B158" s="953" t="s">
        <v>184</v>
      </c>
      <c r="C158" s="946"/>
      <c r="D158" s="944">
        <f>+C159</f>
        <v>0</v>
      </c>
      <c r="E158" s="264"/>
    </row>
    <row r="159" spans="1:5" ht="18" customHeight="1" x14ac:dyDescent="0.2">
      <c r="A159" s="932">
        <v>72101</v>
      </c>
      <c r="B159" s="952" t="s">
        <v>184</v>
      </c>
      <c r="C159" s="946"/>
      <c r="D159" s="947"/>
      <c r="E159" s="265"/>
    </row>
    <row r="160" spans="1:5" ht="18" customHeight="1" x14ac:dyDescent="0.2">
      <c r="A160" s="932"/>
      <c r="B160" s="952"/>
      <c r="C160" s="946"/>
      <c r="D160" s="947"/>
      <c r="E160" s="265"/>
    </row>
    <row r="161" spans="1:5" ht="18" customHeight="1" x14ac:dyDescent="0.2">
      <c r="A161" s="930">
        <v>99</v>
      </c>
      <c r="B161" s="953" t="s">
        <v>185</v>
      </c>
      <c r="C161" s="946"/>
      <c r="D161" s="944"/>
      <c r="E161" s="264">
        <f>+D162</f>
        <v>0</v>
      </c>
    </row>
    <row r="162" spans="1:5" ht="18" customHeight="1" x14ac:dyDescent="0.2">
      <c r="A162" s="930">
        <v>991</v>
      </c>
      <c r="B162" s="953" t="s">
        <v>186</v>
      </c>
      <c r="C162" s="946"/>
      <c r="D162" s="944">
        <f>+C163</f>
        <v>0</v>
      </c>
      <c r="E162" s="264"/>
    </row>
    <row r="163" spans="1:5" ht="18" customHeight="1" thickBot="1" x14ac:dyDescent="0.25">
      <c r="A163" s="932">
        <v>99101</v>
      </c>
      <c r="B163" s="952" t="s">
        <v>186</v>
      </c>
      <c r="C163" s="946"/>
      <c r="D163" s="947"/>
      <c r="E163" s="265"/>
    </row>
    <row r="164" spans="1:5" ht="18" customHeight="1" thickBot="1" x14ac:dyDescent="0.25">
      <c r="A164" s="936"/>
      <c r="B164" s="959" t="s">
        <v>187</v>
      </c>
      <c r="C164" s="960">
        <f>SUM(C8:C163)</f>
        <v>1714277.6745999998</v>
      </c>
      <c r="D164" s="960">
        <f>SUM(D8:D163)</f>
        <v>1714277.6746</v>
      </c>
      <c r="E164" s="938">
        <f>SUM(E8:E163)</f>
        <v>1714277.6746000003</v>
      </c>
    </row>
    <row r="165" spans="1:5" ht="18" customHeight="1" x14ac:dyDescent="0.2">
      <c r="D165" s="266"/>
      <c r="E165" s="266"/>
    </row>
    <row r="166" spans="1:5" ht="18" customHeight="1" x14ac:dyDescent="0.2">
      <c r="D166" s="266"/>
      <c r="E166" s="266"/>
    </row>
    <row r="167" spans="1:5" s="638" customFormat="1" ht="18" customHeight="1" x14ac:dyDescent="0.2">
      <c r="A167" s="637"/>
      <c r="C167" s="639"/>
      <c r="D167" s="640"/>
      <c r="E167" s="266"/>
    </row>
    <row r="168" spans="1:5" s="638" customFormat="1" ht="18" customHeight="1" x14ac:dyDescent="0.2">
      <c r="A168" s="637"/>
      <c r="C168" s="639"/>
      <c r="D168" s="640"/>
      <c r="E168" s="266"/>
    </row>
    <row r="169" spans="1:5" s="638" customFormat="1" ht="18" customHeight="1" x14ac:dyDescent="0.2">
      <c r="A169" s="637"/>
      <c r="C169" s="639"/>
      <c r="D169" s="640"/>
      <c r="E169" s="266"/>
    </row>
    <row r="170" spans="1:5" s="638" customFormat="1" ht="18" customHeight="1" x14ac:dyDescent="0.2">
      <c r="A170" s="637"/>
      <c r="C170" s="639"/>
      <c r="D170" s="640"/>
      <c r="E170" s="266"/>
    </row>
    <row r="171" spans="1:5" s="638" customFormat="1" ht="18" customHeight="1" x14ac:dyDescent="0.2">
      <c r="A171" s="637"/>
      <c r="C171" s="639"/>
      <c r="D171" s="640"/>
      <c r="E171" s="266"/>
    </row>
    <row r="172" spans="1:5" s="638" customFormat="1" ht="18" customHeight="1" x14ac:dyDescent="0.2">
      <c r="A172" s="637"/>
      <c r="C172" s="639"/>
      <c r="D172" s="640"/>
      <c r="E172" s="640"/>
    </row>
    <row r="173" spans="1:5" s="638" customFormat="1" ht="18" customHeight="1" x14ac:dyDescent="0.2">
      <c r="A173" s="637"/>
      <c r="C173" s="639"/>
      <c r="D173" s="640"/>
      <c r="E173" s="640"/>
    </row>
    <row r="174" spans="1:5" s="638" customFormat="1" ht="18" customHeight="1" x14ac:dyDescent="0.2">
      <c r="A174" s="637"/>
      <c r="C174" s="639"/>
      <c r="D174" s="640"/>
      <c r="E174" s="640"/>
    </row>
    <row r="175" spans="1:5" ht="18" customHeight="1" x14ac:dyDescent="0.2">
      <c r="D175" s="266"/>
      <c r="E175" s="266"/>
    </row>
  </sheetData>
  <mergeCells count="5">
    <mergeCell ref="A1:E1"/>
    <mergeCell ref="A3:E3"/>
    <mergeCell ref="A4:E4"/>
    <mergeCell ref="A2:E2"/>
    <mergeCell ref="A5:E5"/>
  </mergeCells>
  <phoneticPr fontId="0" type="noConversion"/>
  <printOptions horizontalCentered="1"/>
  <pageMargins left="0.27559055118110237" right="0.15748031496062992" top="0.55118110236220474" bottom="0.98425196850393704" header="0" footer="0"/>
  <pageSetup scale="90" orientation="portrait" horizontalDpi="4294967294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B1:F55"/>
  <sheetViews>
    <sheetView topLeftCell="B53" workbookViewId="0">
      <selection activeCell="F15" sqref="F15"/>
    </sheetView>
  </sheetViews>
  <sheetFormatPr baseColWidth="10" defaultRowHeight="12.75" x14ac:dyDescent="0.2"/>
  <cols>
    <col min="1" max="1" width="2" customWidth="1"/>
    <col min="2" max="2" width="11.42578125" style="2"/>
    <col min="3" max="3" width="53.42578125" style="2" customWidth="1"/>
    <col min="4" max="4" width="18.7109375" style="73" customWidth="1"/>
    <col min="5" max="5" width="12.28515625" style="2" bestFit="1" customWidth="1"/>
  </cols>
  <sheetData>
    <row r="1" spans="2:5" ht="15" x14ac:dyDescent="0.2">
      <c r="B1" s="1179" t="s">
        <v>263</v>
      </c>
      <c r="C1" s="1179"/>
      <c r="D1" s="1179"/>
    </row>
    <row r="2" spans="2:5" ht="14.25" x14ac:dyDescent="0.2">
      <c r="B2" s="1180" t="s">
        <v>529</v>
      </c>
      <c r="C2" s="1180"/>
      <c r="D2" s="1180"/>
    </row>
    <row r="3" spans="2:5" ht="15" x14ac:dyDescent="0.2">
      <c r="B3" s="1179"/>
      <c r="C3" s="1179"/>
      <c r="D3" s="1179"/>
    </row>
    <row r="4" spans="2:5" ht="15" x14ac:dyDescent="0.2">
      <c r="B4" s="1179" t="s">
        <v>617</v>
      </c>
      <c r="C4" s="1179"/>
      <c r="D4" s="1179"/>
    </row>
    <row r="5" spans="2:5" ht="14.25" thickBot="1" x14ac:dyDescent="0.3">
      <c r="B5" s="205"/>
      <c r="C5" s="205"/>
      <c r="D5" s="269"/>
    </row>
    <row r="6" spans="2:5" ht="14.25" x14ac:dyDescent="0.2">
      <c r="B6" s="1181" t="s">
        <v>264</v>
      </c>
      <c r="C6" s="1182"/>
      <c r="D6" s="1183"/>
    </row>
    <row r="7" spans="2:5" ht="14.25" x14ac:dyDescent="0.2">
      <c r="B7" s="1184" t="s">
        <v>265</v>
      </c>
      <c r="C7" s="1185"/>
      <c r="D7" s="1186"/>
    </row>
    <row r="8" spans="2:5" ht="14.25" x14ac:dyDescent="0.2">
      <c r="B8" s="1187" t="s">
        <v>266</v>
      </c>
      <c r="C8" s="1188"/>
      <c r="D8" s="1189"/>
    </row>
    <row r="9" spans="2:5" ht="14.25" thickBot="1" x14ac:dyDescent="0.3">
      <c r="B9" s="1190" t="s">
        <v>517</v>
      </c>
      <c r="C9" s="1191"/>
      <c r="D9" s="1192"/>
    </row>
    <row r="10" spans="2:5" x14ac:dyDescent="0.2">
      <c r="B10" s="206"/>
      <c r="C10" s="206"/>
      <c r="D10" s="270"/>
    </row>
    <row r="11" spans="2:5" x14ac:dyDescent="0.2">
      <c r="B11" s="207">
        <v>11</v>
      </c>
      <c r="C11" s="208" t="s">
        <v>5</v>
      </c>
      <c r="D11" s="271">
        <f>'ING. REALES'!J8</f>
        <v>16011.6</v>
      </c>
      <c r="E11" s="70"/>
    </row>
    <row r="12" spans="2:5" x14ac:dyDescent="0.2">
      <c r="B12" s="209"/>
      <c r="C12" s="210"/>
      <c r="D12" s="272"/>
      <c r="E12" s="71"/>
    </row>
    <row r="13" spans="2:5" x14ac:dyDescent="0.2">
      <c r="B13" s="207">
        <v>12</v>
      </c>
      <c r="C13" s="211" t="s">
        <v>6</v>
      </c>
      <c r="D13" s="273">
        <f>'ING. REALES'!J17</f>
        <v>66646.813999999998</v>
      </c>
      <c r="E13" s="72"/>
    </row>
    <row r="14" spans="2:5" x14ac:dyDescent="0.2">
      <c r="B14" s="209"/>
      <c r="C14" s="210"/>
      <c r="D14" s="273"/>
      <c r="E14" s="71"/>
    </row>
    <row r="15" spans="2:5" x14ac:dyDescent="0.2">
      <c r="B15" s="207">
        <v>14</v>
      </c>
      <c r="C15" s="211" t="s">
        <v>8</v>
      </c>
      <c r="D15" s="273">
        <f>'ING. REALES'!J34</f>
        <v>148661.48000000001</v>
      </c>
      <c r="E15" s="71"/>
    </row>
    <row r="16" spans="2:5" x14ac:dyDescent="0.2">
      <c r="B16" s="209"/>
      <c r="C16" s="210"/>
      <c r="D16" s="273"/>
      <c r="E16" s="71"/>
    </row>
    <row r="17" spans="2:5" x14ac:dyDescent="0.2">
      <c r="B17" s="207">
        <v>15</v>
      </c>
      <c r="C17" s="211" t="s">
        <v>9</v>
      </c>
      <c r="D17" s="273">
        <f>'ING. REALES'!J38</f>
        <v>8055.72</v>
      </c>
      <c r="E17" s="72"/>
    </row>
    <row r="18" spans="2:5" x14ac:dyDescent="0.2">
      <c r="B18" s="209"/>
      <c r="C18" s="210"/>
      <c r="D18" s="273"/>
      <c r="E18" s="71"/>
    </row>
    <row r="19" spans="2:5" x14ac:dyDescent="0.2">
      <c r="B19" s="207">
        <v>16</v>
      </c>
      <c r="C19" s="211" t="s">
        <v>11</v>
      </c>
      <c r="D19" s="273">
        <f>'ING. REALES'!J51</f>
        <v>317404.33</v>
      </c>
      <c r="E19" s="72"/>
    </row>
    <row r="20" spans="2:5" x14ac:dyDescent="0.2">
      <c r="B20" s="209"/>
      <c r="C20" s="210"/>
      <c r="D20" s="273"/>
      <c r="E20" s="71"/>
    </row>
    <row r="21" spans="2:5" x14ac:dyDescent="0.2">
      <c r="B21" s="207">
        <v>22</v>
      </c>
      <c r="C21" s="211" t="s">
        <v>12</v>
      </c>
      <c r="D21" s="273">
        <f>'ING. REALES'!J59</f>
        <v>952213</v>
      </c>
      <c r="E21" s="72"/>
    </row>
    <row r="22" spans="2:5" x14ac:dyDescent="0.2">
      <c r="B22" s="209"/>
      <c r="C22" s="210"/>
      <c r="D22" s="273"/>
      <c r="E22" s="71"/>
    </row>
    <row r="23" spans="2:5" x14ac:dyDescent="0.2">
      <c r="B23" s="207">
        <v>31</v>
      </c>
      <c r="C23" s="211" t="s">
        <v>267</v>
      </c>
      <c r="D23" s="273">
        <f>'ING. REALES'!J62</f>
        <v>0</v>
      </c>
      <c r="E23" s="71"/>
    </row>
    <row r="24" spans="2:5" x14ac:dyDescent="0.2">
      <c r="B24" s="209"/>
      <c r="C24" s="210"/>
      <c r="D24" s="273"/>
      <c r="E24" s="71"/>
    </row>
    <row r="25" spans="2:5" x14ac:dyDescent="0.2">
      <c r="B25" s="207">
        <v>32</v>
      </c>
      <c r="C25" s="211" t="s">
        <v>13</v>
      </c>
      <c r="D25" s="273">
        <f>'ING. REALES'!J65</f>
        <v>205284.72500000001</v>
      </c>
      <c r="E25" s="72"/>
    </row>
    <row r="26" spans="2:5" ht="13.5" thickBot="1" x14ac:dyDescent="0.25">
      <c r="B26" s="212"/>
      <c r="C26" s="213"/>
      <c r="D26" s="274"/>
    </row>
    <row r="27" spans="2:5" ht="13.5" thickBot="1" x14ac:dyDescent="0.25">
      <c r="B27" s="214"/>
      <c r="C27" s="149" t="s">
        <v>27</v>
      </c>
      <c r="D27" s="275">
        <f>SUM(D11:D25)</f>
        <v>1714277.6690000002</v>
      </c>
      <c r="E27" s="73"/>
    </row>
    <row r="28" spans="2:5" x14ac:dyDescent="0.2">
      <c r="E28" s="9"/>
    </row>
    <row r="29" spans="2:5" ht="13.5" thickBot="1" x14ac:dyDescent="0.25"/>
    <row r="30" spans="2:5" ht="14.25" x14ac:dyDescent="0.2">
      <c r="B30" s="1181" t="s">
        <v>264</v>
      </c>
      <c r="C30" s="1182"/>
      <c r="D30" s="1183"/>
    </row>
    <row r="31" spans="2:5" ht="14.25" x14ac:dyDescent="0.2">
      <c r="B31" s="1184" t="s">
        <v>268</v>
      </c>
      <c r="C31" s="1185"/>
      <c r="D31" s="1186"/>
    </row>
    <row r="32" spans="2:5" ht="14.25" x14ac:dyDescent="0.2">
      <c r="B32" s="1187" t="s">
        <v>269</v>
      </c>
      <c r="C32" s="1188"/>
      <c r="D32" s="1189"/>
    </row>
    <row r="33" spans="2:6" ht="14.25" thickBot="1" x14ac:dyDescent="0.3">
      <c r="B33" s="1190" t="s">
        <v>251</v>
      </c>
      <c r="C33" s="1191"/>
      <c r="D33" s="1192"/>
    </row>
    <row r="34" spans="2:6" x14ac:dyDescent="0.2">
      <c r="B34" s="215"/>
      <c r="C34" s="206"/>
      <c r="D34" s="276"/>
    </row>
    <row r="35" spans="2:6" x14ac:dyDescent="0.2">
      <c r="B35" s="216">
        <v>51</v>
      </c>
      <c r="C35" s="211" t="s">
        <v>124</v>
      </c>
      <c r="D35" s="277">
        <f>CONSOLIDADO!AG10</f>
        <v>383751.40460000001</v>
      </c>
    </row>
    <row r="36" spans="2:6" x14ac:dyDescent="0.2">
      <c r="B36" s="216"/>
      <c r="C36" s="211"/>
      <c r="D36" s="277"/>
    </row>
    <row r="37" spans="2:6" x14ac:dyDescent="0.2">
      <c r="B37" s="216">
        <v>54</v>
      </c>
      <c r="C37" s="211" t="s">
        <v>29</v>
      </c>
      <c r="D37" s="277">
        <f>CONSOLIDADO!AG44</f>
        <v>210396.86</v>
      </c>
    </row>
    <row r="38" spans="2:6" x14ac:dyDescent="0.2">
      <c r="B38" s="216"/>
      <c r="C38" s="211"/>
      <c r="D38" s="277"/>
    </row>
    <row r="39" spans="2:6" x14ac:dyDescent="0.2">
      <c r="B39" s="216">
        <v>55</v>
      </c>
      <c r="C39" s="211" t="s">
        <v>85</v>
      </c>
      <c r="D39" s="277">
        <f>CONSOLIDADO!AG95</f>
        <v>35832.14</v>
      </c>
    </row>
    <row r="40" spans="2:6" x14ac:dyDescent="0.2">
      <c r="B40" s="216"/>
      <c r="C40" s="211"/>
      <c r="D40" s="277"/>
    </row>
    <row r="41" spans="2:6" x14ac:dyDescent="0.2">
      <c r="B41" s="216">
        <v>56</v>
      </c>
      <c r="C41" s="211" t="s">
        <v>98</v>
      </c>
      <c r="D41" s="277">
        <f>CONSOLIDADO!AG113</f>
        <v>19255.68</v>
      </c>
    </row>
    <row r="42" spans="2:6" x14ac:dyDescent="0.2">
      <c r="B42" s="216"/>
      <c r="C42" s="211"/>
      <c r="D42" s="277"/>
      <c r="F42" s="49"/>
    </row>
    <row r="43" spans="2:6" x14ac:dyDescent="0.2">
      <c r="B43" s="216">
        <v>61</v>
      </c>
      <c r="C43" s="211" t="s">
        <v>165</v>
      </c>
      <c r="D43" s="277">
        <f>+CONSOLIDADO!AG121</f>
        <v>818631.41</v>
      </c>
    </row>
    <row r="44" spans="2:6" x14ac:dyDescent="0.2">
      <c r="B44" s="216"/>
      <c r="C44" s="211"/>
      <c r="D44" s="277"/>
    </row>
    <row r="45" spans="2:6" x14ac:dyDescent="0.2">
      <c r="B45" s="216">
        <v>71</v>
      </c>
      <c r="C45" s="211" t="s">
        <v>218</v>
      </c>
      <c r="D45" s="277">
        <f>CONSOLIDADO!AG150</f>
        <v>246410.18</v>
      </c>
    </row>
    <row r="46" spans="2:6" hidden="1" x14ac:dyDescent="0.2">
      <c r="B46" s="216"/>
      <c r="C46" s="211"/>
      <c r="D46" s="277"/>
    </row>
    <row r="47" spans="2:6" hidden="1" x14ac:dyDescent="0.2">
      <c r="B47" s="216">
        <v>72</v>
      </c>
      <c r="C47" s="211" t="s">
        <v>13</v>
      </c>
      <c r="D47" s="277"/>
    </row>
    <row r="48" spans="2:6" hidden="1" x14ac:dyDescent="0.2">
      <c r="B48" s="217"/>
      <c r="C48" s="211"/>
      <c r="D48" s="277"/>
    </row>
    <row r="49" spans="2:6" hidden="1" x14ac:dyDescent="0.2">
      <c r="B49" s="216">
        <v>99</v>
      </c>
      <c r="C49" s="211" t="s">
        <v>185</v>
      </c>
      <c r="D49" s="277"/>
    </row>
    <row r="50" spans="2:6" ht="13.5" thickBot="1" x14ac:dyDescent="0.25">
      <c r="B50" s="218"/>
      <c r="C50" s="219"/>
      <c r="D50" s="278"/>
    </row>
    <row r="51" spans="2:6" ht="13.5" thickBot="1" x14ac:dyDescent="0.25">
      <c r="B51" s="214"/>
      <c r="C51" s="149" t="s">
        <v>27</v>
      </c>
      <c r="D51" s="275">
        <f>SUM(D35:D47)</f>
        <v>1714277.6746</v>
      </c>
      <c r="E51" s="75"/>
    </row>
    <row r="55" spans="2:6" x14ac:dyDescent="0.2">
      <c r="F55" s="77"/>
    </row>
  </sheetData>
  <mergeCells count="12">
    <mergeCell ref="B31:D31"/>
    <mergeCell ref="B32:D32"/>
    <mergeCell ref="B33:D33"/>
    <mergeCell ref="B6:D6"/>
    <mergeCell ref="B7:D7"/>
    <mergeCell ref="B8:D8"/>
    <mergeCell ref="B9:D9"/>
    <mergeCell ref="B1:D1"/>
    <mergeCell ref="B2:D2"/>
    <mergeCell ref="B3:D3"/>
    <mergeCell ref="B4:D4"/>
    <mergeCell ref="B30:D30"/>
  </mergeCells>
  <phoneticPr fontId="5" type="noConversion"/>
  <printOptions horizontalCentered="1"/>
  <pageMargins left="0.74803149606299213" right="0.35433070866141736" top="0.98425196850393704" bottom="0.98425196850393704" header="0" footer="0"/>
  <pageSetup orientation="portrait" horizontalDpi="4294967294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J32"/>
  <sheetViews>
    <sheetView topLeftCell="A31" zoomScale="75" workbookViewId="0">
      <selection activeCell="F37" sqref="F37"/>
    </sheetView>
  </sheetViews>
  <sheetFormatPr baseColWidth="10" defaultRowHeight="12.75" x14ac:dyDescent="0.2"/>
  <cols>
    <col min="1" max="1" width="8.5703125" style="2" customWidth="1"/>
    <col min="2" max="2" width="6.42578125" style="89" customWidth="1"/>
    <col min="3" max="3" width="6.85546875" style="89" customWidth="1"/>
    <col min="4" max="4" width="50.28515625" style="2" customWidth="1"/>
    <col min="5" max="7" width="17.42578125" style="2" customWidth="1"/>
    <col min="8" max="8" width="12.28515625" bestFit="1" customWidth="1"/>
  </cols>
  <sheetData>
    <row r="1" spans="1:10" ht="15" x14ac:dyDescent="0.2">
      <c r="A1" s="1179" t="s">
        <v>263</v>
      </c>
      <c r="B1" s="1179"/>
      <c r="C1" s="1179"/>
      <c r="D1" s="1179"/>
      <c r="E1" s="1179"/>
      <c r="F1" s="1179"/>
      <c r="G1" s="1179"/>
    </row>
    <row r="2" spans="1:10" ht="15" x14ac:dyDescent="0.2">
      <c r="A2" s="1193" t="s">
        <v>530</v>
      </c>
      <c r="B2" s="1193"/>
      <c r="C2" s="1193"/>
      <c r="D2" s="1193"/>
      <c r="E2" s="1193"/>
      <c r="F2" s="1193"/>
      <c r="G2" s="1193"/>
    </row>
    <row r="3" spans="1:10" ht="15" x14ac:dyDescent="0.2">
      <c r="A3" s="1193" t="s">
        <v>617</v>
      </c>
      <c r="B3" s="1193"/>
      <c r="C3" s="1193"/>
      <c r="D3" s="1193"/>
      <c r="E3" s="1193"/>
      <c r="F3" s="1193"/>
      <c r="G3" s="1193"/>
    </row>
    <row r="4" spans="1:10" ht="17.25" customHeight="1" x14ac:dyDescent="0.2">
      <c r="A4" s="1196" t="s">
        <v>264</v>
      </c>
      <c r="B4" s="1196"/>
      <c r="C4" s="1196"/>
      <c r="D4" s="1196"/>
      <c r="E4" s="1196"/>
      <c r="F4" s="1196"/>
      <c r="G4" s="1196"/>
    </row>
    <row r="5" spans="1:10" ht="19.5" customHeight="1" thickBot="1" x14ac:dyDescent="0.25">
      <c r="A5" s="1197" t="s">
        <v>270</v>
      </c>
      <c r="B5" s="1197"/>
      <c r="C5" s="1197"/>
      <c r="D5" s="1197"/>
      <c r="E5" s="1197"/>
      <c r="F5" s="1197"/>
      <c r="G5" s="1197"/>
    </row>
    <row r="6" spans="1:10" ht="12.75" customHeight="1" x14ac:dyDescent="0.25">
      <c r="A6" s="220" t="s">
        <v>271</v>
      </c>
      <c r="B6" s="221" t="s">
        <v>272</v>
      </c>
      <c r="C6" s="222" t="s">
        <v>273</v>
      </c>
      <c r="D6" s="1198" t="s">
        <v>105</v>
      </c>
      <c r="E6" s="1200" t="s">
        <v>255</v>
      </c>
      <c r="F6" s="1200" t="s">
        <v>255</v>
      </c>
      <c r="G6" s="1200" t="s">
        <v>27</v>
      </c>
    </row>
    <row r="7" spans="1:10" ht="16.5" customHeight="1" thickBot="1" x14ac:dyDescent="0.3">
      <c r="A7" s="223" t="s">
        <v>274</v>
      </c>
      <c r="B7" s="224" t="s">
        <v>275</v>
      </c>
      <c r="C7" s="225" t="s">
        <v>276</v>
      </c>
      <c r="D7" s="1199"/>
      <c r="E7" s="1201"/>
      <c r="F7" s="1201"/>
      <c r="G7" s="1201"/>
    </row>
    <row r="8" spans="1:10" ht="21.75" customHeight="1" x14ac:dyDescent="0.2">
      <c r="A8" s="79" t="s">
        <v>277</v>
      </c>
      <c r="B8" s="226"/>
      <c r="C8" s="227"/>
      <c r="D8" s="80" t="s">
        <v>278</v>
      </c>
      <c r="E8" s="290"/>
      <c r="F8" s="290"/>
      <c r="G8" s="290">
        <f>+F9+F12</f>
        <v>598680.75459999987</v>
      </c>
      <c r="H8" s="76"/>
    </row>
    <row r="9" spans="1:10" ht="21.75" customHeight="1" x14ac:dyDescent="0.2">
      <c r="A9" s="598"/>
      <c r="B9" s="599" t="s">
        <v>279</v>
      </c>
      <c r="C9" s="600"/>
      <c r="D9" s="85" t="s">
        <v>280</v>
      </c>
      <c r="E9" s="292"/>
      <c r="F9" s="292">
        <f>+E10+E11</f>
        <v>320430.05459999997</v>
      </c>
      <c r="G9" s="291"/>
      <c r="H9" s="76"/>
    </row>
    <row r="10" spans="1:10" ht="21.75" customHeight="1" x14ac:dyDescent="0.2">
      <c r="A10" s="598"/>
      <c r="B10" s="599"/>
      <c r="C10" s="600" t="s">
        <v>22</v>
      </c>
      <c r="D10" s="85" t="s">
        <v>281</v>
      </c>
      <c r="E10" s="292">
        <f>+CONSOLIDADO!C163+CONSOLIDADO!H163</f>
        <v>259112.25459999999</v>
      </c>
      <c r="F10" s="292"/>
      <c r="G10" s="291"/>
      <c r="J10" s="76"/>
    </row>
    <row r="11" spans="1:10" ht="21.75" customHeight="1" x14ac:dyDescent="0.2">
      <c r="A11" s="598"/>
      <c r="B11" s="599"/>
      <c r="C11" s="598" t="s">
        <v>23</v>
      </c>
      <c r="D11" s="85" t="s">
        <v>520</v>
      </c>
      <c r="E11" s="292">
        <f>+CONSOLIDADO!D163+CONSOLIDADO!I163</f>
        <v>61317.799999999996</v>
      </c>
      <c r="F11" s="292"/>
      <c r="G11" s="291"/>
      <c r="J11" s="76"/>
    </row>
    <row r="12" spans="1:10" ht="21.75" customHeight="1" x14ac:dyDescent="0.2">
      <c r="A12" s="598"/>
      <c r="B12" s="599" t="s">
        <v>283</v>
      </c>
      <c r="C12" s="600"/>
      <c r="D12" s="85" t="s">
        <v>284</v>
      </c>
      <c r="E12" s="292"/>
      <c r="F12" s="292">
        <f>E13+E14</f>
        <v>278250.69999999995</v>
      </c>
      <c r="G12" s="291"/>
      <c r="J12" s="76"/>
    </row>
    <row r="13" spans="1:10" ht="21.75" customHeight="1" x14ac:dyDescent="0.2">
      <c r="A13" s="598"/>
      <c r="B13" s="599"/>
      <c r="C13" s="598" t="s">
        <v>26</v>
      </c>
      <c r="D13" s="601" t="s">
        <v>521</v>
      </c>
      <c r="E13" s="292">
        <f>+CONSOLIDADO!E163+CONSOLIDADO!J163</f>
        <v>41122.82</v>
      </c>
      <c r="F13" s="292"/>
      <c r="G13" s="291"/>
      <c r="J13" s="76"/>
    </row>
    <row r="14" spans="1:10" ht="21.75" customHeight="1" thickBot="1" x14ac:dyDescent="0.25">
      <c r="A14" s="602"/>
      <c r="B14" s="603"/>
      <c r="C14" s="604" t="s">
        <v>258</v>
      </c>
      <c r="D14" s="87" t="s">
        <v>522</v>
      </c>
      <c r="E14" s="293">
        <f>+CONSOLIDADO!F163+CONSOLIDADO!K163</f>
        <v>237127.87999999998</v>
      </c>
      <c r="F14" s="293"/>
      <c r="G14" s="294"/>
      <c r="J14" s="78"/>
    </row>
    <row r="15" spans="1:10" ht="21.75" customHeight="1" x14ac:dyDescent="0.2">
      <c r="A15" s="216">
        <v>3</v>
      </c>
      <c r="B15" s="228"/>
      <c r="C15" s="229"/>
      <c r="D15" s="88" t="s">
        <v>285</v>
      </c>
      <c r="E15" s="290"/>
      <c r="F15" s="291"/>
      <c r="G15" s="291">
        <f>+F16</f>
        <v>570105.28</v>
      </c>
    </row>
    <row r="16" spans="1:10" ht="21.75" customHeight="1" x14ac:dyDescent="0.2">
      <c r="A16" s="216"/>
      <c r="B16" s="599" t="s">
        <v>286</v>
      </c>
      <c r="C16" s="600"/>
      <c r="D16" s="85" t="s">
        <v>287</v>
      </c>
      <c r="E16" s="292"/>
      <c r="F16" s="292">
        <f>E17+E18</f>
        <v>570105.28</v>
      </c>
      <c r="G16" s="291"/>
    </row>
    <row r="17" spans="1:7" ht="21.75" customHeight="1" x14ac:dyDescent="0.2">
      <c r="A17" s="216"/>
      <c r="B17" s="599"/>
      <c r="C17" s="598" t="s">
        <v>236</v>
      </c>
      <c r="D17" s="85" t="s">
        <v>288</v>
      </c>
      <c r="E17" s="272">
        <f>+CONSOLIDADO!M163</f>
        <v>67156.3</v>
      </c>
      <c r="F17" s="292"/>
      <c r="G17" s="291"/>
    </row>
    <row r="18" spans="1:7" ht="21.75" customHeight="1" thickBot="1" x14ac:dyDescent="0.25">
      <c r="A18" s="231"/>
      <c r="B18" s="603"/>
      <c r="C18" s="604" t="s">
        <v>237</v>
      </c>
      <c r="D18" s="87" t="s">
        <v>289</v>
      </c>
      <c r="E18" s="605">
        <f>+CONSOLIDADO!N163+CONSOLIDADO!T163+CONSOLIDADO!W163</f>
        <v>502948.98000000004</v>
      </c>
      <c r="F18" s="293"/>
      <c r="G18" s="294"/>
    </row>
    <row r="19" spans="1:7" ht="21.75" customHeight="1" x14ac:dyDescent="0.2">
      <c r="A19" s="216">
        <v>4</v>
      </c>
      <c r="B19" s="228"/>
      <c r="C19" s="229"/>
      <c r="D19" s="88" t="s">
        <v>290</v>
      </c>
      <c r="E19" s="291"/>
      <c r="F19" s="291"/>
      <c r="G19" s="291">
        <f>+F20</f>
        <v>263499.32</v>
      </c>
    </row>
    <row r="20" spans="1:7" ht="21.75" customHeight="1" x14ac:dyDescent="0.2">
      <c r="A20" s="216"/>
      <c r="B20" s="599" t="s">
        <v>291</v>
      </c>
      <c r="C20" s="600"/>
      <c r="D20" s="85" t="s">
        <v>292</v>
      </c>
      <c r="E20" s="292"/>
      <c r="F20" s="292">
        <f>+E21+E22</f>
        <v>263499.32</v>
      </c>
      <c r="G20" s="291"/>
    </row>
    <row r="21" spans="1:7" ht="21.75" customHeight="1" x14ac:dyDescent="0.2">
      <c r="A21" s="216"/>
      <c r="B21" s="599"/>
      <c r="C21" s="600" t="s">
        <v>238</v>
      </c>
      <c r="D21" s="85" t="s">
        <v>293</v>
      </c>
      <c r="E21" s="292">
        <f>+CONSOLIDADO!O163+CONSOLIDADO!U163</f>
        <v>248526.13</v>
      </c>
      <c r="F21" s="292"/>
      <c r="G21" s="291"/>
    </row>
    <row r="22" spans="1:7" ht="21.75" customHeight="1" thickBot="1" x14ac:dyDescent="0.25">
      <c r="A22" s="231"/>
      <c r="B22" s="603"/>
      <c r="C22" s="604" t="s">
        <v>481</v>
      </c>
      <c r="D22" s="87" t="s">
        <v>518</v>
      </c>
      <c r="E22" s="293">
        <f>+CONSOLIDADO!S163</f>
        <v>14973.19</v>
      </c>
      <c r="F22" s="293"/>
      <c r="G22" s="294"/>
    </row>
    <row r="23" spans="1:7" ht="21.75" customHeight="1" x14ac:dyDescent="0.2">
      <c r="A23" s="216">
        <v>5</v>
      </c>
      <c r="B23" s="228"/>
      <c r="C23" s="229"/>
      <c r="D23" s="83" t="s">
        <v>294</v>
      </c>
      <c r="E23" s="291"/>
      <c r="F23" s="291"/>
      <c r="G23" s="291">
        <f>+F24</f>
        <v>281992.32000000001</v>
      </c>
    </row>
    <row r="24" spans="1:7" ht="21.75" customHeight="1" x14ac:dyDescent="0.2">
      <c r="A24" s="81"/>
      <c r="B24" s="599" t="s">
        <v>295</v>
      </c>
      <c r="C24" s="600"/>
      <c r="D24" s="85" t="s">
        <v>296</v>
      </c>
      <c r="E24" s="292"/>
      <c r="F24" s="292">
        <f>+E25+E26</f>
        <v>281992.32000000001</v>
      </c>
      <c r="G24" s="291"/>
    </row>
    <row r="25" spans="1:7" ht="21.75" customHeight="1" x14ac:dyDescent="0.2">
      <c r="A25" s="81"/>
      <c r="B25" s="599"/>
      <c r="C25" s="600" t="s">
        <v>239</v>
      </c>
      <c r="D25" s="85" t="s">
        <v>297</v>
      </c>
      <c r="E25" s="292">
        <f>+CONSOLIDADO!P163</f>
        <v>278392.32000000001</v>
      </c>
      <c r="F25" s="292"/>
      <c r="G25" s="291"/>
    </row>
    <row r="26" spans="1:7" ht="21.75" customHeight="1" thickBot="1" x14ac:dyDescent="0.25">
      <c r="A26" s="81"/>
      <c r="B26" s="599"/>
      <c r="C26" s="600" t="s">
        <v>493</v>
      </c>
      <c r="D26" s="85" t="s">
        <v>519</v>
      </c>
      <c r="E26" s="292">
        <f>+CONSOLIDADO!Q163</f>
        <v>3600</v>
      </c>
      <c r="F26" s="292"/>
      <c r="G26" s="291"/>
    </row>
    <row r="27" spans="1:7" ht="21.75" customHeight="1" thickBot="1" x14ac:dyDescent="0.25">
      <c r="A27" s="990" t="s">
        <v>27</v>
      </c>
      <c r="B27" s="1194"/>
      <c r="C27" s="1194"/>
      <c r="D27" s="1195"/>
      <c r="E27" s="295">
        <f>SUM(E8:E25)</f>
        <v>1710677.6746000003</v>
      </c>
      <c r="F27" s="295">
        <f>SUM(F8:F25)</f>
        <v>1714277.6746</v>
      </c>
      <c r="G27" s="295">
        <f>SUM(G8:G25)</f>
        <v>1714277.6746</v>
      </c>
    </row>
    <row r="29" spans="1:7" x14ac:dyDescent="0.2">
      <c r="G29" s="7"/>
    </row>
    <row r="30" spans="1:7" x14ac:dyDescent="0.2">
      <c r="G30" s="9"/>
    </row>
    <row r="32" spans="1:7" ht="13.5" customHeight="1" x14ac:dyDescent="0.2"/>
  </sheetData>
  <mergeCells count="10">
    <mergeCell ref="A1:G1"/>
    <mergeCell ref="A2:G2"/>
    <mergeCell ref="A3:G3"/>
    <mergeCell ref="A27:D27"/>
    <mergeCell ref="A4:G4"/>
    <mergeCell ref="A5:G5"/>
    <mergeCell ref="D6:D7"/>
    <mergeCell ref="E6:E7"/>
    <mergeCell ref="F6:F7"/>
    <mergeCell ref="G6:G7"/>
  </mergeCells>
  <phoneticPr fontId="0" type="noConversion"/>
  <pageMargins left="0.74803149606299213" right="0.19685039370078741" top="0.43307086614173229" bottom="0.23622047244094491" header="0" footer="0"/>
  <pageSetup scale="95" orientation="landscape" horizontalDpi="4294967294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5:F27"/>
  <sheetViews>
    <sheetView topLeftCell="A34" workbookViewId="0">
      <selection activeCell="F17" sqref="F17"/>
    </sheetView>
  </sheetViews>
  <sheetFormatPr baseColWidth="10" defaultRowHeight="12.75" x14ac:dyDescent="0.2"/>
  <cols>
    <col min="1" max="1" width="11.42578125" style="2"/>
    <col min="2" max="2" width="34" style="2" customWidth="1"/>
    <col min="3" max="4" width="18" style="73" customWidth="1"/>
    <col min="6" max="6" width="13.85546875" bestFit="1" customWidth="1"/>
  </cols>
  <sheetData>
    <row r="5" spans="1:5" ht="15" x14ac:dyDescent="0.2">
      <c r="A5" s="1179" t="s">
        <v>669</v>
      </c>
      <c r="B5" s="1179"/>
      <c r="C5" s="1179"/>
      <c r="D5" s="1179"/>
    </row>
    <row r="6" spans="1:5" ht="15" x14ac:dyDescent="0.2">
      <c r="A6" s="1179" t="s">
        <v>531</v>
      </c>
      <c r="B6" s="1179"/>
      <c r="C6" s="1179"/>
      <c r="D6" s="1179"/>
    </row>
    <row r="7" spans="1:5" ht="15" x14ac:dyDescent="0.2">
      <c r="A7" s="1202" t="s">
        <v>616</v>
      </c>
      <c r="B7" s="1202"/>
      <c r="C7" s="1202"/>
      <c r="D7" s="1202"/>
    </row>
    <row r="8" spans="1:5" ht="13.5" x14ac:dyDescent="0.25">
      <c r="A8" s="205"/>
      <c r="B8" s="233"/>
      <c r="C8" s="269"/>
      <c r="D8" s="269"/>
    </row>
    <row r="9" spans="1:5" ht="14.25" thickBot="1" x14ac:dyDescent="0.3">
      <c r="A9" s="205"/>
      <c r="B9" s="233"/>
      <c r="C9" s="269"/>
      <c r="D9" s="269"/>
    </row>
    <row r="10" spans="1:5" ht="14.25" x14ac:dyDescent="0.2">
      <c r="A10" s="1181" t="s">
        <v>298</v>
      </c>
      <c r="B10" s="1182"/>
      <c r="C10" s="1182"/>
      <c r="D10" s="1183"/>
    </row>
    <row r="11" spans="1:5" ht="14.25" thickBot="1" x14ac:dyDescent="0.3">
      <c r="A11" s="1190" t="s">
        <v>524</v>
      </c>
      <c r="B11" s="1191"/>
      <c r="C11" s="1191"/>
      <c r="D11" s="1192"/>
    </row>
    <row r="12" spans="1:5" ht="15.75" thickBot="1" x14ac:dyDescent="0.3">
      <c r="A12" s="234" t="s">
        <v>299</v>
      </c>
      <c r="B12" s="235" t="s">
        <v>300</v>
      </c>
      <c r="C12" s="279" t="s">
        <v>301</v>
      </c>
      <c r="D12" s="279" t="s">
        <v>302</v>
      </c>
    </row>
    <row r="13" spans="1:5" x14ac:dyDescent="0.2">
      <c r="A13" s="236"/>
      <c r="C13" s="280"/>
      <c r="D13" s="280"/>
    </row>
    <row r="14" spans="1:5" x14ac:dyDescent="0.2">
      <c r="A14" s="207">
        <v>1</v>
      </c>
      <c r="B14" s="170" t="s">
        <v>523</v>
      </c>
      <c r="C14" s="273">
        <f>+'ING. REALES'!C71+'ING. REALES'!D71+'ING. REALES'!E71</f>
        <v>1456909.0499999998</v>
      </c>
      <c r="D14" s="273">
        <f>+CONSOLIDADO!L163+CONSOLIDADO!R163+CONSOLIDADO!S163</f>
        <v>1456909.0523000001</v>
      </c>
      <c r="E14" s="49"/>
    </row>
    <row r="15" spans="1:5" x14ac:dyDescent="0.2">
      <c r="A15" s="207"/>
      <c r="B15" s="170"/>
      <c r="C15" s="273"/>
      <c r="D15" s="280"/>
    </row>
    <row r="16" spans="1:5" x14ac:dyDescent="0.2">
      <c r="A16" s="207">
        <v>2</v>
      </c>
      <c r="B16" s="170" t="s">
        <v>303</v>
      </c>
      <c r="C16" s="273">
        <f>+'ING. REALES'!G71</f>
        <v>256787.29900000003</v>
      </c>
      <c r="D16" s="273">
        <f>+CONSOLIDADO!G163</f>
        <v>256787.30230000001</v>
      </c>
      <c r="E16" s="49"/>
    </row>
    <row r="17" spans="1:6" x14ac:dyDescent="0.2">
      <c r="A17" s="207"/>
      <c r="B17" s="170"/>
      <c r="C17" s="273"/>
      <c r="D17" s="280"/>
    </row>
    <row r="18" spans="1:6" x14ac:dyDescent="0.2">
      <c r="A18" s="207">
        <v>3</v>
      </c>
      <c r="B18" s="170" t="s">
        <v>304</v>
      </c>
      <c r="C18" s="273">
        <v>0</v>
      </c>
      <c r="D18" s="273">
        <v>0</v>
      </c>
    </row>
    <row r="19" spans="1:6" x14ac:dyDescent="0.2">
      <c r="A19" s="207"/>
      <c r="B19" s="170"/>
      <c r="C19" s="273"/>
      <c r="D19" s="280"/>
    </row>
    <row r="20" spans="1:6" x14ac:dyDescent="0.2">
      <c r="A20" s="207">
        <v>4</v>
      </c>
      <c r="B20" s="170" t="s">
        <v>305</v>
      </c>
      <c r="C20" s="273">
        <f>+'ING. REALES'!I71</f>
        <v>581.32000000000005</v>
      </c>
      <c r="D20" s="273">
        <f>+CONSOLIDADO!V163</f>
        <v>581.32000000000005</v>
      </c>
    </row>
    <row r="21" spans="1:6" x14ac:dyDescent="0.2">
      <c r="A21" s="207"/>
      <c r="B21" s="170"/>
      <c r="C21" s="273"/>
      <c r="D21" s="273"/>
    </row>
    <row r="22" spans="1:6" x14ac:dyDescent="0.2">
      <c r="A22" s="207">
        <v>5</v>
      </c>
      <c r="B22" s="170" t="s">
        <v>513</v>
      </c>
      <c r="C22" s="273">
        <f>+'ING. REALES'!H71</f>
        <v>0</v>
      </c>
      <c r="D22" s="273">
        <f>C22</f>
        <v>0</v>
      </c>
    </row>
    <row r="23" spans="1:6" x14ac:dyDescent="0.2">
      <c r="A23" s="207"/>
      <c r="B23" s="170"/>
      <c r="C23" s="273"/>
      <c r="D23" s="280"/>
    </row>
    <row r="24" spans="1:6" ht="13.5" thickBot="1" x14ac:dyDescent="0.25">
      <c r="A24" s="230"/>
      <c r="C24" s="273"/>
      <c r="D24" s="280"/>
    </row>
    <row r="25" spans="1:6" ht="13.5" thickBot="1" x14ac:dyDescent="0.25">
      <c r="A25" s="237"/>
      <c r="B25" s="232" t="s">
        <v>187</v>
      </c>
      <c r="C25" s="281">
        <f>SUM(C13:C24)</f>
        <v>1714277.669</v>
      </c>
      <c r="D25" s="281">
        <f>SUM(D13:D24)</f>
        <v>1714277.6746000003</v>
      </c>
    </row>
    <row r="26" spans="1:6" x14ac:dyDescent="0.2">
      <c r="B26" s="89"/>
      <c r="C26" s="282"/>
    </row>
    <row r="27" spans="1:6" ht="15.75" x14ac:dyDescent="0.25">
      <c r="B27" s="238"/>
      <c r="F27" s="74"/>
    </row>
  </sheetData>
  <mergeCells count="5">
    <mergeCell ref="A5:D5"/>
    <mergeCell ref="A10:D10"/>
    <mergeCell ref="A11:D11"/>
    <mergeCell ref="A6:D6"/>
    <mergeCell ref="A7:D7"/>
  </mergeCells>
  <phoneticPr fontId="5" type="noConversion"/>
  <printOptions horizontalCentered="1"/>
  <pageMargins left="0.74803149606299213" right="0.74803149606299213" top="1.3779527559055118" bottom="0.98425196850393704" header="0" footer="0"/>
  <pageSetup orientation="portrait" horizontalDpi="4294967294" verticalDpi="18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H35"/>
  <sheetViews>
    <sheetView showGridLines="0" tabSelected="1" zoomScale="75" workbookViewId="0">
      <selection activeCell="G31" sqref="G31"/>
    </sheetView>
  </sheetViews>
  <sheetFormatPr baseColWidth="10" defaultRowHeight="12.75" x14ac:dyDescent="0.2"/>
  <cols>
    <col min="1" max="1" width="9.7109375" style="89" customWidth="1"/>
    <col min="2" max="2" width="50.85546875" style="2" customWidth="1"/>
    <col min="3" max="4" width="18.140625" style="2" customWidth="1"/>
    <col min="5" max="5" width="18.140625" style="2" hidden="1" customWidth="1"/>
    <col min="6" max="8" width="18.140625" style="2" customWidth="1"/>
    <col min="9" max="16384" width="11.42578125" style="2"/>
  </cols>
  <sheetData>
    <row r="1" spans="1:8" ht="15.75" x14ac:dyDescent="0.25">
      <c r="A1" s="1203" t="s">
        <v>263</v>
      </c>
      <c r="B1" s="1203"/>
      <c r="C1" s="1203"/>
      <c r="D1" s="1203"/>
      <c r="E1" s="1203"/>
      <c r="F1" s="1203"/>
      <c r="G1" s="1203"/>
      <c r="H1" s="1203"/>
    </row>
    <row r="2" spans="1:8" ht="15.75" x14ac:dyDescent="0.25">
      <c r="A2" s="1204" t="s">
        <v>525</v>
      </c>
      <c r="B2" s="1204"/>
      <c r="C2" s="1204"/>
      <c r="D2" s="1204"/>
      <c r="E2" s="1204"/>
      <c r="F2" s="1204"/>
      <c r="G2" s="1204"/>
      <c r="H2" s="1204"/>
    </row>
    <row r="3" spans="1:8" ht="15.75" x14ac:dyDescent="0.25">
      <c r="A3" s="1204" t="s">
        <v>617</v>
      </c>
      <c r="B3" s="1204"/>
      <c r="C3" s="1204"/>
      <c r="D3" s="1204"/>
      <c r="E3" s="1204"/>
      <c r="F3" s="1204"/>
      <c r="G3" s="1204"/>
      <c r="H3" s="1204"/>
    </row>
    <row r="4" spans="1:8" ht="19.5" customHeight="1" x14ac:dyDescent="0.25">
      <c r="A4" s="1203" t="s">
        <v>264</v>
      </c>
      <c r="B4" s="1203"/>
      <c r="C4" s="1203"/>
      <c r="D4" s="1203"/>
      <c r="E4" s="1203"/>
      <c r="F4" s="1203"/>
      <c r="G4" s="1203"/>
      <c r="H4" s="1203"/>
    </row>
    <row r="5" spans="1:8" ht="18.75" customHeight="1" x14ac:dyDescent="0.25">
      <c r="A5" s="1207" t="s">
        <v>306</v>
      </c>
      <c r="B5" s="1207"/>
      <c r="C5" s="1207"/>
      <c r="D5" s="1207"/>
      <c r="E5" s="1207"/>
      <c r="F5" s="1207"/>
      <c r="G5" s="1207"/>
      <c r="H5" s="1207"/>
    </row>
    <row r="6" spans="1:8" ht="18.75" customHeight="1" thickBot="1" x14ac:dyDescent="0.3">
      <c r="A6" s="450"/>
      <c r="B6" s="450"/>
      <c r="C6" s="450"/>
      <c r="D6" s="450"/>
      <c r="E6" s="450"/>
      <c r="F6" s="450"/>
      <c r="G6" s="450"/>
      <c r="H6" s="450"/>
    </row>
    <row r="7" spans="1:8" ht="15" customHeight="1" x14ac:dyDescent="0.2">
      <c r="A7" s="1205" t="s">
        <v>307</v>
      </c>
      <c r="B7" s="1208" t="s">
        <v>308</v>
      </c>
      <c r="C7" s="1210" t="s">
        <v>309</v>
      </c>
      <c r="D7" s="1210" t="s">
        <v>310</v>
      </c>
      <c r="E7" s="1210" t="s">
        <v>311</v>
      </c>
      <c r="F7" s="1210" t="s">
        <v>312</v>
      </c>
      <c r="G7" s="1210" t="s">
        <v>313</v>
      </c>
      <c r="H7" s="1210" t="s">
        <v>27</v>
      </c>
    </row>
    <row r="8" spans="1:8" ht="15" customHeight="1" thickBot="1" x14ac:dyDescent="0.25">
      <c r="A8" s="1206"/>
      <c r="B8" s="1209"/>
      <c r="C8" s="1211"/>
      <c r="D8" s="1211"/>
      <c r="E8" s="1211"/>
      <c r="F8" s="1211"/>
      <c r="G8" s="1211"/>
      <c r="H8" s="1211"/>
    </row>
    <row r="9" spans="1:8" ht="24.95" customHeight="1" x14ac:dyDescent="0.2">
      <c r="A9" s="79" t="s">
        <v>277</v>
      </c>
      <c r="B9" s="80" t="s">
        <v>278</v>
      </c>
      <c r="C9" s="290">
        <f>C10+C13</f>
        <v>341893.4523</v>
      </c>
      <c r="D9" s="290">
        <f>D10+D13</f>
        <v>256787.30230000001</v>
      </c>
      <c r="E9" s="290"/>
      <c r="F9" s="290"/>
      <c r="G9" s="290"/>
      <c r="H9" s="290">
        <f>H10+H13</f>
        <v>598680.75459999987</v>
      </c>
    </row>
    <row r="10" spans="1:8" ht="24.95" customHeight="1" x14ac:dyDescent="0.2">
      <c r="A10" s="82" t="s">
        <v>279</v>
      </c>
      <c r="B10" s="83" t="s">
        <v>280</v>
      </c>
      <c r="C10" s="291">
        <f>C11+C12</f>
        <v>164113.08729999998</v>
      </c>
      <c r="D10" s="291">
        <f>D11+D12</f>
        <v>156316.96730000002</v>
      </c>
      <c r="E10" s="291"/>
      <c r="F10" s="291"/>
      <c r="G10" s="291"/>
      <c r="H10" s="291">
        <f>H11+H12</f>
        <v>320430.05459999997</v>
      </c>
    </row>
    <row r="11" spans="1:8" ht="24.95" customHeight="1" x14ac:dyDescent="0.2">
      <c r="A11" s="84" t="s">
        <v>22</v>
      </c>
      <c r="B11" s="85" t="s">
        <v>314</v>
      </c>
      <c r="C11" s="292">
        <f>+CONSOLIDADO!H163</f>
        <v>134014.18729999999</v>
      </c>
      <c r="D11" s="292">
        <f>+CONSOLIDADO!C163</f>
        <v>125098.06730000001</v>
      </c>
      <c r="E11" s="292"/>
      <c r="F11" s="292"/>
      <c r="G11" s="292"/>
      <c r="H11" s="292">
        <f>C11+D11+E11+F11+G11</f>
        <v>259112.25459999999</v>
      </c>
    </row>
    <row r="12" spans="1:8" ht="24.95" customHeight="1" x14ac:dyDescent="0.2">
      <c r="A12" s="84" t="s">
        <v>23</v>
      </c>
      <c r="B12" s="85" t="s">
        <v>282</v>
      </c>
      <c r="C12" s="292">
        <f>+CONSOLIDADO!I163</f>
        <v>30098.899999999998</v>
      </c>
      <c r="D12" s="292">
        <f>+CONSOLIDADO!D163</f>
        <v>31218.899999999998</v>
      </c>
      <c r="E12" s="292"/>
      <c r="F12" s="292"/>
      <c r="G12" s="292"/>
      <c r="H12" s="292">
        <f>C12+D12+E12+F12+G12</f>
        <v>61317.799999999996</v>
      </c>
    </row>
    <row r="13" spans="1:8" ht="24.95" customHeight="1" x14ac:dyDescent="0.2">
      <c r="A13" s="82" t="s">
        <v>283</v>
      </c>
      <c r="B13" s="83" t="s">
        <v>284</v>
      </c>
      <c r="C13" s="291">
        <f>SUM(C14:C15)</f>
        <v>177780.36499999999</v>
      </c>
      <c r="D13" s="291">
        <f>SUM(D14:D15)</f>
        <v>100470.33499999999</v>
      </c>
      <c r="E13" s="291"/>
      <c r="F13" s="291"/>
      <c r="G13" s="291"/>
      <c r="H13" s="291">
        <f>+H14+H15</f>
        <v>278250.69999999995</v>
      </c>
    </row>
    <row r="14" spans="1:8" ht="24.95" customHeight="1" x14ac:dyDescent="0.2">
      <c r="A14" s="84" t="s">
        <v>26</v>
      </c>
      <c r="B14" s="85" t="s">
        <v>521</v>
      </c>
      <c r="C14" s="292">
        <f>+CONSOLIDADO!J163</f>
        <v>20341.41</v>
      </c>
      <c r="D14" s="292">
        <f>+CONSOLIDADO!E163</f>
        <v>20781.41</v>
      </c>
      <c r="E14" s="291"/>
      <c r="F14" s="291"/>
      <c r="G14" s="291"/>
      <c r="H14" s="292">
        <f>C14+D14+E14+F14+G14</f>
        <v>41122.82</v>
      </c>
    </row>
    <row r="15" spans="1:8" ht="24.95" customHeight="1" thickBot="1" x14ac:dyDescent="0.25">
      <c r="A15" s="86" t="s">
        <v>258</v>
      </c>
      <c r="B15" s="87" t="s">
        <v>522</v>
      </c>
      <c r="C15" s="293">
        <f>+CONSOLIDADO!K163</f>
        <v>157438.95499999999</v>
      </c>
      <c r="D15" s="293">
        <f>+CONSOLIDADO!F163</f>
        <v>79688.924999999988</v>
      </c>
      <c r="E15" s="294"/>
      <c r="F15" s="294"/>
      <c r="G15" s="294"/>
      <c r="H15" s="293">
        <f>C15+D15+E15+F15+G15</f>
        <v>237127.87999999998</v>
      </c>
    </row>
    <row r="16" spans="1:8" ht="24.95" customHeight="1" x14ac:dyDescent="0.2">
      <c r="A16" s="82" t="s">
        <v>315</v>
      </c>
      <c r="B16" s="88" t="s">
        <v>285</v>
      </c>
      <c r="C16" s="291">
        <f t="shared" ref="C16:H16" si="0">C17</f>
        <v>569523.96000000008</v>
      </c>
      <c r="D16" s="291">
        <f t="shared" si="0"/>
        <v>0</v>
      </c>
      <c r="E16" s="291">
        <f t="shared" si="0"/>
        <v>0</v>
      </c>
      <c r="F16" s="291">
        <f t="shared" si="0"/>
        <v>581.32000000000005</v>
      </c>
      <c r="G16" s="291">
        <f t="shared" si="0"/>
        <v>0</v>
      </c>
      <c r="H16" s="291">
        <f t="shared" si="0"/>
        <v>570105.28</v>
      </c>
    </row>
    <row r="17" spans="1:8" ht="24.95" customHeight="1" x14ac:dyDescent="0.2">
      <c r="A17" s="82" t="s">
        <v>286</v>
      </c>
      <c r="B17" s="83" t="s">
        <v>287</v>
      </c>
      <c r="C17" s="291">
        <f>C18+C19</f>
        <v>569523.96000000008</v>
      </c>
      <c r="D17" s="291">
        <f>D18+D19</f>
        <v>0</v>
      </c>
      <c r="E17" s="291">
        <f>E18+E19</f>
        <v>0</v>
      </c>
      <c r="F17" s="291">
        <f>F18+F19</f>
        <v>581.32000000000005</v>
      </c>
      <c r="G17" s="291">
        <f>G18+G19</f>
        <v>0</v>
      </c>
      <c r="H17" s="291">
        <f>+H18+H19</f>
        <v>570105.28</v>
      </c>
    </row>
    <row r="18" spans="1:8" ht="24.95" customHeight="1" x14ac:dyDescent="0.2">
      <c r="A18" s="84" t="s">
        <v>236</v>
      </c>
      <c r="B18" s="85" t="s">
        <v>316</v>
      </c>
      <c r="C18" s="292">
        <f>+CONSOLIDADO!M163</f>
        <v>67156.3</v>
      </c>
      <c r="D18" s="291"/>
      <c r="E18" s="291"/>
      <c r="F18" s="291"/>
      <c r="G18" s="291"/>
      <c r="H18" s="292">
        <f>C18+D18+E18+F18+G18</f>
        <v>67156.3</v>
      </c>
    </row>
    <row r="19" spans="1:8" ht="24.95" customHeight="1" thickBot="1" x14ac:dyDescent="0.25">
      <c r="A19" s="86" t="s">
        <v>237</v>
      </c>
      <c r="B19" s="87" t="s">
        <v>289</v>
      </c>
      <c r="C19" s="293">
        <f>+CONSOLIDADO!N163</f>
        <v>502367.66000000003</v>
      </c>
      <c r="D19" s="293"/>
      <c r="E19" s="294"/>
      <c r="F19" s="293">
        <f>+CONSOLIDADO!T163</f>
        <v>581.32000000000005</v>
      </c>
      <c r="G19" s="293">
        <f>+CONSOLIDADO!W163</f>
        <v>0</v>
      </c>
      <c r="H19" s="293">
        <f>C19+D19+E19+F19+G19</f>
        <v>502948.98000000004</v>
      </c>
    </row>
    <row r="20" spans="1:8" ht="24.95" customHeight="1" x14ac:dyDescent="0.2">
      <c r="A20" s="82" t="s">
        <v>317</v>
      </c>
      <c r="B20" s="88" t="s">
        <v>290</v>
      </c>
      <c r="C20" s="291">
        <f>C21</f>
        <v>263499.32</v>
      </c>
      <c r="D20" s="291">
        <f t="shared" ref="D20:H21" si="1">D21</f>
        <v>0</v>
      </c>
      <c r="E20" s="291">
        <f t="shared" si="1"/>
        <v>0</v>
      </c>
      <c r="F20" s="291">
        <f t="shared" si="1"/>
        <v>0</v>
      </c>
      <c r="G20" s="291">
        <f t="shared" si="1"/>
        <v>0</v>
      </c>
      <c r="H20" s="291">
        <f t="shared" si="1"/>
        <v>263499.32</v>
      </c>
    </row>
    <row r="21" spans="1:8" ht="24.95" customHeight="1" x14ac:dyDescent="0.2">
      <c r="A21" s="82" t="s">
        <v>291</v>
      </c>
      <c r="B21" s="83" t="s">
        <v>292</v>
      </c>
      <c r="C21" s="291">
        <f>C22+C23</f>
        <v>263499.32</v>
      </c>
      <c r="D21" s="291">
        <f t="shared" si="1"/>
        <v>0</v>
      </c>
      <c r="E21" s="291">
        <f t="shared" si="1"/>
        <v>0</v>
      </c>
      <c r="F21" s="291">
        <f t="shared" si="1"/>
        <v>0</v>
      </c>
      <c r="G21" s="291">
        <f t="shared" si="1"/>
        <v>0</v>
      </c>
      <c r="H21" s="291">
        <f>H22+H23</f>
        <v>263499.32</v>
      </c>
    </row>
    <row r="22" spans="1:8" ht="21" customHeight="1" x14ac:dyDescent="0.2">
      <c r="A22" s="84" t="s">
        <v>238</v>
      </c>
      <c r="B22" s="85" t="s">
        <v>293</v>
      </c>
      <c r="C22" s="292">
        <f>+CONSOLIDADO!O163</f>
        <v>248526.13</v>
      </c>
      <c r="D22" s="291"/>
      <c r="E22" s="291"/>
      <c r="F22" s="292"/>
      <c r="G22" s="291"/>
      <c r="H22" s="292">
        <f>C22+D22+E22+F22+G22</f>
        <v>248526.13</v>
      </c>
    </row>
    <row r="23" spans="1:8" ht="21" customHeight="1" thickBot="1" x14ac:dyDescent="0.25">
      <c r="A23" s="86" t="s">
        <v>481</v>
      </c>
      <c r="B23" s="87" t="s">
        <v>518</v>
      </c>
      <c r="C23" s="293">
        <f>+CONSOLIDADO!S163</f>
        <v>14973.19</v>
      </c>
      <c r="D23" s="294"/>
      <c r="E23" s="294"/>
      <c r="F23" s="293"/>
      <c r="G23" s="294"/>
      <c r="H23" s="293">
        <f>C23+D23+E23+F23+G23</f>
        <v>14973.19</v>
      </c>
    </row>
    <row r="24" spans="1:8" ht="23.25" customHeight="1" x14ac:dyDescent="0.2">
      <c r="A24" s="82" t="s">
        <v>318</v>
      </c>
      <c r="B24" s="83" t="s">
        <v>294</v>
      </c>
      <c r="C24" s="291">
        <f>C25</f>
        <v>281992.32000000001</v>
      </c>
      <c r="D24" s="291">
        <f t="shared" ref="D24:H25" si="2">D25</f>
        <v>0</v>
      </c>
      <c r="E24" s="291">
        <f t="shared" si="2"/>
        <v>0</v>
      </c>
      <c r="F24" s="291">
        <f t="shared" si="2"/>
        <v>0</v>
      </c>
      <c r="G24" s="291">
        <f t="shared" si="2"/>
        <v>0</v>
      </c>
      <c r="H24" s="291">
        <f t="shared" si="2"/>
        <v>281992.32000000001</v>
      </c>
    </row>
    <row r="25" spans="1:8" ht="24.95" customHeight="1" x14ac:dyDescent="0.2">
      <c r="A25" s="82" t="s">
        <v>295</v>
      </c>
      <c r="B25" s="83" t="s">
        <v>296</v>
      </c>
      <c r="C25" s="291">
        <f>C26+C27</f>
        <v>281992.32000000001</v>
      </c>
      <c r="D25" s="291">
        <f t="shared" si="2"/>
        <v>0</v>
      </c>
      <c r="E25" s="291">
        <f t="shared" si="2"/>
        <v>0</v>
      </c>
      <c r="F25" s="291">
        <f t="shared" si="2"/>
        <v>0</v>
      </c>
      <c r="G25" s="291">
        <f t="shared" si="2"/>
        <v>0</v>
      </c>
      <c r="H25" s="291">
        <f>H26+H27</f>
        <v>281992.32000000001</v>
      </c>
    </row>
    <row r="26" spans="1:8" ht="24.95" customHeight="1" x14ac:dyDescent="0.2">
      <c r="A26" s="84" t="s">
        <v>239</v>
      </c>
      <c r="B26" s="85" t="s">
        <v>297</v>
      </c>
      <c r="C26" s="292">
        <f>RESUMEN2!E25</f>
        <v>278392.32000000001</v>
      </c>
      <c r="D26" s="291"/>
      <c r="E26" s="291"/>
      <c r="F26" s="291"/>
      <c r="G26" s="291"/>
      <c r="H26" s="292">
        <f>C26+D26+E26+F26+G26</f>
        <v>278392.32000000001</v>
      </c>
    </row>
    <row r="27" spans="1:8" ht="24.95" customHeight="1" thickBot="1" x14ac:dyDescent="0.25">
      <c r="A27" s="84" t="s">
        <v>493</v>
      </c>
      <c r="B27" s="85" t="s">
        <v>519</v>
      </c>
      <c r="C27" s="292">
        <f>+CONSOLIDADO!Q163</f>
        <v>3600</v>
      </c>
      <c r="D27" s="291"/>
      <c r="E27" s="291"/>
      <c r="F27" s="291"/>
      <c r="G27" s="291"/>
      <c r="H27" s="292">
        <f>C27+D27+E27+F27+G27</f>
        <v>3600</v>
      </c>
    </row>
    <row r="28" spans="1:8" ht="21" customHeight="1" thickBot="1" x14ac:dyDescent="0.25">
      <c r="A28" s="990" t="s">
        <v>319</v>
      </c>
      <c r="B28" s="1195"/>
      <c r="C28" s="295">
        <f>C9+C16+C20+C24</f>
        <v>1456909.0523000001</v>
      </c>
      <c r="D28" s="295">
        <f>D9+D16+D20+D24</f>
        <v>256787.30230000001</v>
      </c>
      <c r="E28" s="295"/>
      <c r="F28" s="295">
        <f>F9+F16+F20+F24</f>
        <v>581.32000000000005</v>
      </c>
      <c r="G28" s="295"/>
      <c r="H28" s="295">
        <f>H9+H16+H20+H24</f>
        <v>1714277.6746</v>
      </c>
    </row>
    <row r="29" spans="1:8" x14ac:dyDescent="0.2">
      <c r="H29" s="7"/>
    </row>
    <row r="30" spans="1:8" x14ac:dyDescent="0.2">
      <c r="C30" s="9"/>
      <c r="F30" s="9"/>
      <c r="H30" s="7"/>
    </row>
    <row r="33" spans="8:8" ht="13.5" customHeight="1" x14ac:dyDescent="0.2"/>
    <row r="35" spans="8:8" x14ac:dyDescent="0.2">
      <c r="H35" s="9"/>
    </row>
  </sheetData>
  <mergeCells count="14">
    <mergeCell ref="A1:H1"/>
    <mergeCell ref="A2:H2"/>
    <mergeCell ref="A3:H3"/>
    <mergeCell ref="A4:H4"/>
    <mergeCell ref="A28:B28"/>
    <mergeCell ref="A7:A8"/>
    <mergeCell ref="A5:H5"/>
    <mergeCell ref="B7:B8"/>
    <mergeCell ref="C7:C8"/>
    <mergeCell ref="D7:D8"/>
    <mergeCell ref="E7:E8"/>
    <mergeCell ref="F7:F8"/>
    <mergeCell ref="G7:G8"/>
    <mergeCell ref="H7:H8"/>
  </mergeCells>
  <phoneticPr fontId="0" type="noConversion"/>
  <pageMargins left="0.35433070866141736" right="0.35433070866141736" top="0.74803149606299213" bottom="0.27559055118110237" header="0.15748031496062992" footer="0"/>
  <pageSetup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showGridLines="0" topLeftCell="A66" workbookViewId="0">
      <selection activeCell="B67" sqref="B67"/>
    </sheetView>
  </sheetViews>
  <sheetFormatPr baseColWidth="10" defaultRowHeight="12.75" x14ac:dyDescent="0.2"/>
  <cols>
    <col min="1" max="1" width="9.140625" style="241" customWidth="1"/>
    <col min="2" max="2" width="50.85546875" style="241" customWidth="1"/>
    <col min="3" max="4" width="18" style="241" customWidth="1"/>
    <col min="5" max="5" width="14.5703125" style="241" customWidth="1"/>
    <col min="6" max="7" width="13.7109375" style="241" customWidth="1"/>
    <col min="8" max="8" width="13.7109375" style="241" hidden="1" customWidth="1"/>
    <col min="9" max="9" width="13.7109375" style="241" customWidth="1"/>
    <col min="10" max="10" width="13.7109375" style="288" customWidth="1"/>
    <col min="11" max="11" width="13.28515625" style="34" bestFit="1" customWidth="1"/>
    <col min="12" max="16384" width="11.42578125" style="34"/>
  </cols>
  <sheetData>
    <row r="1" spans="1:10" ht="12.75" customHeight="1" x14ac:dyDescent="0.2">
      <c r="A1" s="997" t="s">
        <v>588</v>
      </c>
      <c r="B1" s="997"/>
      <c r="C1" s="997"/>
      <c r="D1" s="997"/>
      <c r="E1" s="997"/>
      <c r="F1" s="997"/>
      <c r="G1" s="997"/>
      <c r="H1" s="997"/>
      <c r="I1" s="997"/>
      <c r="J1" s="997"/>
    </row>
    <row r="2" spans="1:10" x14ac:dyDescent="0.2">
      <c r="A2" s="997"/>
      <c r="B2" s="997"/>
      <c r="C2" s="997"/>
      <c r="D2" s="997"/>
      <c r="E2" s="997"/>
      <c r="F2" s="997"/>
      <c r="G2" s="997"/>
      <c r="H2" s="997"/>
      <c r="I2" s="997"/>
      <c r="J2" s="997"/>
    </row>
    <row r="3" spans="1:10" x14ac:dyDescent="0.2">
      <c r="A3" s="997"/>
      <c r="B3" s="997"/>
      <c r="C3" s="997"/>
      <c r="D3" s="997"/>
      <c r="E3" s="997"/>
      <c r="F3" s="997"/>
      <c r="G3" s="997"/>
      <c r="H3" s="997"/>
      <c r="I3" s="997"/>
      <c r="J3" s="997"/>
    </row>
    <row r="4" spans="1:10" ht="15" customHeight="1" thickBot="1" x14ac:dyDescent="0.25">
      <c r="A4" s="315"/>
      <c r="B4" s="315"/>
      <c r="C4" s="315"/>
      <c r="D4" s="315"/>
      <c r="E4" s="315"/>
      <c r="F4" s="315"/>
      <c r="G4" s="315"/>
      <c r="H4" s="315"/>
      <c r="I4" s="315"/>
      <c r="J4" s="314"/>
    </row>
    <row r="5" spans="1:10" s="241" customFormat="1" ht="12.75" customHeight="1" x14ac:dyDescent="0.2">
      <c r="A5" s="994" t="s">
        <v>658</v>
      </c>
      <c r="B5" s="986" t="s">
        <v>105</v>
      </c>
      <c r="C5" s="1004" t="s">
        <v>659</v>
      </c>
      <c r="D5" s="1005"/>
      <c r="E5" s="1005"/>
      <c r="F5" s="1006"/>
      <c r="G5" s="1001" t="s">
        <v>303</v>
      </c>
      <c r="H5" s="986" t="s">
        <v>123</v>
      </c>
      <c r="I5" s="991" t="s">
        <v>305</v>
      </c>
      <c r="J5" s="998" t="s">
        <v>27</v>
      </c>
    </row>
    <row r="6" spans="1:10" s="241" customFormat="1" x14ac:dyDescent="0.2">
      <c r="A6" s="995"/>
      <c r="B6" s="987"/>
      <c r="C6" s="982" t="s">
        <v>0</v>
      </c>
      <c r="D6" s="983"/>
      <c r="E6" s="984" t="s">
        <v>457</v>
      </c>
      <c r="F6" s="1007" t="s">
        <v>662</v>
      </c>
      <c r="G6" s="1002"/>
      <c r="H6" s="987"/>
      <c r="I6" s="992"/>
      <c r="J6" s="999"/>
    </row>
    <row r="7" spans="1:10" s="241" customFormat="1" ht="21.75" customHeight="1" thickBot="1" x14ac:dyDescent="0.25">
      <c r="A7" s="996"/>
      <c r="B7" s="988"/>
      <c r="C7" s="702" t="s">
        <v>660</v>
      </c>
      <c r="D7" s="685" t="s">
        <v>661</v>
      </c>
      <c r="E7" s="985"/>
      <c r="F7" s="1008"/>
      <c r="G7" s="1003"/>
      <c r="H7" s="988"/>
      <c r="I7" s="993"/>
      <c r="J7" s="1000"/>
    </row>
    <row r="8" spans="1:10" s="241" customFormat="1" x14ac:dyDescent="0.2">
      <c r="A8" s="146">
        <v>11</v>
      </c>
      <c r="B8" s="692" t="s">
        <v>340</v>
      </c>
      <c r="C8" s="703">
        <f>C9</f>
        <v>0</v>
      </c>
      <c r="D8" s="316">
        <f>D9</f>
        <v>0</v>
      </c>
      <c r="E8" s="316">
        <f>E9</f>
        <v>0</v>
      </c>
      <c r="F8" s="704">
        <v>0</v>
      </c>
      <c r="G8" s="697">
        <f>G9</f>
        <v>16011.6</v>
      </c>
      <c r="H8" s="713">
        <f>H9</f>
        <v>0</v>
      </c>
      <c r="I8" s="721">
        <f>I9</f>
        <v>0</v>
      </c>
      <c r="J8" s="717">
        <f>I8+G8</f>
        <v>16011.6</v>
      </c>
    </row>
    <row r="9" spans="1:10" s="241" customFormat="1" x14ac:dyDescent="0.2">
      <c r="A9" s="147">
        <v>118</v>
      </c>
      <c r="B9" s="693" t="s">
        <v>341</v>
      </c>
      <c r="C9" s="705">
        <f>SUM(C10:C16)</f>
        <v>0</v>
      </c>
      <c r="D9" s="317">
        <f>SUM(D10:D16)</f>
        <v>0</v>
      </c>
      <c r="E9" s="317">
        <f>SUM(E10:E16)</f>
        <v>0</v>
      </c>
      <c r="F9" s="706">
        <v>0</v>
      </c>
      <c r="G9" s="698">
        <f>SUM(G10:G16)</f>
        <v>16011.6</v>
      </c>
      <c r="H9" s="714">
        <f>SUM(H10:H16)</f>
        <v>0</v>
      </c>
      <c r="I9" s="722">
        <f>SUM(I10:I16)</f>
        <v>0</v>
      </c>
      <c r="J9" s="718">
        <f>+I9+G9</f>
        <v>16011.6</v>
      </c>
    </row>
    <row r="10" spans="1:10" s="241" customFormat="1" x14ac:dyDescent="0.2">
      <c r="A10" s="117">
        <v>11801</v>
      </c>
      <c r="B10" s="694" t="s">
        <v>619</v>
      </c>
      <c r="C10" s="707">
        <v>0</v>
      </c>
      <c r="D10" s="318">
        <v>0</v>
      </c>
      <c r="E10" s="318">
        <v>0</v>
      </c>
      <c r="F10" s="706">
        <v>0</v>
      </c>
      <c r="G10" s="699">
        <f>252.61*12</f>
        <v>3031.32</v>
      </c>
      <c r="H10" s="609"/>
      <c r="I10" s="723">
        <v>0</v>
      </c>
      <c r="J10" s="719">
        <f t="shared" ref="J10:J16" si="0">I10+G10</f>
        <v>3031.32</v>
      </c>
    </row>
    <row r="11" spans="1:10" s="241" customFormat="1" x14ac:dyDescent="0.2">
      <c r="A11" s="117">
        <v>11802</v>
      </c>
      <c r="B11" s="694" t="s">
        <v>620</v>
      </c>
      <c r="C11" s="707">
        <v>0</v>
      </c>
      <c r="D11" s="318">
        <v>0</v>
      </c>
      <c r="E11" s="318">
        <v>0</v>
      </c>
      <c r="F11" s="706">
        <v>0</v>
      </c>
      <c r="G11" s="699">
        <f>234.21*12</f>
        <v>2810.52</v>
      </c>
      <c r="H11" s="609"/>
      <c r="I11" s="723">
        <v>0</v>
      </c>
      <c r="J11" s="719">
        <f t="shared" si="0"/>
        <v>2810.52</v>
      </c>
    </row>
    <row r="12" spans="1:10" s="241" customFormat="1" x14ac:dyDescent="0.2">
      <c r="A12" s="117">
        <v>11804</v>
      </c>
      <c r="B12" s="694" t="s">
        <v>621</v>
      </c>
      <c r="C12" s="707">
        <v>0</v>
      </c>
      <c r="D12" s="318">
        <v>0</v>
      </c>
      <c r="E12" s="318">
        <v>0</v>
      </c>
      <c r="F12" s="706">
        <v>0</v>
      </c>
      <c r="G12" s="699">
        <f>661.33*12</f>
        <v>7935.9600000000009</v>
      </c>
      <c r="H12" s="609"/>
      <c r="I12" s="723">
        <v>0</v>
      </c>
      <c r="J12" s="719">
        <f t="shared" si="0"/>
        <v>7935.9600000000009</v>
      </c>
    </row>
    <row r="13" spans="1:10" s="241" customFormat="1" x14ac:dyDescent="0.2">
      <c r="A13" s="117">
        <v>11812</v>
      </c>
      <c r="B13" s="695" t="s">
        <v>622</v>
      </c>
      <c r="C13" s="707">
        <v>0</v>
      </c>
      <c r="D13" s="318">
        <v>0</v>
      </c>
      <c r="E13" s="318">
        <v>0</v>
      </c>
      <c r="F13" s="706">
        <v>0</v>
      </c>
      <c r="G13" s="699">
        <f>42.9*12</f>
        <v>514.79999999999995</v>
      </c>
      <c r="H13" s="609"/>
      <c r="I13" s="723">
        <v>0</v>
      </c>
      <c r="J13" s="719">
        <f t="shared" si="0"/>
        <v>514.79999999999995</v>
      </c>
    </row>
    <row r="14" spans="1:10" s="241" customFormat="1" x14ac:dyDescent="0.2">
      <c r="A14" s="117">
        <v>11816</v>
      </c>
      <c r="B14" s="694" t="s">
        <v>623</v>
      </c>
      <c r="C14" s="707">
        <v>0</v>
      </c>
      <c r="D14" s="318">
        <v>0</v>
      </c>
      <c r="E14" s="318">
        <v>0</v>
      </c>
      <c r="F14" s="706">
        <v>0</v>
      </c>
      <c r="G14" s="699">
        <f>56*12</f>
        <v>672</v>
      </c>
      <c r="H14" s="609"/>
      <c r="I14" s="723">
        <v>0</v>
      </c>
      <c r="J14" s="719">
        <f t="shared" si="0"/>
        <v>672</v>
      </c>
    </row>
    <row r="15" spans="1:10" s="241" customFormat="1" x14ac:dyDescent="0.2">
      <c r="A15" s="117">
        <v>11818</v>
      </c>
      <c r="B15" s="694" t="s">
        <v>624</v>
      </c>
      <c r="C15" s="707">
        <v>0</v>
      </c>
      <c r="D15" s="318">
        <v>0</v>
      </c>
      <c r="E15" s="318">
        <v>0</v>
      </c>
      <c r="F15" s="706">
        <v>0</v>
      </c>
      <c r="G15" s="699">
        <f>300*3.49</f>
        <v>1047</v>
      </c>
      <c r="H15" s="609"/>
      <c r="I15" s="723">
        <v>0</v>
      </c>
      <c r="J15" s="719">
        <f t="shared" si="0"/>
        <v>1047</v>
      </c>
    </row>
    <row r="16" spans="1:10" s="241" customFormat="1" hidden="1" x14ac:dyDescent="0.2">
      <c r="A16" s="117">
        <v>11899</v>
      </c>
      <c r="B16" s="694" t="s">
        <v>625</v>
      </c>
      <c r="C16" s="707"/>
      <c r="D16" s="318"/>
      <c r="E16" s="318"/>
      <c r="F16" s="706"/>
      <c r="G16" s="699"/>
      <c r="H16" s="609"/>
      <c r="I16" s="723"/>
      <c r="J16" s="719">
        <f t="shared" si="0"/>
        <v>0</v>
      </c>
    </row>
    <row r="17" spans="1:10" s="241" customFormat="1" x14ac:dyDescent="0.2">
      <c r="A17" s="147">
        <v>12</v>
      </c>
      <c r="B17" s="693" t="s">
        <v>6</v>
      </c>
      <c r="C17" s="705">
        <f>C18+C31</f>
        <v>0</v>
      </c>
      <c r="D17" s="317">
        <f>D18+D31</f>
        <v>0</v>
      </c>
      <c r="E17" s="317">
        <f>E18+E31</f>
        <v>0</v>
      </c>
      <c r="F17" s="708">
        <v>0</v>
      </c>
      <c r="G17" s="698">
        <f>+G18+G31</f>
        <v>66646.813999999998</v>
      </c>
      <c r="H17" s="714">
        <f>H18+H31</f>
        <v>0</v>
      </c>
      <c r="I17" s="722">
        <f>I18+I31</f>
        <v>0</v>
      </c>
      <c r="J17" s="718">
        <f>+I17+G17</f>
        <v>66646.813999999998</v>
      </c>
    </row>
    <row r="18" spans="1:10" s="241" customFormat="1" x14ac:dyDescent="0.2">
      <c r="A18" s="147">
        <v>121</v>
      </c>
      <c r="B18" s="693" t="s">
        <v>342</v>
      </c>
      <c r="C18" s="705">
        <f>SUM(C21:C29)</f>
        <v>0</v>
      </c>
      <c r="D18" s="317">
        <f>SUM(D21:D29)</f>
        <v>0</v>
      </c>
      <c r="E18" s="317">
        <f>SUM(E21:E29)</f>
        <v>0</v>
      </c>
      <c r="F18" s="708">
        <v>0</v>
      </c>
      <c r="G18" s="698">
        <f>SUM(G19:G30)</f>
        <v>65641.813999999998</v>
      </c>
      <c r="H18" s="714">
        <f>SUM(H21:H29)</f>
        <v>0</v>
      </c>
      <c r="I18" s="722">
        <f>SUM(I21:I29)</f>
        <v>0</v>
      </c>
      <c r="J18" s="718">
        <f t="shared" ref="J18:J45" si="1">I18+G18</f>
        <v>65641.813999999998</v>
      </c>
    </row>
    <row r="19" spans="1:10" s="241" customFormat="1" x14ac:dyDescent="0.2">
      <c r="A19" s="117">
        <v>12105</v>
      </c>
      <c r="B19" s="694" t="s">
        <v>626</v>
      </c>
      <c r="C19" s="707">
        <v>0</v>
      </c>
      <c r="D19" s="318">
        <v>0</v>
      </c>
      <c r="E19" s="318">
        <v>0</v>
      </c>
      <c r="F19" s="706">
        <v>0</v>
      </c>
      <c r="G19" s="699">
        <v>3500</v>
      </c>
      <c r="H19" s="609"/>
      <c r="I19" s="723">
        <v>0</v>
      </c>
      <c r="J19" s="719">
        <f t="shared" si="1"/>
        <v>3500</v>
      </c>
    </row>
    <row r="20" spans="1:10" s="241" customFormat="1" x14ac:dyDescent="0.2">
      <c r="A20" s="117">
        <v>12106</v>
      </c>
      <c r="B20" s="694" t="s">
        <v>627</v>
      </c>
      <c r="C20" s="707">
        <v>0</v>
      </c>
      <c r="D20" s="318">
        <v>0</v>
      </c>
      <c r="E20" s="318">
        <v>0</v>
      </c>
      <c r="F20" s="706">
        <v>0</v>
      </c>
      <c r="G20" s="699">
        <v>150</v>
      </c>
      <c r="H20" s="609"/>
      <c r="I20" s="723">
        <v>0</v>
      </c>
      <c r="J20" s="719">
        <f t="shared" si="1"/>
        <v>150</v>
      </c>
    </row>
    <row r="21" spans="1:10" s="241" customFormat="1" x14ac:dyDescent="0.2">
      <c r="A21" s="117">
        <v>12108</v>
      </c>
      <c r="B21" s="694" t="s">
        <v>628</v>
      </c>
      <c r="C21" s="707">
        <v>0</v>
      </c>
      <c r="D21" s="318">
        <v>0</v>
      </c>
      <c r="E21" s="318">
        <v>0</v>
      </c>
      <c r="F21" s="706">
        <v>0</v>
      </c>
      <c r="G21" s="699">
        <f>145.71*12</f>
        <v>1748.52</v>
      </c>
      <c r="H21" s="609"/>
      <c r="I21" s="723">
        <v>0</v>
      </c>
      <c r="J21" s="719">
        <f t="shared" si="1"/>
        <v>1748.52</v>
      </c>
    </row>
    <row r="22" spans="1:10" s="241" customFormat="1" x14ac:dyDescent="0.2">
      <c r="A22" s="117">
        <v>12109</v>
      </c>
      <c r="B22" s="694" t="s">
        <v>629</v>
      </c>
      <c r="C22" s="707">
        <v>0</v>
      </c>
      <c r="D22" s="318">
        <v>0</v>
      </c>
      <c r="E22" s="318">
        <v>0</v>
      </c>
      <c r="F22" s="706">
        <v>0</v>
      </c>
      <c r="G22" s="699">
        <f>432.36*12</f>
        <v>5188.32</v>
      </c>
      <c r="H22" s="609"/>
      <c r="I22" s="723">
        <v>0</v>
      </c>
      <c r="J22" s="719">
        <f t="shared" si="1"/>
        <v>5188.32</v>
      </c>
    </row>
    <row r="23" spans="1:10" s="241" customFormat="1" hidden="1" x14ac:dyDescent="0.2">
      <c r="A23" s="117">
        <v>12110</v>
      </c>
      <c r="B23" s="694" t="s">
        <v>630</v>
      </c>
      <c r="C23" s="707">
        <v>0</v>
      </c>
      <c r="D23" s="318">
        <v>0</v>
      </c>
      <c r="E23" s="318">
        <v>0</v>
      </c>
      <c r="F23" s="706">
        <v>0</v>
      </c>
      <c r="G23" s="699"/>
      <c r="H23" s="609"/>
      <c r="I23" s="723">
        <v>0</v>
      </c>
      <c r="J23" s="719">
        <f t="shared" si="1"/>
        <v>0</v>
      </c>
    </row>
    <row r="24" spans="1:10" s="241" customFormat="1" x14ac:dyDescent="0.2">
      <c r="A24" s="117">
        <v>12111</v>
      </c>
      <c r="B24" s="694" t="s">
        <v>631</v>
      </c>
      <c r="C24" s="707">
        <v>0</v>
      </c>
      <c r="D24" s="318">
        <v>0</v>
      </c>
      <c r="E24" s="318">
        <v>0</v>
      </c>
      <c r="F24" s="706">
        <v>0</v>
      </c>
      <c r="G24" s="699">
        <v>1200</v>
      </c>
      <c r="H24" s="609"/>
      <c r="I24" s="723">
        <v>0</v>
      </c>
      <c r="J24" s="719">
        <f t="shared" si="1"/>
        <v>1200</v>
      </c>
    </row>
    <row r="25" spans="1:10" s="241" customFormat="1" x14ac:dyDescent="0.2">
      <c r="A25" s="117">
        <v>12114</v>
      </c>
      <c r="B25" s="694" t="s">
        <v>632</v>
      </c>
      <c r="C25" s="707">
        <v>0</v>
      </c>
      <c r="D25" s="318">
        <v>0</v>
      </c>
      <c r="E25" s="318">
        <v>0</v>
      </c>
      <c r="F25" s="706">
        <v>0</v>
      </c>
      <c r="G25" s="699">
        <f>(G10+G11+G12+G13+G14+G19+G20+G21+G22+G24+G27+G28+G29+G30+G32+G33+G36+G37+G48)*0.05</f>
        <v>10960.614000000001</v>
      </c>
      <c r="H25" s="609"/>
      <c r="I25" s="723">
        <v>0</v>
      </c>
      <c r="J25" s="719">
        <f t="shared" si="1"/>
        <v>10960.614000000001</v>
      </c>
    </row>
    <row r="26" spans="1:10" s="241" customFormat="1" x14ac:dyDescent="0.2">
      <c r="A26" s="117">
        <v>12115</v>
      </c>
      <c r="B26" s="694" t="s">
        <v>633</v>
      </c>
      <c r="C26" s="707">
        <v>0</v>
      </c>
      <c r="D26" s="318">
        <v>0</v>
      </c>
      <c r="E26" s="318">
        <v>0</v>
      </c>
      <c r="F26" s="706">
        <v>0</v>
      </c>
      <c r="G26" s="699">
        <v>100</v>
      </c>
      <c r="H26" s="609"/>
      <c r="I26" s="723">
        <v>0</v>
      </c>
      <c r="J26" s="719">
        <f t="shared" si="1"/>
        <v>100</v>
      </c>
    </row>
    <row r="27" spans="1:10" s="241" customFormat="1" x14ac:dyDescent="0.2">
      <c r="A27" s="117">
        <v>12117</v>
      </c>
      <c r="B27" s="694" t="s">
        <v>634</v>
      </c>
      <c r="C27" s="707">
        <v>0</v>
      </c>
      <c r="D27" s="318">
        <v>0</v>
      </c>
      <c r="E27" s="318">
        <v>0</v>
      </c>
      <c r="F27" s="706">
        <v>0</v>
      </c>
      <c r="G27" s="699">
        <f>32.73*12</f>
        <v>392.76</v>
      </c>
      <c r="H27" s="609"/>
      <c r="I27" s="723">
        <v>0</v>
      </c>
      <c r="J27" s="719">
        <f t="shared" si="1"/>
        <v>392.76</v>
      </c>
    </row>
    <row r="28" spans="1:10" s="241" customFormat="1" x14ac:dyDescent="0.2">
      <c r="A28" s="117">
        <v>12118</v>
      </c>
      <c r="B28" s="694" t="s">
        <v>635</v>
      </c>
      <c r="C28" s="707">
        <v>0</v>
      </c>
      <c r="D28" s="318">
        <v>0</v>
      </c>
      <c r="E28" s="318">
        <v>0</v>
      </c>
      <c r="F28" s="706">
        <v>0</v>
      </c>
      <c r="G28" s="699">
        <f>((502*4.76)+(308*1)+(93*1)+(6*1))*12+((2*238.1)*12)</f>
        <v>39272.639999999999</v>
      </c>
      <c r="H28" s="609"/>
      <c r="I28" s="723">
        <v>0</v>
      </c>
      <c r="J28" s="719">
        <f t="shared" si="1"/>
        <v>39272.639999999999</v>
      </c>
    </row>
    <row r="29" spans="1:10" s="241" customFormat="1" x14ac:dyDescent="0.2">
      <c r="A29" s="117">
        <v>12119</v>
      </c>
      <c r="B29" s="694" t="s">
        <v>636</v>
      </c>
      <c r="C29" s="707">
        <v>0</v>
      </c>
      <c r="D29" s="318">
        <v>0</v>
      </c>
      <c r="E29" s="318">
        <v>0</v>
      </c>
      <c r="F29" s="706">
        <v>0</v>
      </c>
      <c r="G29" s="699">
        <v>50</v>
      </c>
      <c r="H29" s="609"/>
      <c r="I29" s="723">
        <v>0</v>
      </c>
      <c r="J29" s="719">
        <f t="shared" si="1"/>
        <v>50</v>
      </c>
    </row>
    <row r="30" spans="1:10" s="241" customFormat="1" x14ac:dyDescent="0.2">
      <c r="A30" s="117">
        <v>12199</v>
      </c>
      <c r="B30" s="694" t="s">
        <v>637</v>
      </c>
      <c r="C30" s="707">
        <v>0</v>
      </c>
      <c r="D30" s="318">
        <v>0</v>
      </c>
      <c r="E30" s="318">
        <v>0</v>
      </c>
      <c r="F30" s="706">
        <v>0</v>
      </c>
      <c r="G30" s="699">
        <f>(56.88+164.7)*12+(28*15)</f>
        <v>3078.96</v>
      </c>
      <c r="H30" s="609"/>
      <c r="I30" s="723">
        <v>0</v>
      </c>
      <c r="J30" s="719">
        <f t="shared" si="1"/>
        <v>3078.96</v>
      </c>
    </row>
    <row r="31" spans="1:10" s="241" customFormat="1" x14ac:dyDescent="0.2">
      <c r="A31" s="147">
        <v>122</v>
      </c>
      <c r="B31" s="693" t="s">
        <v>343</v>
      </c>
      <c r="C31" s="705">
        <f>SUM(C32:C33)</f>
        <v>0</v>
      </c>
      <c r="D31" s="317">
        <f>SUM(D32:D33)</f>
        <v>0</v>
      </c>
      <c r="E31" s="317">
        <f>SUM(E32:E33)</f>
        <v>0</v>
      </c>
      <c r="F31" s="708">
        <v>0</v>
      </c>
      <c r="G31" s="698">
        <f>SUM(G32:G33)</f>
        <v>1005</v>
      </c>
      <c r="H31" s="714">
        <f>SUM(H32:H33)</f>
        <v>0</v>
      </c>
      <c r="I31" s="722">
        <f>SUM(I32:I33)</f>
        <v>0</v>
      </c>
      <c r="J31" s="718">
        <f t="shared" si="1"/>
        <v>1005</v>
      </c>
    </row>
    <row r="32" spans="1:10" s="241" customFormat="1" x14ac:dyDescent="0.2">
      <c r="A32" s="117">
        <v>12210</v>
      </c>
      <c r="B32" s="694" t="s">
        <v>638</v>
      </c>
      <c r="C32" s="707">
        <v>0</v>
      </c>
      <c r="D32" s="318">
        <v>0</v>
      </c>
      <c r="E32" s="318">
        <v>0</v>
      </c>
      <c r="F32" s="706">
        <v>0</v>
      </c>
      <c r="G32" s="699">
        <v>1000</v>
      </c>
      <c r="H32" s="609"/>
      <c r="I32" s="723">
        <v>0</v>
      </c>
      <c r="J32" s="719">
        <f t="shared" si="1"/>
        <v>1000</v>
      </c>
    </row>
    <row r="33" spans="1:10" s="241" customFormat="1" x14ac:dyDescent="0.2">
      <c r="A33" s="117">
        <v>12211</v>
      </c>
      <c r="B33" s="694" t="s">
        <v>639</v>
      </c>
      <c r="C33" s="707">
        <v>0</v>
      </c>
      <c r="D33" s="318">
        <v>0</v>
      </c>
      <c r="E33" s="318">
        <v>0</v>
      </c>
      <c r="F33" s="706">
        <v>0</v>
      </c>
      <c r="G33" s="699">
        <v>5</v>
      </c>
      <c r="H33" s="609"/>
      <c r="I33" s="723">
        <v>0</v>
      </c>
      <c r="J33" s="719">
        <f t="shared" si="1"/>
        <v>5</v>
      </c>
    </row>
    <row r="34" spans="1:10" s="241" customFormat="1" x14ac:dyDescent="0.2">
      <c r="A34" s="147">
        <v>14</v>
      </c>
      <c r="B34" s="693" t="s">
        <v>8</v>
      </c>
      <c r="C34" s="705">
        <f>C35</f>
        <v>0</v>
      </c>
      <c r="D34" s="317">
        <f>D35</f>
        <v>0</v>
      </c>
      <c r="E34" s="317">
        <f>E35</f>
        <v>0</v>
      </c>
      <c r="F34" s="708">
        <v>0</v>
      </c>
      <c r="G34" s="698">
        <f>+G35</f>
        <v>148661.48000000001</v>
      </c>
      <c r="H34" s="714">
        <f>H35</f>
        <v>0</v>
      </c>
      <c r="I34" s="722">
        <f>I35</f>
        <v>0</v>
      </c>
      <c r="J34" s="718">
        <f t="shared" si="1"/>
        <v>148661.48000000001</v>
      </c>
    </row>
    <row r="35" spans="1:10" s="241" customFormat="1" x14ac:dyDescent="0.2">
      <c r="A35" s="147">
        <v>142</v>
      </c>
      <c r="B35" s="693" t="s">
        <v>483</v>
      </c>
      <c r="C35" s="705">
        <v>0</v>
      </c>
      <c r="D35" s="317">
        <v>0</v>
      </c>
      <c r="E35" s="317">
        <v>0</v>
      </c>
      <c r="F35" s="708">
        <v>0</v>
      </c>
      <c r="G35" s="698">
        <f>SUM(G36:G37)</f>
        <v>148661.48000000001</v>
      </c>
      <c r="H35" s="609"/>
      <c r="I35" s="723">
        <v>0</v>
      </c>
      <c r="J35" s="719">
        <f t="shared" si="1"/>
        <v>148661.48000000001</v>
      </c>
    </row>
    <row r="36" spans="1:10" s="241" customFormat="1" x14ac:dyDescent="0.2">
      <c r="A36" s="117">
        <v>14201</v>
      </c>
      <c r="B36" s="694" t="s">
        <v>640</v>
      </c>
      <c r="C36" s="707">
        <v>0</v>
      </c>
      <c r="D36" s="318">
        <v>0</v>
      </c>
      <c r="E36" s="318">
        <v>0</v>
      </c>
      <c r="F36" s="706">
        <v>0</v>
      </c>
      <c r="G36" s="699">
        <f>((2166*4.76+4.76)+(269*5.23))*12</f>
        <v>140661.48000000001</v>
      </c>
      <c r="H36" s="609"/>
      <c r="I36" s="723">
        <v>0</v>
      </c>
      <c r="J36" s="719">
        <f t="shared" si="1"/>
        <v>140661.48000000001</v>
      </c>
    </row>
    <row r="37" spans="1:10" s="241" customFormat="1" x14ac:dyDescent="0.2">
      <c r="A37" s="117">
        <v>14299</v>
      </c>
      <c r="B37" s="694" t="s">
        <v>641</v>
      </c>
      <c r="C37" s="707">
        <v>0</v>
      </c>
      <c r="D37" s="318">
        <v>0</v>
      </c>
      <c r="E37" s="318">
        <v>0</v>
      </c>
      <c r="F37" s="706">
        <v>0</v>
      </c>
      <c r="G37" s="699">
        <v>8000</v>
      </c>
      <c r="H37" s="609"/>
      <c r="I37" s="723">
        <v>0</v>
      </c>
      <c r="J37" s="719">
        <f t="shared" si="1"/>
        <v>8000</v>
      </c>
    </row>
    <row r="38" spans="1:10" s="241" customFormat="1" x14ac:dyDescent="0.2">
      <c r="A38" s="147">
        <v>15</v>
      </c>
      <c r="B38" s="693" t="s">
        <v>9</v>
      </c>
      <c r="C38" s="705">
        <f>C39</f>
        <v>0</v>
      </c>
      <c r="D38" s="317">
        <f>D39</f>
        <v>0</v>
      </c>
      <c r="E38" s="317">
        <f>E39</f>
        <v>0</v>
      </c>
      <c r="F38" s="708">
        <v>0</v>
      </c>
      <c r="G38" s="698">
        <f>G41+G47+G49</f>
        <v>8055.72</v>
      </c>
      <c r="H38" s="714">
        <f>H39</f>
        <v>0</v>
      </c>
      <c r="I38" s="722">
        <f>I39</f>
        <v>0</v>
      </c>
      <c r="J38" s="718">
        <f t="shared" si="1"/>
        <v>8055.72</v>
      </c>
    </row>
    <row r="39" spans="1:10" s="241" customFormat="1" hidden="1" x14ac:dyDescent="0.2">
      <c r="A39" s="147">
        <v>151</v>
      </c>
      <c r="B39" s="693" t="s">
        <v>10</v>
      </c>
      <c r="C39" s="705">
        <f>SUM(C40)</f>
        <v>0</v>
      </c>
      <c r="D39" s="317">
        <f>SUM(D40)</f>
        <v>0</v>
      </c>
      <c r="E39" s="317">
        <f>SUM(E40)</f>
        <v>0</v>
      </c>
      <c r="F39" s="708">
        <v>0</v>
      </c>
      <c r="G39" s="698">
        <f>SUM(G40)</f>
        <v>0</v>
      </c>
      <c r="H39" s="714">
        <f>SUM(H40)</f>
        <v>0</v>
      </c>
      <c r="I39" s="722">
        <f>SUM(I40)</f>
        <v>0</v>
      </c>
      <c r="J39" s="718">
        <f t="shared" si="1"/>
        <v>0</v>
      </c>
    </row>
    <row r="40" spans="1:10" s="241" customFormat="1" hidden="1" x14ac:dyDescent="0.2">
      <c r="A40" s="117">
        <v>15105</v>
      </c>
      <c r="B40" s="694" t="s">
        <v>642</v>
      </c>
      <c r="C40" s="707"/>
      <c r="D40" s="318"/>
      <c r="E40" s="318"/>
      <c r="F40" s="708">
        <v>0</v>
      </c>
      <c r="G40" s="699"/>
      <c r="H40" s="609"/>
      <c r="I40" s="723"/>
      <c r="J40" s="719">
        <f t="shared" si="1"/>
        <v>0</v>
      </c>
    </row>
    <row r="41" spans="1:10" s="241" customFormat="1" x14ac:dyDescent="0.2">
      <c r="A41" s="147">
        <v>153</v>
      </c>
      <c r="B41" s="693" t="s">
        <v>10</v>
      </c>
      <c r="C41" s="705">
        <f>SUM(C46)</f>
        <v>0</v>
      </c>
      <c r="D41" s="317">
        <f>SUM(D46)</f>
        <v>0</v>
      </c>
      <c r="E41" s="317">
        <f>SUM(E46)</f>
        <v>0</v>
      </c>
      <c r="F41" s="708">
        <v>0</v>
      </c>
      <c r="G41" s="698">
        <f>SUM(G42:G45)</f>
        <v>8005.72</v>
      </c>
      <c r="H41" s="714">
        <f>SUM(H46)</f>
        <v>0</v>
      </c>
      <c r="I41" s="722">
        <f>SUM(I46)</f>
        <v>0</v>
      </c>
      <c r="J41" s="718">
        <f t="shared" si="1"/>
        <v>8005.72</v>
      </c>
    </row>
    <row r="42" spans="1:10" s="241" customFormat="1" x14ac:dyDescent="0.2">
      <c r="A42" s="117">
        <v>15301</v>
      </c>
      <c r="B42" s="694" t="s">
        <v>643</v>
      </c>
      <c r="C42" s="709">
        <v>0</v>
      </c>
      <c r="D42" s="608">
        <v>0</v>
      </c>
      <c r="E42" s="608">
        <v>0</v>
      </c>
      <c r="F42" s="710">
        <v>0</v>
      </c>
      <c r="G42" s="699">
        <v>6000</v>
      </c>
      <c r="H42" s="714"/>
      <c r="I42" s="722">
        <v>0</v>
      </c>
      <c r="J42" s="719">
        <f t="shared" si="1"/>
        <v>6000</v>
      </c>
    </row>
    <row r="43" spans="1:10" s="241" customFormat="1" x14ac:dyDescent="0.2">
      <c r="A43" s="117">
        <v>15302</v>
      </c>
      <c r="B43" s="694" t="s">
        <v>644</v>
      </c>
      <c r="C43" s="709">
        <v>0</v>
      </c>
      <c r="D43" s="608">
        <v>0</v>
      </c>
      <c r="E43" s="608">
        <v>0</v>
      </c>
      <c r="F43" s="710">
        <v>0</v>
      </c>
      <c r="G43" s="699">
        <v>2000</v>
      </c>
      <c r="H43" s="714"/>
      <c r="I43" s="722">
        <v>0</v>
      </c>
      <c r="J43" s="719">
        <f t="shared" si="1"/>
        <v>2000</v>
      </c>
    </row>
    <row r="44" spans="1:10" s="241" customFormat="1" hidden="1" x14ac:dyDescent="0.2">
      <c r="A44" s="117">
        <v>15310</v>
      </c>
      <c r="B44" s="694" t="s">
        <v>645</v>
      </c>
      <c r="C44" s="709">
        <v>0</v>
      </c>
      <c r="D44" s="608">
        <v>0</v>
      </c>
      <c r="E44" s="608">
        <v>0</v>
      </c>
      <c r="F44" s="710">
        <v>0</v>
      </c>
      <c r="G44" s="699"/>
      <c r="H44" s="714"/>
      <c r="I44" s="722">
        <v>0</v>
      </c>
      <c r="J44" s="719">
        <f t="shared" si="1"/>
        <v>0</v>
      </c>
    </row>
    <row r="45" spans="1:10" s="241" customFormat="1" x14ac:dyDescent="0.2">
      <c r="A45" s="117">
        <v>15312</v>
      </c>
      <c r="B45" s="694" t="s">
        <v>646</v>
      </c>
      <c r="C45" s="709">
        <v>0</v>
      </c>
      <c r="D45" s="608">
        <v>0</v>
      </c>
      <c r="E45" s="608">
        <v>0</v>
      </c>
      <c r="F45" s="710">
        <v>0</v>
      </c>
      <c r="G45" s="699">
        <v>5.72</v>
      </c>
      <c r="H45" s="609"/>
      <c r="I45" s="723">
        <v>0</v>
      </c>
      <c r="J45" s="719">
        <f t="shared" si="1"/>
        <v>5.72</v>
      </c>
    </row>
    <row r="46" spans="1:10" s="241" customFormat="1" ht="13.5" hidden="1" customHeight="1" x14ac:dyDescent="0.2">
      <c r="A46" s="117">
        <v>15314</v>
      </c>
      <c r="B46" s="694" t="s">
        <v>647</v>
      </c>
      <c r="C46" s="707"/>
      <c r="D46" s="318"/>
      <c r="E46" s="318"/>
      <c r="F46" s="706"/>
      <c r="G46" s="699"/>
      <c r="H46" s="609"/>
      <c r="I46" s="723"/>
      <c r="J46" s="719"/>
    </row>
    <row r="47" spans="1:10" s="241" customFormat="1" x14ac:dyDescent="0.2">
      <c r="A47" s="147">
        <v>154</v>
      </c>
      <c r="B47" s="693" t="s">
        <v>458</v>
      </c>
      <c r="C47" s="705">
        <f>SUM(C48)</f>
        <v>0</v>
      </c>
      <c r="D47" s="317">
        <f>SUM(D51)</f>
        <v>0</v>
      </c>
      <c r="E47" s="317">
        <f>SUM(E51)</f>
        <v>0</v>
      </c>
      <c r="F47" s="708">
        <v>0</v>
      </c>
      <c r="G47" s="698">
        <f>SUM(G48)</f>
        <v>0</v>
      </c>
      <c r="H47" s="714">
        <f>SUM(H51)</f>
        <v>0</v>
      </c>
      <c r="I47" s="722">
        <f>SUM(I51)</f>
        <v>0</v>
      </c>
      <c r="J47" s="718">
        <f>I47+G47</f>
        <v>0</v>
      </c>
    </row>
    <row r="48" spans="1:10" s="241" customFormat="1" x14ac:dyDescent="0.2">
      <c r="A48" s="117">
        <v>15402</v>
      </c>
      <c r="B48" s="694" t="s">
        <v>648</v>
      </c>
      <c r="C48" s="709">
        <v>0</v>
      </c>
      <c r="D48" s="608">
        <v>0</v>
      </c>
      <c r="E48" s="608">
        <v>0</v>
      </c>
      <c r="F48" s="710">
        <v>0</v>
      </c>
      <c r="G48" s="699">
        <v>0</v>
      </c>
      <c r="H48" s="714"/>
      <c r="I48" s="722">
        <v>0</v>
      </c>
      <c r="J48" s="719">
        <f>I48+G48</f>
        <v>0</v>
      </c>
    </row>
    <row r="49" spans="1:10" s="241" customFormat="1" x14ac:dyDescent="0.2">
      <c r="A49" s="147">
        <v>157</v>
      </c>
      <c r="B49" s="693" t="s">
        <v>344</v>
      </c>
      <c r="C49" s="705">
        <f>C50</f>
        <v>0</v>
      </c>
      <c r="D49" s="317">
        <f>D50</f>
        <v>0</v>
      </c>
      <c r="E49" s="317">
        <f>E50</f>
        <v>0</v>
      </c>
      <c r="F49" s="708">
        <v>0</v>
      </c>
      <c r="G49" s="698">
        <f>G50</f>
        <v>50</v>
      </c>
      <c r="H49" s="714">
        <f>H50</f>
        <v>0</v>
      </c>
      <c r="I49" s="722">
        <f>I50</f>
        <v>0</v>
      </c>
      <c r="J49" s="719">
        <f>I49+G49</f>
        <v>50</v>
      </c>
    </row>
    <row r="50" spans="1:10" s="241" customFormat="1" x14ac:dyDescent="0.2">
      <c r="A50" s="117">
        <v>15703</v>
      </c>
      <c r="B50" s="694" t="s">
        <v>649</v>
      </c>
      <c r="C50" s="707">
        <v>0</v>
      </c>
      <c r="D50" s="318">
        <v>0</v>
      </c>
      <c r="E50" s="318">
        <v>0</v>
      </c>
      <c r="F50" s="706">
        <v>0</v>
      </c>
      <c r="G50" s="699">
        <v>50</v>
      </c>
      <c r="H50" s="609">
        <v>0</v>
      </c>
      <c r="I50" s="723">
        <v>0</v>
      </c>
      <c r="J50" s="719">
        <f>+I50+G50</f>
        <v>50</v>
      </c>
    </row>
    <row r="51" spans="1:10" s="241" customFormat="1" x14ac:dyDescent="0.2">
      <c r="A51" s="147">
        <v>16</v>
      </c>
      <c r="B51" s="693" t="s">
        <v>98</v>
      </c>
      <c r="C51" s="705">
        <f t="shared" ref="C51:I52" si="2">C52</f>
        <v>317404.33</v>
      </c>
      <c r="D51" s="317">
        <f t="shared" si="2"/>
        <v>0</v>
      </c>
      <c r="E51" s="317">
        <f t="shared" si="2"/>
        <v>0</v>
      </c>
      <c r="F51" s="708">
        <f t="shared" si="2"/>
        <v>317404.33</v>
      </c>
      <c r="G51" s="698">
        <f t="shared" si="2"/>
        <v>0</v>
      </c>
      <c r="H51" s="714">
        <f t="shared" si="2"/>
        <v>0</v>
      </c>
      <c r="I51" s="722">
        <f t="shared" si="2"/>
        <v>0</v>
      </c>
      <c r="J51" s="718">
        <f>G51+F51</f>
        <v>317404.33</v>
      </c>
    </row>
    <row r="52" spans="1:10" s="241" customFormat="1" x14ac:dyDescent="0.2">
      <c r="A52" s="147">
        <v>162</v>
      </c>
      <c r="B52" s="693" t="s">
        <v>345</v>
      </c>
      <c r="C52" s="705">
        <f t="shared" si="2"/>
        <v>317404.33</v>
      </c>
      <c r="D52" s="317">
        <f t="shared" si="2"/>
        <v>0</v>
      </c>
      <c r="E52" s="317">
        <f t="shared" si="2"/>
        <v>0</v>
      </c>
      <c r="F52" s="708">
        <f t="shared" si="2"/>
        <v>317404.33</v>
      </c>
      <c r="G52" s="698">
        <f t="shared" si="2"/>
        <v>0</v>
      </c>
      <c r="H52" s="714">
        <f t="shared" si="2"/>
        <v>0</v>
      </c>
      <c r="I52" s="722">
        <f t="shared" si="2"/>
        <v>0</v>
      </c>
      <c r="J52" s="718">
        <f>J53</f>
        <v>317404.33</v>
      </c>
    </row>
    <row r="53" spans="1:10" s="241" customFormat="1" x14ac:dyDescent="0.2">
      <c r="A53" s="117">
        <v>16201</v>
      </c>
      <c r="B53" s="694" t="s">
        <v>650</v>
      </c>
      <c r="C53" s="707">
        <f>(26450.36*11)+26450.37</f>
        <v>317404.33</v>
      </c>
      <c r="D53" s="318">
        <v>0</v>
      </c>
      <c r="E53" s="318">
        <v>0</v>
      </c>
      <c r="F53" s="706">
        <f>E53+D53+C53</f>
        <v>317404.33</v>
      </c>
      <c r="G53" s="699">
        <v>0</v>
      </c>
      <c r="H53" s="609"/>
      <c r="I53" s="723">
        <v>0</v>
      </c>
      <c r="J53" s="719">
        <f>G53+F53</f>
        <v>317404.33</v>
      </c>
    </row>
    <row r="54" spans="1:10" s="241" customFormat="1" x14ac:dyDescent="0.2">
      <c r="A54" s="147">
        <v>163</v>
      </c>
      <c r="B54" s="693" t="s">
        <v>651</v>
      </c>
      <c r="C54" s="705">
        <v>0</v>
      </c>
      <c r="D54" s="317">
        <v>0</v>
      </c>
      <c r="E54" s="317">
        <v>0</v>
      </c>
      <c r="F54" s="708">
        <v>0</v>
      </c>
      <c r="G54" s="698">
        <v>0</v>
      </c>
      <c r="H54" s="714">
        <v>0</v>
      </c>
      <c r="I54" s="722">
        <v>0</v>
      </c>
      <c r="J54" s="718">
        <v>0</v>
      </c>
    </row>
    <row r="55" spans="1:10" s="241" customFormat="1" x14ac:dyDescent="0.2">
      <c r="A55" s="117">
        <v>16304</v>
      </c>
      <c r="B55" s="694" t="s">
        <v>652</v>
      </c>
      <c r="C55" s="707">
        <v>0</v>
      </c>
      <c r="D55" s="318">
        <v>0</v>
      </c>
      <c r="E55" s="318">
        <v>0</v>
      </c>
      <c r="F55" s="706"/>
      <c r="G55" s="699"/>
      <c r="H55" s="609"/>
      <c r="I55" s="723">
        <v>0</v>
      </c>
      <c r="J55" s="719"/>
    </row>
    <row r="56" spans="1:10" s="241" customFormat="1" x14ac:dyDescent="0.2">
      <c r="A56" s="147">
        <v>21</v>
      </c>
      <c r="B56" s="693" t="s">
        <v>653</v>
      </c>
      <c r="C56" s="705">
        <v>0</v>
      </c>
      <c r="D56" s="317">
        <v>0</v>
      </c>
      <c r="E56" s="317">
        <v>0</v>
      </c>
      <c r="F56" s="708">
        <v>0</v>
      </c>
      <c r="G56" s="698">
        <f>+G57</f>
        <v>0</v>
      </c>
      <c r="H56" s="609"/>
      <c r="I56" s="722">
        <v>0</v>
      </c>
      <c r="J56" s="718">
        <v>0</v>
      </c>
    </row>
    <row r="57" spans="1:10" s="241" customFormat="1" x14ac:dyDescent="0.2">
      <c r="A57" s="117">
        <v>212</v>
      </c>
      <c r="B57" s="694" t="s">
        <v>654</v>
      </c>
      <c r="C57" s="707">
        <v>0</v>
      </c>
      <c r="D57" s="318">
        <v>0</v>
      </c>
      <c r="E57" s="318">
        <v>0</v>
      </c>
      <c r="F57" s="706">
        <v>0</v>
      </c>
      <c r="G57" s="699">
        <v>0</v>
      </c>
      <c r="H57" s="609">
        <v>0</v>
      </c>
      <c r="I57" s="723">
        <v>0</v>
      </c>
      <c r="J57" s="719">
        <v>0</v>
      </c>
    </row>
    <row r="58" spans="1:10" s="241" customFormat="1" x14ac:dyDescent="0.2">
      <c r="A58" s="117">
        <v>21201</v>
      </c>
      <c r="B58" s="694" t="s">
        <v>655</v>
      </c>
      <c r="C58" s="707">
        <v>0</v>
      </c>
      <c r="D58" s="318">
        <v>0</v>
      </c>
      <c r="E58" s="318">
        <v>0</v>
      </c>
      <c r="F58" s="706">
        <v>0</v>
      </c>
      <c r="G58" s="699">
        <v>0</v>
      </c>
      <c r="H58" s="609">
        <v>0</v>
      </c>
      <c r="I58" s="723">
        <v>0</v>
      </c>
      <c r="J58" s="719">
        <v>0</v>
      </c>
    </row>
    <row r="59" spans="1:10" s="241" customFormat="1" x14ac:dyDescent="0.2">
      <c r="A59" s="147">
        <v>22</v>
      </c>
      <c r="B59" s="693" t="s">
        <v>12</v>
      </c>
      <c r="C59" s="705">
        <f t="shared" ref="C59:J59" si="3">C60</f>
        <v>0</v>
      </c>
      <c r="D59" s="317">
        <f t="shared" si="3"/>
        <v>952213</v>
      </c>
      <c r="E59" s="317">
        <f t="shared" si="3"/>
        <v>0</v>
      </c>
      <c r="F59" s="708">
        <f t="shared" si="3"/>
        <v>952213</v>
      </c>
      <c r="G59" s="698">
        <f t="shared" si="3"/>
        <v>0</v>
      </c>
      <c r="H59" s="714">
        <f t="shared" si="3"/>
        <v>0</v>
      </c>
      <c r="I59" s="722">
        <f t="shared" si="3"/>
        <v>0</v>
      </c>
      <c r="J59" s="718">
        <f t="shared" si="3"/>
        <v>952213</v>
      </c>
    </row>
    <row r="60" spans="1:10" s="241" customFormat="1" x14ac:dyDescent="0.2">
      <c r="A60" s="147">
        <v>222</v>
      </c>
      <c r="B60" s="693" t="s">
        <v>346</v>
      </c>
      <c r="C60" s="705">
        <f t="shared" ref="C60:I60" si="4">C61</f>
        <v>0</v>
      </c>
      <c r="D60" s="317">
        <f t="shared" si="4"/>
        <v>952213</v>
      </c>
      <c r="E60" s="317">
        <f t="shared" si="4"/>
        <v>0</v>
      </c>
      <c r="F60" s="708">
        <f t="shared" si="4"/>
        <v>952213</v>
      </c>
      <c r="G60" s="698">
        <f t="shared" si="4"/>
        <v>0</v>
      </c>
      <c r="H60" s="714">
        <f t="shared" si="4"/>
        <v>0</v>
      </c>
      <c r="I60" s="722">
        <f t="shared" si="4"/>
        <v>0</v>
      </c>
      <c r="J60" s="718">
        <f>I60+G60+F60</f>
        <v>952213</v>
      </c>
    </row>
    <row r="61" spans="1:10" s="241" customFormat="1" x14ac:dyDescent="0.2">
      <c r="A61" s="117">
        <v>22201</v>
      </c>
      <c r="B61" s="694" t="s">
        <v>656</v>
      </c>
      <c r="C61" s="707">
        <v>0</v>
      </c>
      <c r="D61" s="318">
        <f>(79351.08*11)+79351.12</f>
        <v>952213</v>
      </c>
      <c r="E61" s="318">
        <v>0</v>
      </c>
      <c r="F61" s="706">
        <f>D61</f>
        <v>952213</v>
      </c>
      <c r="G61" s="699">
        <v>0</v>
      </c>
      <c r="H61" s="609"/>
      <c r="I61" s="723">
        <v>0</v>
      </c>
      <c r="J61" s="719">
        <f>+I61+G61+F61+H61</f>
        <v>952213</v>
      </c>
    </row>
    <row r="62" spans="1:10" s="241" customFormat="1" x14ac:dyDescent="0.2">
      <c r="A62" s="147">
        <v>31</v>
      </c>
      <c r="B62" s="693" t="s">
        <v>347</v>
      </c>
      <c r="C62" s="705">
        <f t="shared" ref="C62:E63" si="5">C63</f>
        <v>0</v>
      </c>
      <c r="D62" s="317">
        <f t="shared" si="5"/>
        <v>0</v>
      </c>
      <c r="E62" s="317">
        <f t="shared" si="5"/>
        <v>0</v>
      </c>
      <c r="F62" s="708">
        <v>0</v>
      </c>
      <c r="G62" s="698">
        <f t="shared" ref="G62:I63" si="6">G63</f>
        <v>0</v>
      </c>
      <c r="H62" s="714">
        <f t="shared" si="6"/>
        <v>0</v>
      </c>
      <c r="I62" s="722">
        <v>0</v>
      </c>
      <c r="J62" s="718">
        <f>I62+G62</f>
        <v>0</v>
      </c>
    </row>
    <row r="63" spans="1:10" s="241" customFormat="1" x14ac:dyDescent="0.2">
      <c r="A63" s="147">
        <v>313</v>
      </c>
      <c r="B63" s="693" t="s">
        <v>348</v>
      </c>
      <c r="C63" s="705">
        <f t="shared" si="5"/>
        <v>0</v>
      </c>
      <c r="D63" s="317">
        <f t="shared" si="5"/>
        <v>0</v>
      </c>
      <c r="E63" s="317">
        <f t="shared" si="5"/>
        <v>0</v>
      </c>
      <c r="F63" s="708">
        <v>0</v>
      </c>
      <c r="G63" s="698">
        <f t="shared" si="6"/>
        <v>0</v>
      </c>
      <c r="H63" s="714">
        <f t="shared" si="6"/>
        <v>0</v>
      </c>
      <c r="I63" s="722">
        <f t="shared" si="6"/>
        <v>0</v>
      </c>
      <c r="J63" s="719">
        <f>+I63+G63</f>
        <v>0</v>
      </c>
    </row>
    <row r="64" spans="1:10" s="241" customFormat="1" x14ac:dyDescent="0.2">
      <c r="A64" s="117">
        <v>31308</v>
      </c>
      <c r="B64" s="694" t="s">
        <v>242</v>
      </c>
      <c r="C64" s="707">
        <v>0</v>
      </c>
      <c r="D64" s="318">
        <v>0</v>
      </c>
      <c r="E64" s="318">
        <v>0</v>
      </c>
      <c r="F64" s="706">
        <v>0</v>
      </c>
      <c r="G64" s="699">
        <v>0</v>
      </c>
      <c r="H64" s="609">
        <v>0</v>
      </c>
      <c r="I64" s="723">
        <v>0</v>
      </c>
      <c r="J64" s="719">
        <v>0</v>
      </c>
    </row>
    <row r="65" spans="1:11" s="241" customFormat="1" x14ac:dyDescent="0.2">
      <c r="A65" s="147">
        <v>32</v>
      </c>
      <c r="B65" s="693" t="s">
        <v>13</v>
      </c>
      <c r="C65" s="705">
        <f>C66+C68</f>
        <v>24489.120000000003</v>
      </c>
      <c r="D65" s="317">
        <f>D66+D68</f>
        <v>147829.41</v>
      </c>
      <c r="E65" s="317">
        <f>E66</f>
        <v>14973.19</v>
      </c>
      <c r="F65" s="708">
        <f>+F66</f>
        <v>90879.47</v>
      </c>
      <c r="G65" s="698">
        <f>G66+G68</f>
        <v>17411.685000000001</v>
      </c>
      <c r="H65" s="714">
        <f>H66</f>
        <v>0</v>
      </c>
      <c r="I65" s="722">
        <f>I66</f>
        <v>581.32000000000005</v>
      </c>
      <c r="J65" s="718">
        <f>+J66+J68</f>
        <v>205284.72500000001</v>
      </c>
    </row>
    <row r="66" spans="1:11" s="241" customFormat="1" x14ac:dyDescent="0.2">
      <c r="A66" s="147">
        <v>321</v>
      </c>
      <c r="B66" s="693" t="s">
        <v>349</v>
      </c>
      <c r="C66" s="705">
        <f>C67</f>
        <v>386.06</v>
      </c>
      <c r="D66" s="317">
        <f>+D67</f>
        <v>75520.22</v>
      </c>
      <c r="E66" s="317">
        <f>E67</f>
        <v>14973.19</v>
      </c>
      <c r="F66" s="708">
        <f>+F67</f>
        <v>90879.47</v>
      </c>
      <c r="G66" s="698">
        <f>G67</f>
        <v>943.73</v>
      </c>
      <c r="H66" s="714">
        <f>H67</f>
        <v>0</v>
      </c>
      <c r="I66" s="722">
        <f>I67</f>
        <v>581.32000000000005</v>
      </c>
      <c r="J66" s="718">
        <f>+J67</f>
        <v>92404.52</v>
      </c>
    </row>
    <row r="67" spans="1:11" s="241" customFormat="1" x14ac:dyDescent="0.2">
      <c r="A67" s="117">
        <v>32102</v>
      </c>
      <c r="B67" s="728" t="s">
        <v>702</v>
      </c>
      <c r="C67" s="711">
        <f>385.56+0.5</f>
        <v>386.06</v>
      </c>
      <c r="D67" s="318">
        <f>9920.4+7223.64+711.88+838.52+79.31+1154.01+1316.1+80.1+1336.15+10938.1+322.01+41600</f>
        <v>75520.22</v>
      </c>
      <c r="E67" s="318">
        <f>97.74+2415.26+12460.19</f>
        <v>14973.19</v>
      </c>
      <c r="F67" s="706">
        <f>+D67+C67+E67</f>
        <v>90879.47</v>
      </c>
      <c r="G67" s="699">
        <f>935.37+8.36</f>
        <v>943.73</v>
      </c>
      <c r="H67" s="609"/>
      <c r="I67" s="723">
        <f>1+580.32</f>
        <v>581.32000000000005</v>
      </c>
      <c r="J67" s="719">
        <f>+I67+G67+F67+H67</f>
        <v>92404.52</v>
      </c>
    </row>
    <row r="68" spans="1:11" s="241" customFormat="1" x14ac:dyDescent="0.2">
      <c r="A68" s="147">
        <v>322</v>
      </c>
      <c r="B68" s="693" t="s">
        <v>350</v>
      </c>
      <c r="C68" s="705">
        <f>C69</f>
        <v>24103.06</v>
      </c>
      <c r="D68" s="317">
        <f>D69</f>
        <v>72309.19</v>
      </c>
      <c r="E68" s="317">
        <f>E69</f>
        <v>0</v>
      </c>
      <c r="F68" s="708">
        <f>+F69</f>
        <v>96412.25</v>
      </c>
      <c r="G68" s="698">
        <f>G69</f>
        <v>16467.955000000002</v>
      </c>
      <c r="H68" s="714">
        <f>H69</f>
        <v>0</v>
      </c>
      <c r="I68" s="722">
        <f>I69</f>
        <v>0</v>
      </c>
      <c r="J68" s="718">
        <f>F68+I68+G68</f>
        <v>112880.205</v>
      </c>
    </row>
    <row r="69" spans="1:11" s="241" customFormat="1" ht="13.5" thickBot="1" x14ac:dyDescent="0.25">
      <c r="A69" s="148">
        <v>32201</v>
      </c>
      <c r="B69" s="696" t="s">
        <v>350</v>
      </c>
      <c r="C69" s="712">
        <v>24103.06</v>
      </c>
      <c r="D69" s="686">
        <v>72309.19</v>
      </c>
      <c r="E69" s="319">
        <v>0</v>
      </c>
      <c r="F69" s="706">
        <f>+D69+C69+E69</f>
        <v>96412.25</v>
      </c>
      <c r="G69" s="700">
        <f>65871.82*25%</f>
        <v>16467.955000000002</v>
      </c>
      <c r="H69" s="715"/>
      <c r="I69" s="724">
        <v>0</v>
      </c>
      <c r="J69" s="719">
        <f>+I69+G69+F69+H69</f>
        <v>112880.205</v>
      </c>
    </row>
    <row r="70" spans="1:11" s="241" customFormat="1" ht="13.5" thickBot="1" x14ac:dyDescent="0.25">
      <c r="A70" s="989" t="s">
        <v>657</v>
      </c>
      <c r="B70" s="990"/>
      <c r="C70" s="320">
        <f>C8+C17+C34+C38+C51+C56+C59+C62+C65</f>
        <v>341893.45</v>
      </c>
      <c r="D70" s="320">
        <f>D8+D17+D34+D38+D51+D56+D59+D62+D65</f>
        <v>1100042.4099999999</v>
      </c>
      <c r="E70" s="320">
        <f>E8+E17+E34+E38+E51+E56+E59+E62+E65</f>
        <v>14973.19</v>
      </c>
      <c r="F70" s="320">
        <f>SUM(C70:E70)</f>
        <v>1456909.0499999998</v>
      </c>
      <c r="G70" s="701">
        <f>G65+G38+G34+G17+G8</f>
        <v>256787.29900000003</v>
      </c>
      <c r="H70" s="716">
        <f>H8+H17+H34+H38+H51+H56+H59+H62+H65</f>
        <v>0</v>
      </c>
      <c r="I70" s="320">
        <f>I8+I17+I34+I38+I51+I56+I59+I62+I65</f>
        <v>581.32000000000005</v>
      </c>
      <c r="J70" s="720">
        <f>+J65+J59+J51+J38+J34+J17+J8</f>
        <v>1714277.6690000002</v>
      </c>
    </row>
    <row r="71" spans="1:11" s="241" customFormat="1" ht="13.5" thickBot="1" x14ac:dyDescent="0.25">
      <c r="A71" s="989" t="s">
        <v>351</v>
      </c>
      <c r="B71" s="990"/>
      <c r="C71" s="320">
        <f t="shared" ref="C71:J71" si="7">+C70</f>
        <v>341893.45</v>
      </c>
      <c r="D71" s="320">
        <f t="shared" si="7"/>
        <v>1100042.4099999999</v>
      </c>
      <c r="E71" s="320">
        <f t="shared" si="7"/>
        <v>14973.19</v>
      </c>
      <c r="F71" s="320">
        <f t="shared" si="7"/>
        <v>1456909.0499999998</v>
      </c>
      <c r="G71" s="701">
        <f>+G70</f>
        <v>256787.29900000003</v>
      </c>
      <c r="H71" s="716">
        <f>+H70</f>
        <v>0</v>
      </c>
      <c r="I71" s="320">
        <f t="shared" si="7"/>
        <v>581.32000000000005</v>
      </c>
      <c r="J71" s="720">
        <f t="shared" si="7"/>
        <v>1714277.6690000002</v>
      </c>
      <c r="K71" s="606"/>
    </row>
    <row r="73" spans="1:11" x14ac:dyDescent="0.2">
      <c r="D73" s="322"/>
      <c r="E73" s="606"/>
      <c r="J73" s="610"/>
      <c r="K73" s="611"/>
    </row>
    <row r="74" spans="1:11" x14ac:dyDescent="0.2">
      <c r="D74" s="323"/>
      <c r="H74" s="981"/>
      <c r="I74" s="981"/>
      <c r="J74" s="610"/>
      <c r="K74" s="611"/>
    </row>
    <row r="75" spans="1:11" x14ac:dyDescent="0.2">
      <c r="D75" s="383"/>
      <c r="I75" s="981"/>
      <c r="J75" s="981"/>
      <c r="K75" s="612"/>
    </row>
    <row r="76" spans="1:11" x14ac:dyDescent="0.2">
      <c r="J76" s="324"/>
    </row>
  </sheetData>
  <mergeCells count="15">
    <mergeCell ref="A1:J3"/>
    <mergeCell ref="J5:J7"/>
    <mergeCell ref="G5:G7"/>
    <mergeCell ref="C5:F5"/>
    <mergeCell ref="F6:F7"/>
    <mergeCell ref="A70:B70"/>
    <mergeCell ref="A71:B71"/>
    <mergeCell ref="I5:I7"/>
    <mergeCell ref="A5:A7"/>
    <mergeCell ref="B5:B7"/>
    <mergeCell ref="I75:J75"/>
    <mergeCell ref="H74:I74"/>
    <mergeCell ref="C6:D6"/>
    <mergeCell ref="E6:E7"/>
    <mergeCell ref="H5:H7"/>
  </mergeCells>
  <phoneticPr fontId="6" type="noConversion"/>
  <pageMargins left="0.11811023622047245" right="0.11811023622047245" top="0.55118110236220474" bottom="0.55118110236220474" header="0" footer="0"/>
  <pageSetup scale="80" orientation="landscape" horizont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U65"/>
  <sheetViews>
    <sheetView showGridLines="0" zoomScaleNormal="100" workbookViewId="0">
      <selection activeCell="C7" sqref="C7"/>
    </sheetView>
  </sheetViews>
  <sheetFormatPr baseColWidth="10" defaultColWidth="9.140625" defaultRowHeight="12.75" x14ac:dyDescent="0.2"/>
  <cols>
    <col min="1" max="2" width="4.28515625" style="118" customWidth="1"/>
    <col min="3" max="3" width="30.140625" style="118" customWidth="1"/>
    <col min="4" max="4" width="17.7109375" style="118" customWidth="1"/>
    <col min="5" max="5" width="16.5703125" style="118" customWidth="1"/>
    <col min="6" max="6" width="15.140625" style="118" customWidth="1"/>
    <col min="7" max="7" width="9.140625" style="118" customWidth="1"/>
    <col min="8" max="8" width="11.28515625" style="118" customWidth="1"/>
    <col min="9" max="9" width="12.42578125" style="118" customWidth="1"/>
    <col min="10" max="10" width="12" style="118" customWidth="1"/>
    <col min="11" max="11" width="15.42578125" style="118" customWidth="1"/>
    <col min="12" max="16" width="9.140625" style="118" hidden="1" customWidth="1"/>
    <col min="17" max="17" width="10" style="118" hidden="1" customWidth="1"/>
    <col min="18" max="18" width="9.140625" style="118" hidden="1" customWidth="1"/>
    <col min="19" max="16384" width="9.140625" style="118"/>
  </cols>
  <sheetData>
    <row r="2" spans="3:21" ht="12.75" customHeight="1" x14ac:dyDescent="0.2">
      <c r="C2" s="1009" t="s">
        <v>589</v>
      </c>
      <c r="D2" s="1009"/>
      <c r="E2" s="1009"/>
      <c r="F2" s="1009"/>
      <c r="G2" s="1009"/>
      <c r="H2" s="1009"/>
      <c r="I2" s="1009"/>
      <c r="J2" s="1009"/>
      <c r="K2" s="1009"/>
      <c r="L2" s="1009"/>
      <c r="M2" s="34"/>
      <c r="N2" s="34"/>
      <c r="O2" s="34"/>
      <c r="P2" s="34"/>
      <c r="Q2" s="34"/>
      <c r="R2" s="34"/>
    </row>
    <row r="3" spans="3:21" ht="46.5" customHeight="1" thickBot="1" x14ac:dyDescent="0.25">
      <c r="C3" s="1010"/>
      <c r="D3" s="1010"/>
      <c r="E3" s="1010"/>
      <c r="F3" s="1010"/>
      <c r="G3" s="1010"/>
      <c r="H3" s="1010"/>
      <c r="I3" s="1010"/>
      <c r="J3" s="1010"/>
      <c r="K3" s="1010"/>
      <c r="L3" s="1010"/>
      <c r="M3" s="34"/>
      <c r="N3" s="34"/>
      <c r="O3" s="34"/>
      <c r="P3" s="34"/>
      <c r="Q3" s="34"/>
      <c r="R3" s="34"/>
    </row>
    <row r="4" spans="3:21" s="134" customFormat="1" ht="51" customHeight="1" thickBot="1" x14ac:dyDescent="0.25">
      <c r="C4" s="1014" t="s">
        <v>15</v>
      </c>
      <c r="D4" s="1014" t="s">
        <v>16</v>
      </c>
      <c r="E4" s="1014" t="s">
        <v>17</v>
      </c>
      <c r="F4" s="1014" t="s">
        <v>352</v>
      </c>
      <c r="G4" s="1014" t="s">
        <v>353</v>
      </c>
      <c r="H4" s="1014" t="s">
        <v>354</v>
      </c>
      <c r="I4" s="1014"/>
      <c r="J4" s="1014" t="s">
        <v>19</v>
      </c>
      <c r="K4" s="1014"/>
      <c r="L4" s="1024" t="s">
        <v>355</v>
      </c>
      <c r="M4" s="1014"/>
      <c r="N4" s="1014"/>
      <c r="O4" s="1014"/>
      <c r="P4" s="1014"/>
      <c r="Q4" s="1014" t="s">
        <v>356</v>
      </c>
      <c r="R4" s="1014" t="s">
        <v>357</v>
      </c>
    </row>
    <row r="5" spans="3:21" s="134" customFormat="1" ht="36.75" customHeight="1" thickBot="1" x14ac:dyDescent="0.25">
      <c r="C5" s="1014"/>
      <c r="D5" s="1014"/>
      <c r="E5" s="1014"/>
      <c r="F5" s="1014"/>
      <c r="G5" s="1014"/>
      <c r="H5" s="1014" t="s">
        <v>411</v>
      </c>
      <c r="I5" s="1014" t="s">
        <v>18</v>
      </c>
      <c r="J5" s="1014" t="s">
        <v>358</v>
      </c>
      <c r="K5" s="991" t="s">
        <v>578</v>
      </c>
      <c r="L5" s="142" t="s">
        <v>359</v>
      </c>
      <c r="M5" s="1014" t="s">
        <v>360</v>
      </c>
      <c r="N5" s="1014"/>
      <c r="O5" s="1014"/>
      <c r="P5" s="1014"/>
      <c r="Q5" s="1014"/>
      <c r="R5" s="1014"/>
    </row>
    <row r="6" spans="3:21" s="134" customFormat="1" ht="12" customHeight="1" thickBot="1" x14ac:dyDescent="0.25">
      <c r="C6" s="1014"/>
      <c r="D6" s="1014"/>
      <c r="E6" s="1014"/>
      <c r="F6" s="1014"/>
      <c r="G6" s="1014"/>
      <c r="H6" s="1014"/>
      <c r="I6" s="1014"/>
      <c r="J6" s="1014"/>
      <c r="K6" s="993"/>
      <c r="L6" s="142" t="s">
        <v>361</v>
      </c>
      <c r="M6" s="116" t="s">
        <v>362</v>
      </c>
      <c r="N6" s="116" t="s">
        <v>21</v>
      </c>
      <c r="O6" s="116" t="s">
        <v>363</v>
      </c>
      <c r="P6" s="116" t="s">
        <v>364</v>
      </c>
      <c r="Q6" s="1014"/>
      <c r="R6" s="1014"/>
    </row>
    <row r="7" spans="3:21" s="134" customFormat="1" ht="31.5" customHeight="1" thickBot="1" x14ac:dyDescent="0.25">
      <c r="C7" s="451"/>
      <c r="D7" s="467"/>
      <c r="E7" s="452"/>
      <c r="F7" s="452" t="s">
        <v>354</v>
      </c>
      <c r="G7" s="607" t="s">
        <v>22</v>
      </c>
      <c r="H7" s="453">
        <v>791</v>
      </c>
      <c r="I7" s="453">
        <f>H7*12</f>
        <v>9492</v>
      </c>
      <c r="J7" s="453">
        <v>791</v>
      </c>
      <c r="K7" s="454">
        <f>+J7+I7</f>
        <v>10283</v>
      </c>
      <c r="L7" s="152">
        <v>0</v>
      </c>
      <c r="M7" s="151"/>
      <c r="N7" s="151">
        <v>0</v>
      </c>
      <c r="O7" s="151"/>
      <c r="P7" s="151">
        <v>0</v>
      </c>
      <c r="Q7" s="151">
        <v>0</v>
      </c>
      <c r="R7" s="151"/>
      <c r="T7" s="121"/>
      <c r="U7" s="153"/>
    </row>
    <row r="8" spans="3:21" s="134" customFormat="1" ht="42" hidden="1" customHeight="1" thickBot="1" x14ac:dyDescent="0.25">
      <c r="C8" s="455"/>
      <c r="D8" s="456"/>
      <c r="E8" s="456"/>
      <c r="F8" s="456"/>
      <c r="G8" s="457"/>
      <c r="H8" s="458"/>
      <c r="I8" s="458"/>
      <c r="J8" s="458"/>
      <c r="K8" s="459"/>
      <c r="L8" s="152"/>
      <c r="M8" s="151"/>
      <c r="N8" s="151"/>
      <c r="O8" s="151"/>
      <c r="P8" s="151"/>
      <c r="Q8" s="151"/>
      <c r="R8" s="151"/>
      <c r="T8" s="121"/>
      <c r="U8" s="120"/>
    </row>
    <row r="9" spans="3:21" s="134" customFormat="1" ht="14.25" customHeight="1" thickBot="1" x14ac:dyDescent="0.25">
      <c r="C9" s="1015" t="s">
        <v>400</v>
      </c>
      <c r="D9" s="1016"/>
      <c r="E9" s="1016"/>
      <c r="F9" s="1016"/>
      <c r="G9" s="1017"/>
      <c r="H9" s="460">
        <f>+H7</f>
        <v>791</v>
      </c>
      <c r="I9" s="460">
        <f t="shared" ref="I9:K9" si="0">+I7</f>
        <v>9492</v>
      </c>
      <c r="J9" s="460">
        <f t="shared" si="0"/>
        <v>791</v>
      </c>
      <c r="K9" s="595">
        <f t="shared" si="0"/>
        <v>10283</v>
      </c>
      <c r="L9" s="158">
        <f t="shared" ref="L9:R9" si="1">SUM(L7:L8)</f>
        <v>0</v>
      </c>
      <c r="M9" s="156">
        <f t="shared" si="1"/>
        <v>0</v>
      </c>
      <c r="N9" s="156">
        <f t="shared" si="1"/>
        <v>0</v>
      </c>
      <c r="O9" s="156">
        <f t="shared" si="1"/>
        <v>0</v>
      </c>
      <c r="P9" s="156">
        <f t="shared" si="1"/>
        <v>0</v>
      </c>
      <c r="Q9" s="156">
        <f t="shared" si="1"/>
        <v>0</v>
      </c>
      <c r="R9" s="156">
        <f t="shared" si="1"/>
        <v>0</v>
      </c>
    </row>
    <row r="10" spans="3:21" s="134" customFormat="1" ht="13.5" hidden="1" thickBot="1" x14ac:dyDescent="0.25">
      <c r="C10" s="159"/>
      <c r="D10" s="150" t="s">
        <v>367</v>
      </c>
      <c r="E10" s="150" t="s">
        <v>368</v>
      </c>
      <c r="F10" s="150" t="s">
        <v>28</v>
      </c>
      <c r="G10" s="160" t="s">
        <v>23</v>
      </c>
      <c r="H10" s="155"/>
      <c r="I10" s="155">
        <f t="shared" ref="I10:I17" si="2">H10*12</f>
        <v>0</v>
      </c>
      <c r="J10" s="155"/>
      <c r="K10" s="161"/>
      <c r="L10" s="154">
        <v>0</v>
      </c>
      <c r="M10" s="155"/>
      <c r="N10" s="155">
        <v>0</v>
      </c>
      <c r="O10" s="155"/>
      <c r="P10" s="155">
        <f t="shared" ref="P10:P17" si="3">SUM(M10:O10)</f>
        <v>0</v>
      </c>
      <c r="Q10" s="155">
        <f t="shared" ref="Q10:Q17" si="4">I10*0.01</f>
        <v>0</v>
      </c>
      <c r="R10" s="155"/>
    </row>
    <row r="11" spans="3:21" s="134" customFormat="1" ht="13.5" hidden="1" thickBot="1" x14ac:dyDescent="0.25">
      <c r="C11" s="159"/>
      <c r="D11" s="150" t="s">
        <v>369</v>
      </c>
      <c r="E11" s="150" t="s">
        <v>370</v>
      </c>
      <c r="F11" s="150" t="s">
        <v>28</v>
      </c>
      <c r="G11" s="160" t="s">
        <v>23</v>
      </c>
      <c r="H11" s="155"/>
      <c r="I11" s="155">
        <f t="shared" si="2"/>
        <v>0</v>
      </c>
      <c r="J11" s="155"/>
      <c r="K11" s="161"/>
      <c r="L11" s="154">
        <v>0</v>
      </c>
      <c r="M11" s="155"/>
      <c r="N11" s="155">
        <v>0</v>
      </c>
      <c r="O11" s="155"/>
      <c r="P11" s="155">
        <f t="shared" si="3"/>
        <v>0</v>
      </c>
      <c r="Q11" s="155">
        <f t="shared" si="4"/>
        <v>0</v>
      </c>
      <c r="R11" s="155"/>
    </row>
    <row r="12" spans="3:21" s="134" customFormat="1" ht="13.5" hidden="1" thickBot="1" x14ac:dyDescent="0.25">
      <c r="C12" s="159"/>
      <c r="D12" s="150" t="s">
        <v>371</v>
      </c>
      <c r="E12" s="150" t="s">
        <v>370</v>
      </c>
      <c r="F12" s="150" t="s">
        <v>28</v>
      </c>
      <c r="G12" s="160" t="s">
        <v>23</v>
      </c>
      <c r="H12" s="155"/>
      <c r="I12" s="155">
        <f t="shared" si="2"/>
        <v>0</v>
      </c>
      <c r="J12" s="155"/>
      <c r="K12" s="161"/>
      <c r="L12" s="154">
        <v>0</v>
      </c>
      <c r="M12" s="155"/>
      <c r="N12" s="155">
        <v>0</v>
      </c>
      <c r="O12" s="155"/>
      <c r="P12" s="155">
        <f t="shared" si="3"/>
        <v>0</v>
      </c>
      <c r="Q12" s="155">
        <f t="shared" si="4"/>
        <v>0</v>
      </c>
      <c r="R12" s="155"/>
    </row>
    <row r="13" spans="3:21" s="134" customFormat="1" ht="13.5" hidden="1" thickBot="1" x14ac:dyDescent="0.25">
      <c r="C13" s="159"/>
      <c r="D13" s="150" t="s">
        <v>372</v>
      </c>
      <c r="E13" s="150" t="s">
        <v>373</v>
      </c>
      <c r="F13" s="150" t="s">
        <v>28</v>
      </c>
      <c r="G13" s="160" t="s">
        <v>23</v>
      </c>
      <c r="H13" s="155"/>
      <c r="I13" s="155">
        <f t="shared" si="2"/>
        <v>0</v>
      </c>
      <c r="J13" s="155"/>
      <c r="K13" s="161"/>
      <c r="L13" s="154">
        <v>0</v>
      </c>
      <c r="M13" s="155"/>
      <c r="N13" s="155">
        <v>0</v>
      </c>
      <c r="O13" s="155"/>
      <c r="P13" s="155">
        <f t="shared" si="3"/>
        <v>0</v>
      </c>
      <c r="Q13" s="155">
        <f t="shared" si="4"/>
        <v>0</v>
      </c>
      <c r="R13" s="155"/>
    </row>
    <row r="14" spans="3:21" s="134" customFormat="1" ht="13.5" hidden="1" thickBot="1" x14ac:dyDescent="0.25">
      <c r="C14" s="159"/>
      <c r="D14" s="150" t="s">
        <v>374</v>
      </c>
      <c r="E14" s="150" t="s">
        <v>373</v>
      </c>
      <c r="F14" s="150" t="s">
        <v>28</v>
      </c>
      <c r="G14" s="160" t="s">
        <v>23</v>
      </c>
      <c r="H14" s="155"/>
      <c r="I14" s="155">
        <f t="shared" si="2"/>
        <v>0</v>
      </c>
      <c r="J14" s="155"/>
      <c r="K14" s="161"/>
      <c r="L14" s="154">
        <v>0</v>
      </c>
      <c r="M14" s="155"/>
      <c r="N14" s="155">
        <v>0</v>
      </c>
      <c r="O14" s="155"/>
      <c r="P14" s="155">
        <f t="shared" si="3"/>
        <v>0</v>
      </c>
      <c r="Q14" s="155">
        <f t="shared" si="4"/>
        <v>0</v>
      </c>
      <c r="R14" s="155"/>
    </row>
    <row r="15" spans="3:21" s="134" customFormat="1" ht="19.5" hidden="1" customHeight="1" x14ac:dyDescent="0.2">
      <c r="C15" s="159"/>
      <c r="D15" s="150" t="s">
        <v>375</v>
      </c>
      <c r="E15" s="150" t="s">
        <v>376</v>
      </c>
      <c r="F15" s="150" t="s">
        <v>28</v>
      </c>
      <c r="G15" s="160" t="s">
        <v>23</v>
      </c>
      <c r="H15" s="155"/>
      <c r="I15" s="155">
        <f t="shared" si="2"/>
        <v>0</v>
      </c>
      <c r="J15" s="155"/>
      <c r="K15" s="161"/>
      <c r="L15" s="154">
        <v>0</v>
      </c>
      <c r="M15" s="155"/>
      <c r="N15" s="155">
        <v>0</v>
      </c>
      <c r="O15" s="155"/>
      <c r="P15" s="155">
        <f t="shared" si="3"/>
        <v>0</v>
      </c>
      <c r="Q15" s="155">
        <f t="shared" si="4"/>
        <v>0</v>
      </c>
      <c r="R15" s="155"/>
    </row>
    <row r="16" spans="3:21" s="134" customFormat="1" ht="13.5" hidden="1" thickBot="1" x14ac:dyDescent="0.25">
      <c r="C16" s="159"/>
      <c r="D16" s="150" t="s">
        <v>377</v>
      </c>
      <c r="E16" s="150" t="s">
        <v>378</v>
      </c>
      <c r="F16" s="150" t="s">
        <v>28</v>
      </c>
      <c r="G16" s="160" t="s">
        <v>23</v>
      </c>
      <c r="H16" s="155"/>
      <c r="I16" s="155">
        <f t="shared" si="2"/>
        <v>0</v>
      </c>
      <c r="J16" s="155"/>
      <c r="K16" s="161"/>
      <c r="L16" s="154">
        <v>0</v>
      </c>
      <c r="M16" s="155"/>
      <c r="N16" s="155">
        <v>0</v>
      </c>
      <c r="O16" s="155"/>
      <c r="P16" s="155">
        <f t="shared" si="3"/>
        <v>0</v>
      </c>
      <c r="Q16" s="155">
        <f t="shared" si="4"/>
        <v>0</v>
      </c>
      <c r="R16" s="155"/>
    </row>
    <row r="17" spans="3:18" s="134" customFormat="1" ht="13.5" hidden="1" thickBot="1" x14ac:dyDescent="0.25">
      <c r="C17" s="159"/>
      <c r="D17" s="150" t="s">
        <v>379</v>
      </c>
      <c r="E17" s="150" t="s">
        <v>24</v>
      </c>
      <c r="F17" s="150" t="s">
        <v>28</v>
      </c>
      <c r="G17" s="160" t="s">
        <v>23</v>
      </c>
      <c r="H17" s="155"/>
      <c r="I17" s="155">
        <f t="shared" si="2"/>
        <v>0</v>
      </c>
      <c r="J17" s="155"/>
      <c r="K17" s="161"/>
      <c r="L17" s="154">
        <v>0</v>
      </c>
      <c r="M17" s="155"/>
      <c r="N17" s="155">
        <v>0</v>
      </c>
      <c r="O17" s="155"/>
      <c r="P17" s="155">
        <f t="shared" si="3"/>
        <v>0</v>
      </c>
      <c r="Q17" s="155">
        <f t="shared" si="4"/>
        <v>0</v>
      </c>
      <c r="R17" s="155"/>
    </row>
    <row r="18" spans="3:18" s="134" customFormat="1" ht="13.5" hidden="1" thickBot="1" x14ac:dyDescent="0.25">
      <c r="C18" s="1018" t="s">
        <v>380</v>
      </c>
      <c r="D18" s="1019"/>
      <c r="E18" s="1019"/>
      <c r="F18" s="1019"/>
      <c r="G18" s="1020"/>
      <c r="H18" s="156">
        <f t="shared" ref="H18:R18" si="5">SUM(H10:H17)</f>
        <v>0</v>
      </c>
      <c r="I18" s="156">
        <f t="shared" si="5"/>
        <v>0</v>
      </c>
      <c r="J18" s="156">
        <f t="shared" si="5"/>
        <v>0</v>
      </c>
      <c r="K18" s="157">
        <f t="shared" si="5"/>
        <v>0</v>
      </c>
      <c r="L18" s="158">
        <f t="shared" si="5"/>
        <v>0</v>
      </c>
      <c r="M18" s="156">
        <f t="shared" si="5"/>
        <v>0</v>
      </c>
      <c r="N18" s="156">
        <f t="shared" si="5"/>
        <v>0</v>
      </c>
      <c r="O18" s="156">
        <f t="shared" si="5"/>
        <v>0</v>
      </c>
      <c r="P18" s="156">
        <f t="shared" si="5"/>
        <v>0</v>
      </c>
      <c r="Q18" s="156">
        <f t="shared" si="5"/>
        <v>0</v>
      </c>
      <c r="R18" s="156">
        <f t="shared" si="5"/>
        <v>0</v>
      </c>
    </row>
    <row r="19" spans="3:18" s="134" customFormat="1" ht="26.25" hidden="1" thickBot="1" x14ac:dyDescent="0.25">
      <c r="C19" s="159"/>
      <c r="D19" s="150" t="s">
        <v>381</v>
      </c>
      <c r="E19" s="150" t="s">
        <v>382</v>
      </c>
      <c r="F19" s="150" t="s">
        <v>28</v>
      </c>
      <c r="G19" s="160" t="s">
        <v>26</v>
      </c>
      <c r="H19" s="155"/>
      <c r="I19" s="155">
        <f>H19*12</f>
        <v>0</v>
      </c>
      <c r="J19" s="155"/>
      <c r="K19" s="161"/>
      <c r="L19" s="154">
        <v>0</v>
      </c>
      <c r="M19" s="155"/>
      <c r="N19" s="155">
        <v>0</v>
      </c>
      <c r="O19" s="155"/>
      <c r="P19" s="155">
        <f>SUM(M19:O19)</f>
        <v>0</v>
      </c>
      <c r="Q19" s="155">
        <f>I19*0.01</f>
        <v>0</v>
      </c>
      <c r="R19" s="155"/>
    </row>
    <row r="20" spans="3:18" s="134" customFormat="1" ht="13.5" hidden="1" thickBot="1" x14ac:dyDescent="0.25">
      <c r="C20" s="1018" t="s">
        <v>383</v>
      </c>
      <c r="D20" s="1019"/>
      <c r="E20" s="1019"/>
      <c r="F20" s="1019"/>
      <c r="G20" s="1020"/>
      <c r="H20" s="156">
        <f t="shared" ref="H20:R20" si="6">SUM(H19)</f>
        <v>0</v>
      </c>
      <c r="I20" s="156">
        <f t="shared" si="6"/>
        <v>0</v>
      </c>
      <c r="J20" s="156">
        <f t="shared" si="6"/>
        <v>0</v>
      </c>
      <c r="K20" s="157">
        <f t="shared" si="6"/>
        <v>0</v>
      </c>
      <c r="L20" s="158">
        <f t="shared" si="6"/>
        <v>0</v>
      </c>
      <c r="M20" s="156">
        <f t="shared" si="6"/>
        <v>0</v>
      </c>
      <c r="N20" s="156">
        <f t="shared" si="6"/>
        <v>0</v>
      </c>
      <c r="O20" s="156">
        <f t="shared" si="6"/>
        <v>0</v>
      </c>
      <c r="P20" s="156">
        <f t="shared" si="6"/>
        <v>0</v>
      </c>
      <c r="Q20" s="156">
        <f t="shared" si="6"/>
        <v>0</v>
      </c>
      <c r="R20" s="156">
        <f t="shared" si="6"/>
        <v>0</v>
      </c>
    </row>
    <row r="21" spans="3:18" s="134" customFormat="1" ht="26.25" hidden="1" thickBot="1" x14ac:dyDescent="0.25">
      <c r="C21" s="159"/>
      <c r="D21" s="150" t="s">
        <v>384</v>
      </c>
      <c r="E21" s="150" t="s">
        <v>385</v>
      </c>
      <c r="F21" s="150" t="s">
        <v>28</v>
      </c>
      <c r="G21" s="160" t="s">
        <v>258</v>
      </c>
      <c r="H21" s="155"/>
      <c r="I21" s="155">
        <f>H21*12</f>
        <v>0</v>
      </c>
      <c r="J21" s="155"/>
      <c r="K21" s="161"/>
      <c r="L21" s="154">
        <v>0</v>
      </c>
      <c r="M21" s="155"/>
      <c r="N21" s="155">
        <v>0</v>
      </c>
      <c r="O21" s="155"/>
      <c r="P21" s="155">
        <f>SUM(M21:O21)</f>
        <v>0</v>
      </c>
      <c r="Q21" s="155">
        <f>I21*0.01</f>
        <v>0</v>
      </c>
      <c r="R21" s="155"/>
    </row>
    <row r="22" spans="3:18" s="134" customFormat="1" ht="26.25" hidden="1" thickBot="1" x14ac:dyDescent="0.25">
      <c r="C22" s="159"/>
      <c r="D22" s="150" t="s">
        <v>25</v>
      </c>
      <c r="E22" s="150" t="s">
        <v>385</v>
      </c>
      <c r="F22" s="150" t="s">
        <v>28</v>
      </c>
      <c r="G22" s="160" t="s">
        <v>258</v>
      </c>
      <c r="H22" s="155"/>
      <c r="I22" s="155">
        <f>H22*12</f>
        <v>0</v>
      </c>
      <c r="J22" s="155"/>
      <c r="K22" s="161"/>
      <c r="L22" s="154">
        <v>0</v>
      </c>
      <c r="M22" s="155"/>
      <c r="N22" s="155">
        <v>0</v>
      </c>
      <c r="O22" s="155"/>
      <c r="P22" s="155">
        <f>SUM(M22:O22)</f>
        <v>0</v>
      </c>
      <c r="Q22" s="155">
        <f>I22*0.01</f>
        <v>0</v>
      </c>
      <c r="R22" s="155"/>
    </row>
    <row r="23" spans="3:18" s="134" customFormat="1" ht="13.5" hidden="1" thickBot="1" x14ac:dyDescent="0.25">
      <c r="C23" s="159"/>
      <c r="D23" s="150" t="s">
        <v>386</v>
      </c>
      <c r="E23" s="150" t="s">
        <v>7</v>
      </c>
      <c r="F23" s="150" t="s">
        <v>28</v>
      </c>
      <c r="G23" s="160" t="s">
        <v>258</v>
      </c>
      <c r="H23" s="155"/>
      <c r="I23" s="155">
        <f>H23*12</f>
        <v>0</v>
      </c>
      <c r="J23" s="155"/>
      <c r="K23" s="161"/>
      <c r="L23" s="154">
        <v>0</v>
      </c>
      <c r="M23" s="155"/>
      <c r="N23" s="155">
        <v>0</v>
      </c>
      <c r="O23" s="155"/>
      <c r="P23" s="155">
        <f>SUM(M23:O23)</f>
        <v>0</v>
      </c>
      <c r="Q23" s="155">
        <f>I23*0.01</f>
        <v>0</v>
      </c>
      <c r="R23" s="155"/>
    </row>
    <row r="24" spans="3:18" s="134" customFormat="1" ht="13.5" hidden="1" thickBot="1" x14ac:dyDescent="0.25">
      <c r="C24" s="159"/>
      <c r="D24" s="150" t="s">
        <v>387</v>
      </c>
      <c r="E24" s="150" t="s">
        <v>388</v>
      </c>
      <c r="F24" s="150" t="s">
        <v>28</v>
      </c>
      <c r="G24" s="160" t="s">
        <v>258</v>
      </c>
      <c r="H24" s="155"/>
      <c r="I24" s="155">
        <f>H24*12</f>
        <v>0</v>
      </c>
      <c r="J24" s="155"/>
      <c r="K24" s="161"/>
      <c r="L24" s="154">
        <v>0</v>
      </c>
      <c r="M24" s="155"/>
      <c r="N24" s="155">
        <v>0</v>
      </c>
      <c r="O24" s="155"/>
      <c r="P24" s="155">
        <f>SUM(M24:O24)</f>
        <v>0</v>
      </c>
      <c r="Q24" s="155">
        <f>I24*0.01</f>
        <v>0</v>
      </c>
      <c r="R24" s="155"/>
    </row>
    <row r="25" spans="3:18" s="134" customFormat="1" ht="13.5" hidden="1" thickBot="1" x14ac:dyDescent="0.25">
      <c r="C25" s="1021" t="s">
        <v>366</v>
      </c>
      <c r="D25" s="1022"/>
      <c r="E25" s="1022"/>
      <c r="F25" s="1022"/>
      <c r="G25" s="1023"/>
      <c r="H25" s="162">
        <f t="shared" ref="H25:R25" si="7">SUM(H21:H24)</f>
        <v>0</v>
      </c>
      <c r="I25" s="162">
        <f t="shared" si="7"/>
        <v>0</v>
      </c>
      <c r="J25" s="162">
        <f t="shared" si="7"/>
        <v>0</v>
      </c>
      <c r="K25" s="163">
        <f t="shared" si="7"/>
        <v>0</v>
      </c>
      <c r="L25" s="164">
        <f t="shared" si="7"/>
        <v>0</v>
      </c>
      <c r="M25" s="162">
        <f t="shared" si="7"/>
        <v>0</v>
      </c>
      <c r="N25" s="162">
        <f t="shared" si="7"/>
        <v>0</v>
      </c>
      <c r="O25" s="162">
        <f t="shared" si="7"/>
        <v>0</v>
      </c>
      <c r="P25" s="162">
        <f t="shared" si="7"/>
        <v>0</v>
      </c>
      <c r="Q25" s="162">
        <f t="shared" si="7"/>
        <v>0</v>
      </c>
      <c r="R25" s="162">
        <f t="shared" si="7"/>
        <v>0</v>
      </c>
    </row>
    <row r="26" spans="3:18" s="134" customFormat="1" ht="13.5" thickBot="1" x14ac:dyDescent="0.25">
      <c r="C26" s="1011" t="s">
        <v>400</v>
      </c>
      <c r="D26" s="1012"/>
      <c r="E26" s="1012"/>
      <c r="F26" s="1012"/>
      <c r="G26" s="1013"/>
      <c r="H26" s="465">
        <f>+H8</f>
        <v>0</v>
      </c>
      <c r="I26" s="465">
        <f t="shared" ref="I26:K26" si="8">+I8</f>
        <v>0</v>
      </c>
      <c r="J26" s="465">
        <f t="shared" si="8"/>
        <v>0</v>
      </c>
      <c r="K26" s="466">
        <f t="shared" si="8"/>
        <v>0</v>
      </c>
      <c r="L26" s="461"/>
      <c r="M26" s="461"/>
      <c r="N26" s="461"/>
      <c r="O26" s="461"/>
      <c r="P26" s="461"/>
      <c r="Q26" s="461"/>
      <c r="R26" s="461"/>
    </row>
    <row r="27" spans="3:18" s="134" customFormat="1" ht="13.5" thickBot="1" x14ac:dyDescent="0.25">
      <c r="C27" s="1014" t="s">
        <v>389</v>
      </c>
      <c r="D27" s="1014"/>
      <c r="E27" s="1014"/>
      <c r="F27" s="1014"/>
      <c r="G27" s="1014"/>
      <c r="H27" s="462">
        <f>+H9+H26</f>
        <v>791</v>
      </c>
      <c r="I27" s="463">
        <f t="shared" ref="I27:K27" si="9">+I9+I26</f>
        <v>9492</v>
      </c>
      <c r="J27" s="463">
        <f t="shared" si="9"/>
        <v>791</v>
      </c>
      <c r="K27" s="464">
        <f t="shared" si="9"/>
        <v>10283</v>
      </c>
      <c r="L27" s="166">
        <f t="shared" ref="L27:R27" si="10">L25+L20+L18+L9</f>
        <v>0</v>
      </c>
      <c r="M27" s="165">
        <f t="shared" si="10"/>
        <v>0</v>
      </c>
      <c r="N27" s="165">
        <f t="shared" si="10"/>
        <v>0</v>
      </c>
      <c r="O27" s="165">
        <f t="shared" si="10"/>
        <v>0</v>
      </c>
      <c r="P27" s="165">
        <f t="shared" si="10"/>
        <v>0</v>
      </c>
      <c r="Q27" s="165">
        <f t="shared" si="10"/>
        <v>0</v>
      </c>
      <c r="R27" s="165">
        <f t="shared" si="10"/>
        <v>0</v>
      </c>
    </row>
    <row r="29" spans="3:18" ht="15.75" x14ac:dyDescent="0.25">
      <c r="C29" s="613"/>
    </row>
    <row r="33" spans="3:19" x14ac:dyDescent="0.2">
      <c r="D33" s="1025"/>
      <c r="E33" s="1026"/>
      <c r="F33" s="1026"/>
      <c r="G33" s="1026"/>
      <c r="H33" s="1026"/>
      <c r="I33" s="1026"/>
      <c r="J33" s="1026"/>
      <c r="K33" s="1026"/>
      <c r="L33" s="1026"/>
    </row>
    <row r="34" spans="3:19" ht="30.75" customHeight="1" x14ac:dyDescent="0.2">
      <c r="D34" s="1027"/>
      <c r="E34" s="1027"/>
      <c r="F34" s="1027"/>
      <c r="G34" s="1027"/>
      <c r="H34" s="1027"/>
      <c r="I34" s="1027"/>
      <c r="J34" s="1027"/>
      <c r="K34" s="1027"/>
      <c r="L34" s="1027"/>
    </row>
    <row r="35" spans="3:19" x14ac:dyDescent="0.2">
      <c r="C35" s="1028"/>
      <c r="D35" s="1028"/>
      <c r="E35" s="1028"/>
      <c r="F35" s="1028"/>
      <c r="G35" s="1028"/>
      <c r="H35" s="1028"/>
      <c r="I35" s="1028"/>
      <c r="J35" s="1028"/>
      <c r="K35" s="1028"/>
      <c r="L35" s="1028"/>
      <c r="M35" s="1028"/>
      <c r="N35" s="1028"/>
      <c r="O35" s="1028"/>
      <c r="P35" s="1028"/>
      <c r="Q35" s="1028"/>
      <c r="R35" s="1028"/>
      <c r="S35" s="120"/>
    </row>
    <row r="36" spans="3:19" x14ac:dyDescent="0.2">
      <c r="C36" s="1028"/>
      <c r="D36" s="1028"/>
      <c r="E36" s="1028"/>
      <c r="F36" s="1028"/>
      <c r="G36" s="1028"/>
      <c r="H36" s="1028"/>
      <c r="I36" s="1028"/>
      <c r="J36" s="1028"/>
      <c r="K36" s="1028"/>
      <c r="L36" s="119"/>
      <c r="M36" s="1028"/>
      <c r="N36" s="1028"/>
      <c r="O36" s="1028"/>
      <c r="P36" s="1028"/>
      <c r="Q36" s="1028"/>
      <c r="R36" s="1028"/>
      <c r="S36" s="120"/>
    </row>
    <row r="37" spans="3:19" x14ac:dyDescent="0.2">
      <c r="C37" s="1028"/>
      <c r="D37" s="1028"/>
      <c r="E37" s="1028"/>
      <c r="F37" s="1028"/>
      <c r="G37" s="1028"/>
      <c r="H37" s="1028"/>
      <c r="I37" s="1028"/>
      <c r="J37" s="1028"/>
      <c r="K37" s="1028"/>
      <c r="L37" s="119"/>
      <c r="M37" s="119"/>
      <c r="N37" s="119"/>
      <c r="O37" s="119"/>
      <c r="P37" s="119"/>
      <c r="Q37" s="1028"/>
      <c r="R37" s="1028"/>
      <c r="S37" s="120"/>
    </row>
    <row r="38" spans="3:19" x14ac:dyDescent="0.2">
      <c r="C38" s="120"/>
      <c r="D38" s="120"/>
      <c r="E38" s="120"/>
      <c r="F38" s="120"/>
      <c r="G38" s="120"/>
      <c r="H38" s="120"/>
      <c r="I38" s="120"/>
      <c r="J38" s="120"/>
      <c r="K38" s="120"/>
      <c r="L38" s="121"/>
      <c r="M38" s="121"/>
      <c r="N38" s="121"/>
      <c r="O38" s="121"/>
      <c r="P38" s="121"/>
      <c r="Q38" s="121"/>
      <c r="R38" s="121"/>
      <c r="S38" s="120"/>
    </row>
    <row r="39" spans="3:19" x14ac:dyDescent="0.2">
      <c r="C39" s="120"/>
      <c r="D39" s="120"/>
      <c r="E39" s="120"/>
      <c r="F39" s="120"/>
      <c r="G39" s="120"/>
      <c r="H39" s="120"/>
      <c r="I39" s="120"/>
      <c r="J39" s="120"/>
      <c r="K39" s="120"/>
      <c r="L39" s="121"/>
      <c r="M39" s="121"/>
      <c r="N39" s="121"/>
      <c r="O39" s="121"/>
      <c r="P39" s="121"/>
      <c r="Q39" s="121"/>
      <c r="R39" s="121"/>
      <c r="S39" s="120"/>
    </row>
    <row r="40" spans="3:19" hidden="1" x14ac:dyDescent="0.2">
      <c r="C40" s="122"/>
      <c r="D40" s="122"/>
      <c r="E40" s="122"/>
      <c r="F40" s="122"/>
      <c r="G40" s="123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0"/>
    </row>
    <row r="41" spans="3:19" hidden="1" x14ac:dyDescent="0.2">
      <c r="C41" s="122"/>
      <c r="D41" s="122"/>
      <c r="E41" s="122"/>
      <c r="F41" s="122"/>
      <c r="G41" s="123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0"/>
    </row>
    <row r="42" spans="3:19" hidden="1" x14ac:dyDescent="0.2">
      <c r="C42" s="122"/>
      <c r="D42" s="122"/>
      <c r="E42" s="122"/>
      <c r="F42" s="122"/>
      <c r="G42" s="123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0"/>
    </row>
    <row r="43" spans="3:19" hidden="1" x14ac:dyDescent="0.2">
      <c r="C43" s="122"/>
      <c r="D43" s="122"/>
      <c r="E43" s="122"/>
      <c r="F43" s="122"/>
      <c r="G43" s="123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0"/>
    </row>
    <row r="44" spans="3:19" hidden="1" x14ac:dyDescent="0.2">
      <c r="C44" s="122"/>
      <c r="D44" s="122"/>
      <c r="E44" s="122"/>
      <c r="F44" s="122"/>
      <c r="G44" s="123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0"/>
    </row>
    <row r="45" spans="3:19" hidden="1" x14ac:dyDescent="0.2">
      <c r="C45" s="122"/>
      <c r="D45" s="122"/>
      <c r="E45" s="122"/>
      <c r="F45" s="122"/>
      <c r="G45" s="123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0"/>
    </row>
    <row r="46" spans="3:19" hidden="1" x14ac:dyDescent="0.2">
      <c r="C46" s="122"/>
      <c r="D46" s="122"/>
      <c r="E46" s="122"/>
      <c r="F46" s="120"/>
      <c r="G46" s="123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0"/>
    </row>
    <row r="47" spans="3:19" x14ac:dyDescent="0.2">
      <c r="C47" s="122"/>
      <c r="D47" s="122"/>
      <c r="E47" s="122"/>
      <c r="F47" s="120"/>
      <c r="G47" s="123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0"/>
    </row>
    <row r="48" spans="3:19" x14ac:dyDescent="0.2">
      <c r="C48" s="1028"/>
      <c r="D48" s="1028"/>
      <c r="E48" s="1028"/>
      <c r="F48" s="1028"/>
      <c r="G48" s="1028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0"/>
    </row>
    <row r="49" spans="3:18" hidden="1" x14ac:dyDescent="0.2">
      <c r="C49" s="125"/>
      <c r="D49" s="125" t="s">
        <v>367</v>
      </c>
      <c r="E49" s="125" t="s">
        <v>368</v>
      </c>
      <c r="F49" s="125" t="s">
        <v>28</v>
      </c>
      <c r="G49" s="126" t="s">
        <v>23</v>
      </c>
      <c r="H49" s="127"/>
      <c r="I49" s="127">
        <f t="shared" ref="I49:I56" si="11">H49*12</f>
        <v>0</v>
      </c>
      <c r="J49" s="127"/>
      <c r="K49" s="127"/>
      <c r="L49" s="127">
        <v>0</v>
      </c>
      <c r="M49" s="127"/>
      <c r="N49" s="127">
        <v>0</v>
      </c>
      <c r="O49" s="127"/>
      <c r="P49" s="127">
        <f t="shared" ref="P49:P56" si="12">SUM(M49:O49)</f>
        <v>0</v>
      </c>
      <c r="Q49" s="127">
        <f t="shared" ref="Q49:Q56" si="13">I49*0.01</f>
        <v>0</v>
      </c>
      <c r="R49" s="127"/>
    </row>
    <row r="50" spans="3:18" hidden="1" x14ac:dyDescent="0.2">
      <c r="C50" s="128"/>
      <c r="D50" s="128" t="s">
        <v>369</v>
      </c>
      <c r="E50" s="128" t="s">
        <v>370</v>
      </c>
      <c r="F50" s="128" t="s">
        <v>28</v>
      </c>
      <c r="G50" s="129" t="s">
        <v>23</v>
      </c>
      <c r="H50" s="130"/>
      <c r="I50" s="130">
        <f t="shared" si="11"/>
        <v>0</v>
      </c>
      <c r="J50" s="130"/>
      <c r="K50" s="130"/>
      <c r="L50" s="130">
        <v>0</v>
      </c>
      <c r="M50" s="130"/>
      <c r="N50" s="130">
        <v>0</v>
      </c>
      <c r="O50" s="130"/>
      <c r="P50" s="130">
        <f t="shared" si="12"/>
        <v>0</v>
      </c>
      <c r="Q50" s="130">
        <f t="shared" si="13"/>
        <v>0</v>
      </c>
      <c r="R50" s="130"/>
    </row>
    <row r="51" spans="3:18" hidden="1" x14ac:dyDescent="0.2">
      <c r="C51" s="128"/>
      <c r="D51" s="128" t="s">
        <v>371</v>
      </c>
      <c r="E51" s="128" t="s">
        <v>370</v>
      </c>
      <c r="F51" s="128" t="s">
        <v>28</v>
      </c>
      <c r="G51" s="129" t="s">
        <v>23</v>
      </c>
      <c r="H51" s="130"/>
      <c r="I51" s="130">
        <f t="shared" si="11"/>
        <v>0</v>
      </c>
      <c r="J51" s="130"/>
      <c r="K51" s="130"/>
      <c r="L51" s="130">
        <v>0</v>
      </c>
      <c r="M51" s="130"/>
      <c r="N51" s="130">
        <v>0</v>
      </c>
      <c r="O51" s="130"/>
      <c r="P51" s="130">
        <f t="shared" si="12"/>
        <v>0</v>
      </c>
      <c r="Q51" s="130">
        <f t="shared" si="13"/>
        <v>0</v>
      </c>
      <c r="R51" s="130"/>
    </row>
    <row r="52" spans="3:18" hidden="1" x14ac:dyDescent="0.2">
      <c r="C52" s="128"/>
      <c r="D52" s="128" t="s">
        <v>372</v>
      </c>
      <c r="E52" s="128" t="s">
        <v>373</v>
      </c>
      <c r="F52" s="128" t="s">
        <v>28</v>
      </c>
      <c r="G52" s="129" t="s">
        <v>23</v>
      </c>
      <c r="H52" s="130"/>
      <c r="I52" s="130">
        <f t="shared" si="11"/>
        <v>0</v>
      </c>
      <c r="J52" s="130"/>
      <c r="K52" s="130"/>
      <c r="L52" s="130">
        <v>0</v>
      </c>
      <c r="M52" s="130"/>
      <c r="N52" s="130">
        <v>0</v>
      </c>
      <c r="O52" s="130"/>
      <c r="P52" s="130">
        <f t="shared" si="12"/>
        <v>0</v>
      </c>
      <c r="Q52" s="130">
        <f t="shared" si="13"/>
        <v>0</v>
      </c>
      <c r="R52" s="130"/>
    </row>
    <row r="53" spans="3:18" hidden="1" x14ac:dyDescent="0.2">
      <c r="C53" s="128"/>
      <c r="D53" s="128" t="s">
        <v>374</v>
      </c>
      <c r="E53" s="128" t="s">
        <v>373</v>
      </c>
      <c r="F53" s="128" t="s">
        <v>28</v>
      </c>
      <c r="G53" s="129" t="s">
        <v>23</v>
      </c>
      <c r="H53" s="130"/>
      <c r="I53" s="130">
        <f t="shared" si="11"/>
        <v>0</v>
      </c>
      <c r="J53" s="130"/>
      <c r="K53" s="130"/>
      <c r="L53" s="130">
        <v>0</v>
      </c>
      <c r="M53" s="130"/>
      <c r="N53" s="130">
        <v>0</v>
      </c>
      <c r="O53" s="130"/>
      <c r="P53" s="130">
        <f t="shared" si="12"/>
        <v>0</v>
      </c>
      <c r="Q53" s="130">
        <f t="shared" si="13"/>
        <v>0</v>
      </c>
      <c r="R53" s="130"/>
    </row>
    <row r="54" spans="3:18" hidden="1" x14ac:dyDescent="0.2">
      <c r="C54" s="128"/>
      <c r="D54" s="128" t="s">
        <v>375</v>
      </c>
      <c r="E54" s="128" t="s">
        <v>376</v>
      </c>
      <c r="F54" s="128" t="s">
        <v>28</v>
      </c>
      <c r="G54" s="129" t="s">
        <v>23</v>
      </c>
      <c r="H54" s="130"/>
      <c r="I54" s="130">
        <f t="shared" si="11"/>
        <v>0</v>
      </c>
      <c r="J54" s="130"/>
      <c r="K54" s="130"/>
      <c r="L54" s="130">
        <v>0</v>
      </c>
      <c r="M54" s="130"/>
      <c r="N54" s="130">
        <v>0</v>
      </c>
      <c r="O54" s="130"/>
      <c r="P54" s="130">
        <f t="shared" si="12"/>
        <v>0</v>
      </c>
      <c r="Q54" s="130">
        <f t="shared" si="13"/>
        <v>0</v>
      </c>
      <c r="R54" s="130"/>
    </row>
    <row r="55" spans="3:18" hidden="1" x14ac:dyDescent="0.2">
      <c r="C55" s="128"/>
      <c r="D55" s="128" t="s">
        <v>377</v>
      </c>
      <c r="E55" s="128" t="s">
        <v>378</v>
      </c>
      <c r="F55" s="128" t="s">
        <v>28</v>
      </c>
      <c r="G55" s="129" t="s">
        <v>23</v>
      </c>
      <c r="H55" s="130"/>
      <c r="I55" s="130">
        <f t="shared" si="11"/>
        <v>0</v>
      </c>
      <c r="J55" s="130"/>
      <c r="K55" s="130"/>
      <c r="L55" s="130">
        <v>0</v>
      </c>
      <c r="M55" s="130"/>
      <c r="N55" s="130">
        <v>0</v>
      </c>
      <c r="O55" s="130"/>
      <c r="P55" s="130">
        <f t="shared" si="12"/>
        <v>0</v>
      </c>
      <c r="Q55" s="130">
        <f t="shared" si="13"/>
        <v>0</v>
      </c>
      <c r="R55" s="130"/>
    </row>
    <row r="56" spans="3:18" hidden="1" x14ac:dyDescent="0.2">
      <c r="C56" s="128"/>
      <c r="D56" s="128" t="s">
        <v>379</v>
      </c>
      <c r="E56" s="128" t="s">
        <v>24</v>
      </c>
      <c r="F56" s="128" t="s">
        <v>28</v>
      </c>
      <c r="G56" s="129" t="s">
        <v>23</v>
      </c>
      <c r="H56" s="130"/>
      <c r="I56" s="130">
        <f t="shared" si="11"/>
        <v>0</v>
      </c>
      <c r="J56" s="130"/>
      <c r="K56" s="130"/>
      <c r="L56" s="130">
        <v>0</v>
      </c>
      <c r="M56" s="130"/>
      <c r="N56" s="130">
        <v>0</v>
      </c>
      <c r="O56" s="130"/>
      <c r="P56" s="130">
        <f t="shared" si="12"/>
        <v>0</v>
      </c>
      <c r="Q56" s="130">
        <f t="shared" si="13"/>
        <v>0</v>
      </c>
      <c r="R56" s="130"/>
    </row>
    <row r="57" spans="3:18" hidden="1" x14ac:dyDescent="0.2">
      <c r="C57" s="1030" t="s">
        <v>380</v>
      </c>
      <c r="D57" s="1031"/>
      <c r="E57" s="1031"/>
      <c r="F57" s="1031"/>
      <c r="G57" s="1032"/>
      <c r="H57" s="131">
        <f t="shared" ref="H57:R57" si="14">SUM(H49:H56)</f>
        <v>0</v>
      </c>
      <c r="I57" s="131">
        <f t="shared" si="14"/>
        <v>0</v>
      </c>
      <c r="J57" s="131">
        <f t="shared" si="14"/>
        <v>0</v>
      </c>
      <c r="K57" s="131">
        <f t="shared" si="14"/>
        <v>0</v>
      </c>
      <c r="L57" s="131">
        <f t="shared" si="14"/>
        <v>0</v>
      </c>
      <c r="M57" s="131">
        <f t="shared" si="14"/>
        <v>0</v>
      </c>
      <c r="N57" s="131">
        <f t="shared" si="14"/>
        <v>0</v>
      </c>
      <c r="O57" s="131">
        <f t="shared" si="14"/>
        <v>0</v>
      </c>
      <c r="P57" s="131">
        <f t="shared" si="14"/>
        <v>0</v>
      </c>
      <c r="Q57" s="131">
        <f t="shared" si="14"/>
        <v>0</v>
      </c>
      <c r="R57" s="131">
        <f t="shared" si="14"/>
        <v>0</v>
      </c>
    </row>
    <row r="58" spans="3:18" ht="25.5" hidden="1" x14ac:dyDescent="0.2">
      <c r="C58" s="128"/>
      <c r="D58" s="128" t="s">
        <v>381</v>
      </c>
      <c r="E58" s="128" t="s">
        <v>382</v>
      </c>
      <c r="F58" s="128" t="s">
        <v>28</v>
      </c>
      <c r="G58" s="129" t="s">
        <v>26</v>
      </c>
      <c r="H58" s="130"/>
      <c r="I58" s="130">
        <f>H58*12</f>
        <v>0</v>
      </c>
      <c r="J58" s="130"/>
      <c r="K58" s="130"/>
      <c r="L58" s="130">
        <v>0</v>
      </c>
      <c r="M58" s="130"/>
      <c r="N58" s="130">
        <v>0</v>
      </c>
      <c r="O58" s="130"/>
      <c r="P58" s="130">
        <f>SUM(M58:O58)</f>
        <v>0</v>
      </c>
      <c r="Q58" s="130">
        <f>I58*0.01</f>
        <v>0</v>
      </c>
      <c r="R58" s="130"/>
    </row>
    <row r="59" spans="3:18" hidden="1" x14ac:dyDescent="0.2">
      <c r="C59" s="1030" t="s">
        <v>383</v>
      </c>
      <c r="D59" s="1031"/>
      <c r="E59" s="1031"/>
      <c r="F59" s="1031"/>
      <c r="G59" s="1032"/>
      <c r="H59" s="131">
        <f t="shared" ref="H59:R59" si="15">SUM(H58)</f>
        <v>0</v>
      </c>
      <c r="I59" s="131">
        <f t="shared" si="15"/>
        <v>0</v>
      </c>
      <c r="J59" s="131">
        <f t="shared" si="15"/>
        <v>0</v>
      </c>
      <c r="K59" s="131">
        <f t="shared" si="15"/>
        <v>0</v>
      </c>
      <c r="L59" s="131">
        <f t="shared" si="15"/>
        <v>0</v>
      </c>
      <c r="M59" s="131">
        <f t="shared" si="15"/>
        <v>0</v>
      </c>
      <c r="N59" s="131">
        <f t="shared" si="15"/>
        <v>0</v>
      </c>
      <c r="O59" s="131">
        <f t="shared" si="15"/>
        <v>0</v>
      </c>
      <c r="P59" s="131">
        <f t="shared" si="15"/>
        <v>0</v>
      </c>
      <c r="Q59" s="131">
        <f t="shared" si="15"/>
        <v>0</v>
      </c>
      <c r="R59" s="131">
        <f t="shared" si="15"/>
        <v>0</v>
      </c>
    </row>
    <row r="60" spans="3:18" ht="25.5" hidden="1" x14ac:dyDescent="0.2">
      <c r="C60" s="128"/>
      <c r="D60" s="128" t="s">
        <v>384</v>
      </c>
      <c r="E60" s="128" t="s">
        <v>385</v>
      </c>
      <c r="F60" s="128" t="s">
        <v>28</v>
      </c>
      <c r="G60" s="129" t="s">
        <v>258</v>
      </c>
      <c r="H60" s="130"/>
      <c r="I60" s="130">
        <f>H60*12</f>
        <v>0</v>
      </c>
      <c r="J60" s="130"/>
      <c r="K60" s="130"/>
      <c r="L60" s="130">
        <v>0</v>
      </c>
      <c r="M60" s="130"/>
      <c r="N60" s="130">
        <v>0</v>
      </c>
      <c r="O60" s="130"/>
      <c r="P60" s="130">
        <f>SUM(M60:O60)</f>
        <v>0</v>
      </c>
      <c r="Q60" s="130">
        <f>I60*0.01</f>
        <v>0</v>
      </c>
      <c r="R60" s="130"/>
    </row>
    <row r="61" spans="3:18" hidden="1" x14ac:dyDescent="0.2">
      <c r="C61" s="128"/>
      <c r="D61" s="128" t="s">
        <v>25</v>
      </c>
      <c r="E61" s="128" t="s">
        <v>385</v>
      </c>
      <c r="F61" s="128" t="s">
        <v>28</v>
      </c>
      <c r="G61" s="129" t="s">
        <v>258</v>
      </c>
      <c r="H61" s="130"/>
      <c r="I61" s="130">
        <f>H61*12</f>
        <v>0</v>
      </c>
      <c r="J61" s="130"/>
      <c r="K61" s="130"/>
      <c r="L61" s="130">
        <v>0</v>
      </c>
      <c r="M61" s="130"/>
      <c r="N61" s="130">
        <v>0</v>
      </c>
      <c r="O61" s="130"/>
      <c r="P61" s="130">
        <f>SUM(M61:O61)</f>
        <v>0</v>
      </c>
      <c r="Q61" s="130">
        <f>I61*0.01</f>
        <v>0</v>
      </c>
      <c r="R61" s="130"/>
    </row>
    <row r="62" spans="3:18" hidden="1" x14ac:dyDescent="0.2">
      <c r="C62" s="128"/>
      <c r="D62" s="128" t="s">
        <v>386</v>
      </c>
      <c r="E62" s="128" t="s">
        <v>7</v>
      </c>
      <c r="F62" s="128" t="s">
        <v>28</v>
      </c>
      <c r="G62" s="129" t="s">
        <v>258</v>
      </c>
      <c r="H62" s="130"/>
      <c r="I62" s="130">
        <f>H62*12</f>
        <v>0</v>
      </c>
      <c r="J62" s="130"/>
      <c r="K62" s="130"/>
      <c r="L62" s="130">
        <v>0</v>
      </c>
      <c r="M62" s="130"/>
      <c r="N62" s="130">
        <v>0</v>
      </c>
      <c r="O62" s="130"/>
      <c r="P62" s="130">
        <f>SUM(M62:O62)</f>
        <v>0</v>
      </c>
      <c r="Q62" s="130">
        <f>I62*0.01</f>
        <v>0</v>
      </c>
      <c r="R62" s="130"/>
    </row>
    <row r="63" spans="3:18" hidden="1" x14ac:dyDescent="0.2">
      <c r="C63" s="128"/>
      <c r="D63" s="128" t="s">
        <v>387</v>
      </c>
      <c r="E63" s="128" t="s">
        <v>388</v>
      </c>
      <c r="F63" s="128" t="s">
        <v>28</v>
      </c>
      <c r="G63" s="129" t="s">
        <v>258</v>
      </c>
      <c r="H63" s="130"/>
      <c r="I63" s="130">
        <f>H63*12</f>
        <v>0</v>
      </c>
      <c r="J63" s="130"/>
      <c r="K63" s="130"/>
      <c r="L63" s="130">
        <v>0</v>
      </c>
      <c r="M63" s="130"/>
      <c r="N63" s="130">
        <v>0</v>
      </c>
      <c r="O63" s="130"/>
      <c r="P63" s="130">
        <f>SUM(M63:O63)</f>
        <v>0</v>
      </c>
      <c r="Q63" s="130">
        <f>I63*0.01</f>
        <v>0</v>
      </c>
      <c r="R63" s="130"/>
    </row>
    <row r="64" spans="3:18" ht="13.5" hidden="1" thickBot="1" x14ac:dyDescent="0.25">
      <c r="C64" s="1033" t="s">
        <v>366</v>
      </c>
      <c r="D64" s="1034"/>
      <c r="E64" s="1034"/>
      <c r="F64" s="1034"/>
      <c r="G64" s="1035"/>
      <c r="H64" s="132">
        <f t="shared" ref="H64:R64" si="16">SUM(H60:H63)</f>
        <v>0</v>
      </c>
      <c r="I64" s="132">
        <f t="shared" si="16"/>
        <v>0</v>
      </c>
      <c r="J64" s="132">
        <f t="shared" si="16"/>
        <v>0</v>
      </c>
      <c r="K64" s="132">
        <f t="shared" si="16"/>
        <v>0</v>
      </c>
      <c r="L64" s="132">
        <f t="shared" si="16"/>
        <v>0</v>
      </c>
      <c r="M64" s="132">
        <f t="shared" si="16"/>
        <v>0</v>
      </c>
      <c r="N64" s="132">
        <f t="shared" si="16"/>
        <v>0</v>
      </c>
      <c r="O64" s="132">
        <f t="shared" si="16"/>
        <v>0</v>
      </c>
      <c r="P64" s="132">
        <f t="shared" si="16"/>
        <v>0</v>
      </c>
      <c r="Q64" s="132">
        <f t="shared" si="16"/>
        <v>0</v>
      </c>
      <c r="R64" s="132">
        <f t="shared" si="16"/>
        <v>0</v>
      </c>
    </row>
    <row r="65" spans="3:18" ht="13.5" hidden="1" thickBot="1" x14ac:dyDescent="0.25">
      <c r="C65" s="1029" t="s">
        <v>389</v>
      </c>
      <c r="D65" s="1029"/>
      <c r="E65" s="1029"/>
      <c r="F65" s="1029"/>
      <c r="G65" s="1029"/>
      <c r="H65" s="133">
        <f t="shared" ref="H65:R65" si="17">H64+H59+H57+H48</f>
        <v>0</v>
      </c>
      <c r="I65" s="133">
        <f t="shared" si="17"/>
        <v>0</v>
      </c>
      <c r="J65" s="133">
        <f t="shared" si="17"/>
        <v>0</v>
      </c>
      <c r="K65" s="133">
        <f t="shared" si="17"/>
        <v>0</v>
      </c>
      <c r="L65" s="133">
        <f t="shared" si="17"/>
        <v>0</v>
      </c>
      <c r="M65" s="133">
        <f t="shared" si="17"/>
        <v>0</v>
      </c>
      <c r="N65" s="133">
        <f t="shared" si="17"/>
        <v>0</v>
      </c>
      <c r="O65" s="133">
        <f t="shared" si="17"/>
        <v>0</v>
      </c>
      <c r="P65" s="133">
        <f t="shared" si="17"/>
        <v>0</v>
      </c>
      <c r="Q65" s="133">
        <f t="shared" si="17"/>
        <v>0</v>
      </c>
      <c r="R65" s="133">
        <f t="shared" si="17"/>
        <v>0</v>
      </c>
    </row>
  </sheetData>
  <mergeCells count="43">
    <mergeCell ref="C65:G65"/>
    <mergeCell ref="C48:G48"/>
    <mergeCell ref="C57:G57"/>
    <mergeCell ref="C59:G59"/>
    <mergeCell ref="C64:G64"/>
    <mergeCell ref="R35:R37"/>
    <mergeCell ref="H36:H37"/>
    <mergeCell ref="I36:I37"/>
    <mergeCell ref="J36:J37"/>
    <mergeCell ref="K36:K37"/>
    <mergeCell ref="M36:P36"/>
    <mergeCell ref="Q35:Q37"/>
    <mergeCell ref="D33:L34"/>
    <mergeCell ref="C35:C37"/>
    <mergeCell ref="D35:D37"/>
    <mergeCell ref="E35:E37"/>
    <mergeCell ref="F35:F37"/>
    <mergeCell ref="G35:G37"/>
    <mergeCell ref="H35:I35"/>
    <mergeCell ref="J35:K35"/>
    <mergeCell ref="L35:P35"/>
    <mergeCell ref="H4:I4"/>
    <mergeCell ref="H5:H6"/>
    <mergeCell ref="D4:D6"/>
    <mergeCell ref="E4:E6"/>
    <mergeCell ref="F4:F6"/>
    <mergeCell ref="I5:I6"/>
    <mergeCell ref="C2:L3"/>
    <mergeCell ref="C26:G26"/>
    <mergeCell ref="C27:G27"/>
    <mergeCell ref="R4:R6"/>
    <mergeCell ref="C9:G9"/>
    <mergeCell ref="C18:G18"/>
    <mergeCell ref="C20:G20"/>
    <mergeCell ref="J4:K4"/>
    <mergeCell ref="J5:J6"/>
    <mergeCell ref="K5:K6"/>
    <mergeCell ref="G4:G6"/>
    <mergeCell ref="C4:C6"/>
    <mergeCell ref="C25:G25"/>
    <mergeCell ref="Q4:Q6"/>
    <mergeCell ref="M5:P5"/>
    <mergeCell ref="L4:P4"/>
  </mergeCells>
  <phoneticPr fontId="0" type="noConversion"/>
  <pageMargins left="0.17" right="0.21" top="1.51" bottom="0.98425196850393704" header="1.5748031496062993" footer="0"/>
  <pageSetup scale="85" orientation="landscape" horizont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showGridLines="0" topLeftCell="B1" zoomScaleNormal="100" workbookViewId="0">
      <pane xSplit="2" ySplit="8" topLeftCell="D66" activePane="bottomRight" state="frozen"/>
      <selection activeCell="B1" sqref="B1"/>
      <selection pane="topRight" activeCell="D1" sqref="D1"/>
      <selection pane="bottomLeft" activeCell="B8" sqref="B8"/>
      <selection pane="bottomRight" activeCell="H16" sqref="H16"/>
    </sheetView>
  </sheetViews>
  <sheetFormatPr baseColWidth="10" defaultRowHeight="12.75" x14ac:dyDescent="0.2"/>
  <cols>
    <col min="1" max="1" width="3.28515625" hidden="1" customWidth="1"/>
    <col min="2" max="2" width="26.85546875" customWidth="1"/>
    <col min="3" max="3" width="15.5703125" customWidth="1"/>
    <col min="4" max="4" width="8.28515625" customWidth="1"/>
    <col min="5" max="6" width="7.85546875" style="115" customWidth="1"/>
    <col min="7" max="7" width="12.5703125" style="284" bestFit="1" customWidth="1"/>
    <col min="8" max="8" width="13.7109375" bestFit="1" customWidth="1"/>
    <col min="9" max="9" width="12.5703125" bestFit="1" customWidth="1"/>
    <col min="10" max="10" width="11.85546875" customWidth="1"/>
    <col min="11" max="11" width="10.140625" customWidth="1"/>
    <col min="12" max="12" width="12.5703125" bestFit="1" customWidth="1"/>
    <col min="13" max="13" width="8.7109375" hidden="1" customWidth="1"/>
    <col min="14" max="14" width="12.5703125" bestFit="1" customWidth="1"/>
    <col min="15" max="15" width="14.7109375" bestFit="1" customWidth="1"/>
    <col min="16" max="16" width="11.28515625" bestFit="1" customWidth="1"/>
  </cols>
  <sheetData>
    <row r="1" spans="1:20" s="2" customFormat="1" x14ac:dyDescent="0.2">
      <c r="A1" s="1051" t="s">
        <v>473</v>
      </c>
      <c r="B1" s="1051"/>
      <c r="C1" s="1051"/>
      <c r="D1" s="1051"/>
      <c r="E1" s="1051"/>
      <c r="F1" s="1051"/>
      <c r="G1" s="1051"/>
      <c r="H1" s="1051"/>
      <c r="I1" s="1051"/>
      <c r="J1" s="1051"/>
      <c r="K1" s="1051"/>
      <c r="L1" s="1051"/>
      <c r="M1" s="1051"/>
      <c r="N1" s="1051"/>
      <c r="O1" s="1051"/>
    </row>
    <row r="2" spans="1:20" s="2" customFormat="1" x14ac:dyDescent="0.2">
      <c r="A2" s="1052" t="s">
        <v>591</v>
      </c>
      <c r="B2" s="1052"/>
      <c r="C2" s="1052"/>
      <c r="D2" s="1052"/>
      <c r="E2" s="1052"/>
      <c r="F2" s="1052"/>
      <c r="G2" s="1052"/>
      <c r="H2" s="1052"/>
      <c r="I2" s="1052"/>
      <c r="J2" s="1052"/>
      <c r="K2" s="1052"/>
      <c r="L2" s="1052"/>
      <c r="M2" s="1052"/>
      <c r="N2" s="1052"/>
      <c r="O2" s="1052"/>
    </row>
    <row r="3" spans="1:20" s="2" customFormat="1" x14ac:dyDescent="0.2">
      <c r="A3" s="1052" t="s">
        <v>488</v>
      </c>
      <c r="B3" s="1052"/>
      <c r="C3" s="1052"/>
      <c r="D3" s="1052"/>
      <c r="E3" s="1052"/>
      <c r="F3" s="1052"/>
      <c r="G3" s="1052"/>
      <c r="H3" s="1052"/>
      <c r="I3" s="1052"/>
      <c r="J3" s="1052"/>
      <c r="K3" s="1052"/>
      <c r="L3" s="1052"/>
      <c r="M3" s="1052"/>
      <c r="N3" s="1052"/>
      <c r="O3" s="1052"/>
    </row>
    <row r="4" spans="1:20" s="2" customFormat="1" ht="13.5" thickBot="1" x14ac:dyDescent="0.25">
      <c r="A4" s="470"/>
      <c r="B4" s="470"/>
      <c r="C4" s="470"/>
      <c r="D4" s="470"/>
      <c r="E4" s="470"/>
      <c r="F4" s="470"/>
      <c r="G4" s="470"/>
      <c r="H4" s="470"/>
      <c r="I4" s="470"/>
      <c r="J4" s="470"/>
      <c r="K4" s="470"/>
      <c r="L4" s="470"/>
      <c r="M4" s="470"/>
      <c r="N4" s="470"/>
      <c r="O4" s="470"/>
    </row>
    <row r="5" spans="1:20" s="2" customFormat="1" ht="13.5" thickBot="1" x14ac:dyDescent="0.25">
      <c r="A5" s="1053" t="s">
        <v>402</v>
      </c>
      <c r="B5" s="1037" t="s">
        <v>16</v>
      </c>
      <c r="C5" s="1046" t="s">
        <v>403</v>
      </c>
      <c r="D5" s="1037" t="s">
        <v>404</v>
      </c>
      <c r="E5" s="1037" t="s">
        <v>405</v>
      </c>
      <c r="F5" s="1037" t="s">
        <v>406</v>
      </c>
      <c r="G5" s="1040" t="s">
        <v>407</v>
      </c>
      <c r="H5" s="1041"/>
      <c r="I5" s="1044" t="s">
        <v>703</v>
      </c>
      <c r="J5" s="1063" t="s">
        <v>408</v>
      </c>
      <c r="K5" s="1063"/>
      <c r="L5" s="1063"/>
      <c r="M5" s="1063"/>
      <c r="N5" s="1064"/>
      <c r="O5" s="1046" t="s">
        <v>27</v>
      </c>
    </row>
    <row r="6" spans="1:20" s="2" customFormat="1" ht="13.5" thickBot="1" x14ac:dyDescent="0.25">
      <c r="A6" s="1054"/>
      <c r="B6" s="1038"/>
      <c r="C6" s="1056"/>
      <c r="D6" s="1038"/>
      <c r="E6" s="1038"/>
      <c r="F6" s="1038"/>
      <c r="G6" s="1042"/>
      <c r="H6" s="1043"/>
      <c r="I6" s="1045"/>
      <c r="J6" s="1061" t="s">
        <v>409</v>
      </c>
      <c r="K6" s="1062"/>
      <c r="L6" s="1058" t="s">
        <v>410</v>
      </c>
      <c r="M6" s="1059"/>
      <c r="N6" s="1060"/>
      <c r="O6" s="1047"/>
    </row>
    <row r="7" spans="1:20" s="2" customFormat="1" x14ac:dyDescent="0.2">
      <c r="A7" s="1054"/>
      <c r="B7" s="1038"/>
      <c r="C7" s="1056"/>
      <c r="D7" s="1038"/>
      <c r="E7" s="1038"/>
      <c r="F7" s="1038"/>
      <c r="G7" s="1049" t="s">
        <v>411</v>
      </c>
      <c r="H7" s="1046" t="s">
        <v>18</v>
      </c>
      <c r="I7" s="1046" t="s">
        <v>20</v>
      </c>
      <c r="J7" s="374" t="s">
        <v>412</v>
      </c>
      <c r="K7" s="375" t="s">
        <v>363</v>
      </c>
      <c r="L7" s="375" t="s">
        <v>21</v>
      </c>
      <c r="M7" s="376" t="s">
        <v>362</v>
      </c>
      <c r="N7" s="375" t="s">
        <v>4</v>
      </c>
      <c r="O7" s="1047"/>
    </row>
    <row r="8" spans="1:20" s="2" customFormat="1" ht="13.5" thickBot="1" x14ac:dyDescent="0.25">
      <c r="A8" s="1055"/>
      <c r="B8" s="1039"/>
      <c r="C8" s="1057"/>
      <c r="D8" s="1039"/>
      <c r="E8" s="1039"/>
      <c r="F8" s="1039"/>
      <c r="G8" s="1050"/>
      <c r="H8" s="1048"/>
      <c r="I8" s="1048"/>
      <c r="J8" s="377">
        <v>6.7500000000000004E-2</v>
      </c>
      <c r="K8" s="167">
        <v>0.06</v>
      </c>
      <c r="L8" s="167">
        <v>7.4999999999999997E-2</v>
      </c>
      <c r="M8" s="167">
        <v>6.5000000000000002E-2</v>
      </c>
      <c r="N8" s="321"/>
      <c r="O8" s="1048"/>
    </row>
    <row r="9" spans="1:20" s="2" customFormat="1" x14ac:dyDescent="0.2">
      <c r="A9" s="168">
        <v>1</v>
      </c>
      <c r="B9" s="135" t="s">
        <v>413</v>
      </c>
      <c r="C9" s="332" t="s">
        <v>674</v>
      </c>
      <c r="D9" s="333">
        <v>1</v>
      </c>
      <c r="E9" s="334" t="s">
        <v>22</v>
      </c>
      <c r="F9" s="334" t="s">
        <v>22</v>
      </c>
      <c r="G9" s="335">
        <f>2700*D9</f>
        <v>2700</v>
      </c>
      <c r="H9" s="336">
        <f>G9*D9*12</f>
        <v>32400</v>
      </c>
      <c r="I9" s="336">
        <f>G9</f>
        <v>2700</v>
      </c>
      <c r="J9" s="336">
        <f>+H9*$J$8</f>
        <v>2187</v>
      </c>
      <c r="K9" s="336">
        <v>0</v>
      </c>
      <c r="L9" s="336">
        <f>IF(G9&gt;685.71,685.71*$L$8*12,G9*$L$8*12)</f>
        <v>617.13900000000001</v>
      </c>
      <c r="M9" s="336"/>
      <c r="N9" s="336">
        <f>SUM(J9:M9)</f>
        <v>2804.1390000000001</v>
      </c>
      <c r="O9" s="325">
        <f>SUM(H9:M9)</f>
        <v>37904.139000000003</v>
      </c>
      <c r="P9" s="139"/>
      <c r="Q9" s="139"/>
      <c r="R9" s="139"/>
      <c r="S9" s="139"/>
      <c r="T9" s="139"/>
    </row>
    <row r="10" spans="1:20" s="2" customFormat="1" x14ac:dyDescent="0.2">
      <c r="A10" s="168">
        <v>2</v>
      </c>
      <c r="B10" s="135" t="s">
        <v>414</v>
      </c>
      <c r="C10" s="337" t="s">
        <v>675</v>
      </c>
      <c r="D10" s="338">
        <v>1</v>
      </c>
      <c r="E10" s="339" t="s">
        <v>22</v>
      </c>
      <c r="F10" s="339" t="s">
        <v>22</v>
      </c>
      <c r="G10" s="340">
        <f>950*D10</f>
        <v>950</v>
      </c>
      <c r="H10" s="341">
        <f t="shared" ref="H10:H13" si="0">G10*D10*12</f>
        <v>11400</v>
      </c>
      <c r="I10" s="341">
        <f>G10</f>
        <v>950</v>
      </c>
      <c r="J10" s="341">
        <v>0</v>
      </c>
      <c r="K10" s="341">
        <v>0</v>
      </c>
      <c r="L10" s="341">
        <f>IF(G10&gt;685.71,685.71*$L$8*12,G10*$L$8*12)</f>
        <v>617.13900000000001</v>
      </c>
      <c r="M10" s="341"/>
      <c r="N10" s="341">
        <f>SUM(J10:M10)</f>
        <v>617.13900000000001</v>
      </c>
      <c r="O10" s="325">
        <f>SUM(H10:M10)</f>
        <v>12967.138999999999</v>
      </c>
      <c r="P10" s="139"/>
      <c r="Q10" s="139"/>
      <c r="R10" s="139"/>
      <c r="S10" s="139"/>
      <c r="T10" s="139"/>
    </row>
    <row r="11" spans="1:20" s="170" customFormat="1" x14ac:dyDescent="0.2">
      <c r="A11" s="168"/>
      <c r="B11" s="135" t="s">
        <v>365</v>
      </c>
      <c r="C11" s="337" t="s">
        <v>676</v>
      </c>
      <c r="D11" s="338">
        <v>1</v>
      </c>
      <c r="E11" s="339" t="s">
        <v>22</v>
      </c>
      <c r="F11" s="339" t="s">
        <v>22</v>
      </c>
      <c r="G11" s="340">
        <f>700*D11</f>
        <v>700</v>
      </c>
      <c r="H11" s="341">
        <f t="shared" si="0"/>
        <v>8400</v>
      </c>
      <c r="I11" s="341">
        <f>G11</f>
        <v>700</v>
      </c>
      <c r="J11" s="341">
        <f>+H11*$J$8</f>
        <v>567</v>
      </c>
      <c r="K11" s="341">
        <v>0</v>
      </c>
      <c r="L11" s="341">
        <f>IF(G11&gt;685.71,685.71*$L$8*12,G11*$L$8*12)</f>
        <v>617.13900000000001</v>
      </c>
      <c r="M11" s="341"/>
      <c r="N11" s="341">
        <f>SUM(J11:M11)</f>
        <v>1184.1390000000001</v>
      </c>
      <c r="O11" s="325">
        <f>SUM(H11:M11)</f>
        <v>10284.138999999999</v>
      </c>
      <c r="P11" s="75"/>
      <c r="Q11" s="139"/>
      <c r="R11" s="139"/>
      <c r="S11" s="75"/>
      <c r="T11" s="75"/>
    </row>
    <row r="12" spans="1:20" s="2" customFormat="1" x14ac:dyDescent="0.2">
      <c r="A12" s="168">
        <v>3</v>
      </c>
      <c r="B12" s="135" t="s">
        <v>468</v>
      </c>
      <c r="C12" s="337" t="s">
        <v>677</v>
      </c>
      <c r="D12" s="338">
        <v>1</v>
      </c>
      <c r="E12" s="339" t="s">
        <v>22</v>
      </c>
      <c r="F12" s="339" t="s">
        <v>22</v>
      </c>
      <c r="G12" s="340">
        <f>600*D12</f>
        <v>600</v>
      </c>
      <c r="H12" s="341">
        <f t="shared" si="0"/>
        <v>7200</v>
      </c>
      <c r="I12" s="341">
        <f>G12</f>
        <v>600</v>
      </c>
      <c r="J12" s="341">
        <f>+H12*$J$8</f>
        <v>486.00000000000006</v>
      </c>
      <c r="K12" s="341">
        <v>0</v>
      </c>
      <c r="L12" s="341">
        <f>IF(G12&gt;685.71,685.71*$L$8*12,G12*$L$8*12)</f>
        <v>540</v>
      </c>
      <c r="M12" s="341"/>
      <c r="N12" s="341">
        <f>SUM(J12:M12)</f>
        <v>1026</v>
      </c>
      <c r="O12" s="325">
        <f>SUM(H12:M12)</f>
        <v>8826</v>
      </c>
      <c r="P12" s="139"/>
      <c r="Q12" s="139"/>
      <c r="R12" s="139"/>
      <c r="S12" s="139"/>
      <c r="T12" s="139"/>
    </row>
    <row r="13" spans="1:20" s="170" customFormat="1" ht="12.75" customHeight="1" x14ac:dyDescent="0.2">
      <c r="A13" s="168"/>
      <c r="B13" s="239" t="s">
        <v>469</v>
      </c>
      <c r="C13" s="337" t="s">
        <v>678</v>
      </c>
      <c r="D13" s="338">
        <v>1</v>
      </c>
      <c r="E13" s="339" t="s">
        <v>22</v>
      </c>
      <c r="F13" s="339" t="s">
        <v>22</v>
      </c>
      <c r="G13" s="340">
        <f>300*D13</f>
        <v>300</v>
      </c>
      <c r="H13" s="356">
        <f t="shared" si="0"/>
        <v>3600</v>
      </c>
      <c r="I13" s="341">
        <f>G13</f>
        <v>300</v>
      </c>
      <c r="J13" s="341">
        <f>+H13*$J$8</f>
        <v>243.00000000000003</v>
      </c>
      <c r="K13" s="342">
        <v>0</v>
      </c>
      <c r="L13" s="341">
        <f>IF(G13&gt;685.71,685.71*$L$8*12,G13*$L$8*12)</f>
        <v>270</v>
      </c>
      <c r="M13" s="341"/>
      <c r="N13" s="356">
        <f>SUM(J13:M13)</f>
        <v>513</v>
      </c>
      <c r="O13" s="325">
        <f>SUM(H13:M13)</f>
        <v>4413</v>
      </c>
      <c r="P13" s="75"/>
      <c r="Q13" s="139"/>
      <c r="R13" s="139"/>
      <c r="S13" s="75"/>
      <c r="T13" s="75"/>
    </row>
    <row r="14" spans="1:20" s="2" customFormat="1" ht="13.5" thickBot="1" x14ac:dyDescent="0.25">
      <c r="A14" s="171"/>
      <c r="B14" s="183" t="s">
        <v>415</v>
      </c>
      <c r="C14" s="343"/>
      <c r="D14" s="344">
        <f>SUM(D9:D13)</f>
        <v>5</v>
      </c>
      <c r="E14" s="345"/>
      <c r="F14" s="345"/>
      <c r="G14" s="346">
        <f>SUM(G9:G13)</f>
        <v>5250</v>
      </c>
      <c r="H14" s="347">
        <f>SUM(H9:H13)</f>
        <v>63000</v>
      </c>
      <c r="I14" s="347">
        <f>SUM(I9:I13)</f>
        <v>5250</v>
      </c>
      <c r="J14" s="347">
        <f>SUM(J9:J13)</f>
        <v>3483</v>
      </c>
      <c r="K14" s="347">
        <f>SUM(K9:K12)</f>
        <v>0</v>
      </c>
      <c r="L14" s="347">
        <f>SUM(L9:L13)</f>
        <v>2661.4169999999999</v>
      </c>
      <c r="M14" s="347">
        <f>SUM(M9:M12)</f>
        <v>0</v>
      </c>
      <c r="N14" s="347">
        <f>SUM(N9:N13)</f>
        <v>6144.4170000000004</v>
      </c>
      <c r="O14" s="173">
        <f>SUM(O9:O13)</f>
        <v>74394.417000000001</v>
      </c>
      <c r="P14" s="174"/>
      <c r="Q14" s="139"/>
      <c r="R14" s="139"/>
      <c r="S14" s="139"/>
      <c r="T14" s="139"/>
    </row>
    <row r="15" spans="1:20" s="2" customFormat="1" ht="13.5" thickTop="1" x14ac:dyDescent="0.2">
      <c r="A15" s="168">
        <v>11</v>
      </c>
      <c r="B15" s="135" t="s">
        <v>367</v>
      </c>
      <c r="C15" s="337" t="s">
        <v>679</v>
      </c>
      <c r="D15" s="338">
        <v>1</v>
      </c>
      <c r="E15" s="339" t="s">
        <v>22</v>
      </c>
      <c r="F15" s="339" t="s">
        <v>23</v>
      </c>
      <c r="G15" s="340">
        <f>610.6*D15</f>
        <v>610.6</v>
      </c>
      <c r="H15" s="341">
        <f>G15*12</f>
        <v>7327.2000000000007</v>
      </c>
      <c r="I15" s="341">
        <f>G15</f>
        <v>610.6</v>
      </c>
      <c r="J15" s="341">
        <f t="shared" ref="J15:J20" si="1">+H15*$J$8</f>
        <v>494.58600000000007</v>
      </c>
      <c r="K15" s="341">
        <v>0</v>
      </c>
      <c r="L15" s="341">
        <f t="shared" ref="L15:L20" si="2">IF(G15&gt;685.71,685.71*$L$8*12,G15*$L$8*12)</f>
        <v>549.54</v>
      </c>
      <c r="M15" s="341"/>
      <c r="N15" s="341">
        <f t="shared" ref="N15:N20" si="3">SUM(J15:M15)</f>
        <v>1044.126</v>
      </c>
      <c r="O15" s="325">
        <f t="shared" ref="O15:O20" si="4">SUM(H15:M15)</f>
        <v>8981.9259999999995</v>
      </c>
      <c r="P15" s="139"/>
      <c r="Q15" s="139"/>
      <c r="R15" s="139"/>
      <c r="S15" s="139"/>
      <c r="T15" s="139"/>
    </row>
    <row r="16" spans="1:20" s="2" customFormat="1" x14ac:dyDescent="0.2">
      <c r="A16" s="168">
        <v>12</v>
      </c>
      <c r="B16" s="135" t="s">
        <v>369</v>
      </c>
      <c r="C16" s="337" t="s">
        <v>680</v>
      </c>
      <c r="D16" s="338">
        <v>1</v>
      </c>
      <c r="E16" s="339" t="s">
        <v>22</v>
      </c>
      <c r="F16" s="339" t="s">
        <v>23</v>
      </c>
      <c r="G16" s="340">
        <f>500*D16</f>
        <v>500</v>
      </c>
      <c r="H16" s="341">
        <f t="shared" ref="H16:H20" si="5">G16*12</f>
        <v>6000</v>
      </c>
      <c r="I16" s="341">
        <f t="shared" ref="I16:I20" si="6">G16</f>
        <v>500</v>
      </c>
      <c r="J16" s="341">
        <f t="shared" si="1"/>
        <v>405</v>
      </c>
      <c r="K16" s="341">
        <v>0</v>
      </c>
      <c r="L16" s="341">
        <f t="shared" si="2"/>
        <v>450</v>
      </c>
      <c r="M16" s="341"/>
      <c r="N16" s="341">
        <f t="shared" si="3"/>
        <v>855</v>
      </c>
      <c r="O16" s="325">
        <f t="shared" si="4"/>
        <v>7355</v>
      </c>
      <c r="P16" s="139"/>
      <c r="Q16" s="139"/>
      <c r="R16" s="139"/>
      <c r="S16" s="139"/>
      <c r="T16" s="139"/>
    </row>
    <row r="17" spans="1:20" s="176" customFormat="1" ht="12.75" customHeight="1" x14ac:dyDescent="0.2">
      <c r="A17" s="168"/>
      <c r="B17" s="135" t="s">
        <v>470</v>
      </c>
      <c r="C17" s="337" t="s">
        <v>378</v>
      </c>
      <c r="D17" s="338">
        <v>1</v>
      </c>
      <c r="E17" s="339" t="s">
        <v>22</v>
      </c>
      <c r="F17" s="339" t="s">
        <v>23</v>
      </c>
      <c r="G17" s="340">
        <f>450*D17</f>
        <v>450</v>
      </c>
      <c r="H17" s="341">
        <f t="shared" si="5"/>
        <v>5400</v>
      </c>
      <c r="I17" s="341">
        <f t="shared" si="6"/>
        <v>450</v>
      </c>
      <c r="J17" s="341">
        <f t="shared" si="1"/>
        <v>364.5</v>
      </c>
      <c r="K17" s="341">
        <v>0</v>
      </c>
      <c r="L17" s="341">
        <f t="shared" si="2"/>
        <v>405</v>
      </c>
      <c r="M17" s="341"/>
      <c r="N17" s="341">
        <f t="shared" si="3"/>
        <v>769.5</v>
      </c>
      <c r="O17" s="325">
        <f t="shared" si="4"/>
        <v>6619.5</v>
      </c>
      <c r="P17" s="175"/>
      <c r="Q17" s="175"/>
      <c r="R17" s="175"/>
      <c r="S17" s="175"/>
      <c r="T17" s="175"/>
    </row>
    <row r="18" spans="1:20" s="176" customFormat="1" ht="12" x14ac:dyDescent="0.2">
      <c r="A18" s="168"/>
      <c r="B18" s="135" t="s">
        <v>460</v>
      </c>
      <c r="C18" s="337" t="s">
        <v>681</v>
      </c>
      <c r="D18" s="338">
        <v>1</v>
      </c>
      <c r="E18" s="339" t="s">
        <v>22</v>
      </c>
      <c r="F18" s="339" t="s">
        <v>23</v>
      </c>
      <c r="G18" s="340">
        <f>1850*D18</f>
        <v>1850</v>
      </c>
      <c r="H18" s="341">
        <f t="shared" si="5"/>
        <v>22200</v>
      </c>
      <c r="I18" s="341">
        <f t="shared" si="6"/>
        <v>1850</v>
      </c>
      <c r="J18" s="341">
        <f t="shared" si="1"/>
        <v>1498.5</v>
      </c>
      <c r="K18" s="341">
        <v>0</v>
      </c>
      <c r="L18" s="341">
        <f t="shared" si="2"/>
        <v>617.13900000000001</v>
      </c>
      <c r="M18" s="341"/>
      <c r="N18" s="341">
        <f t="shared" si="3"/>
        <v>2115.6390000000001</v>
      </c>
      <c r="O18" s="325">
        <f t="shared" si="4"/>
        <v>26165.638999999999</v>
      </c>
      <c r="P18" s="175"/>
      <c r="Q18" s="175"/>
      <c r="R18" s="175"/>
      <c r="S18" s="175"/>
      <c r="T18" s="175"/>
    </row>
    <row r="19" spans="1:20" s="176" customFormat="1" ht="12.75" customHeight="1" x14ac:dyDescent="0.2">
      <c r="A19" s="168">
        <v>13</v>
      </c>
      <c r="B19" s="177" t="s">
        <v>416</v>
      </c>
      <c r="C19" s="337" t="s">
        <v>376</v>
      </c>
      <c r="D19" s="338">
        <v>1</v>
      </c>
      <c r="E19" s="339" t="s">
        <v>22</v>
      </c>
      <c r="F19" s="339" t="s">
        <v>23</v>
      </c>
      <c r="G19" s="340">
        <f>450*D19</f>
        <v>450</v>
      </c>
      <c r="H19" s="341">
        <f t="shared" si="5"/>
        <v>5400</v>
      </c>
      <c r="I19" s="341">
        <f t="shared" si="6"/>
        <v>450</v>
      </c>
      <c r="J19" s="341">
        <f t="shared" si="1"/>
        <v>364.5</v>
      </c>
      <c r="K19" s="341">
        <v>0</v>
      </c>
      <c r="L19" s="341">
        <f t="shared" si="2"/>
        <v>405</v>
      </c>
      <c r="M19" s="341"/>
      <c r="N19" s="341">
        <f t="shared" si="3"/>
        <v>769.5</v>
      </c>
      <c r="O19" s="325">
        <f t="shared" si="4"/>
        <v>6619.5</v>
      </c>
      <c r="P19" s="175"/>
      <c r="Q19" s="175"/>
      <c r="R19" s="175"/>
      <c r="S19" s="175"/>
      <c r="T19" s="175"/>
    </row>
    <row r="20" spans="1:20" s="176" customFormat="1" ht="12" x14ac:dyDescent="0.2">
      <c r="A20" s="168">
        <v>14</v>
      </c>
      <c r="B20" s="177" t="s">
        <v>459</v>
      </c>
      <c r="C20" s="337" t="s">
        <v>24</v>
      </c>
      <c r="D20" s="338">
        <v>1</v>
      </c>
      <c r="E20" s="339" t="s">
        <v>22</v>
      </c>
      <c r="F20" s="339" t="s">
        <v>23</v>
      </c>
      <c r="G20" s="340">
        <f>450*D20</f>
        <v>450</v>
      </c>
      <c r="H20" s="341">
        <f t="shared" si="5"/>
        <v>5400</v>
      </c>
      <c r="I20" s="341">
        <f t="shared" si="6"/>
        <v>450</v>
      </c>
      <c r="J20" s="341">
        <f t="shared" si="1"/>
        <v>364.5</v>
      </c>
      <c r="K20" s="341">
        <v>0</v>
      </c>
      <c r="L20" s="341">
        <f t="shared" si="2"/>
        <v>405</v>
      </c>
      <c r="M20" s="341"/>
      <c r="N20" s="341">
        <f t="shared" si="3"/>
        <v>769.5</v>
      </c>
      <c r="O20" s="325">
        <f t="shared" si="4"/>
        <v>6619.5</v>
      </c>
      <c r="P20" s="175"/>
      <c r="Q20" s="175"/>
      <c r="R20" s="175"/>
      <c r="S20" s="175"/>
      <c r="T20" s="175"/>
    </row>
    <row r="21" spans="1:20" s="2" customFormat="1" ht="13.5" thickBot="1" x14ac:dyDescent="0.25">
      <c r="A21" s="171"/>
      <c r="B21" s="183" t="s">
        <v>417</v>
      </c>
      <c r="C21" s="343"/>
      <c r="D21" s="344">
        <f>SUM(D15:D20)</f>
        <v>6</v>
      </c>
      <c r="E21" s="345"/>
      <c r="F21" s="345"/>
      <c r="G21" s="346">
        <f t="shared" ref="G21:O21" si="7">SUM(G15:G20)</f>
        <v>4310.6000000000004</v>
      </c>
      <c r="H21" s="348">
        <f t="shared" si="7"/>
        <v>51727.199999999997</v>
      </c>
      <c r="I21" s="348">
        <f t="shared" si="7"/>
        <v>4310.6000000000004</v>
      </c>
      <c r="J21" s="348">
        <f t="shared" si="7"/>
        <v>3491.5860000000002</v>
      </c>
      <c r="K21" s="348">
        <f t="shared" si="7"/>
        <v>0</v>
      </c>
      <c r="L21" s="348">
        <f t="shared" si="7"/>
        <v>2831.6790000000001</v>
      </c>
      <c r="M21" s="348">
        <f t="shared" si="7"/>
        <v>0</v>
      </c>
      <c r="N21" s="348">
        <f t="shared" si="7"/>
        <v>6323.2650000000003</v>
      </c>
      <c r="O21" s="326">
        <f t="shared" si="7"/>
        <v>62361.065000000002</v>
      </c>
      <c r="P21" s="139"/>
      <c r="Q21" s="139"/>
      <c r="R21" s="139"/>
      <c r="S21" s="139"/>
      <c r="T21" s="139"/>
    </row>
    <row r="22" spans="1:20" s="2" customFormat="1" ht="13.5" hidden="1" thickTop="1" x14ac:dyDescent="0.2">
      <c r="A22" s="168"/>
      <c r="B22" s="135"/>
      <c r="C22" s="337"/>
      <c r="D22" s="338"/>
      <c r="E22" s="339"/>
      <c r="F22" s="339"/>
      <c r="G22" s="340"/>
      <c r="H22" s="341"/>
      <c r="I22" s="341"/>
      <c r="J22" s="341"/>
      <c r="K22" s="341"/>
      <c r="L22" s="341"/>
      <c r="M22" s="341"/>
      <c r="N22" s="341"/>
      <c r="O22" s="325"/>
      <c r="P22" s="139"/>
      <c r="Q22" s="139"/>
      <c r="R22" s="139"/>
      <c r="S22" s="139"/>
      <c r="T22" s="139"/>
    </row>
    <row r="23" spans="1:20" s="2" customFormat="1" hidden="1" x14ac:dyDescent="0.2">
      <c r="A23" s="168">
        <v>15</v>
      </c>
      <c r="B23" s="178"/>
      <c r="C23" s="337" t="s">
        <v>24</v>
      </c>
      <c r="D23" s="338"/>
      <c r="E23" s="339" t="s">
        <v>22</v>
      </c>
      <c r="F23" s="339" t="s">
        <v>418</v>
      </c>
      <c r="G23" s="340"/>
      <c r="H23" s="341">
        <f t="shared" ref="H23:H28" si="8">+G23*12*D23</f>
        <v>0</v>
      </c>
      <c r="I23" s="341">
        <f t="shared" ref="I23:I28" si="9">+G23*D23</f>
        <v>0</v>
      </c>
      <c r="J23" s="341">
        <f t="shared" ref="J23:J28" si="10">+H23*$J$8</f>
        <v>0</v>
      </c>
      <c r="K23" s="341"/>
      <c r="L23" s="341">
        <f t="shared" ref="L23:L28" si="11">IF(G23&gt;685.71,685.71*$L$8*12,G23*$L$8*12)</f>
        <v>0</v>
      </c>
      <c r="M23" s="341"/>
      <c r="N23" s="341">
        <f t="shared" ref="N23:N28" si="12">SUM(K23:M23)</f>
        <v>0</v>
      </c>
      <c r="O23" s="325">
        <f t="shared" ref="O23:O28" si="13">SUM(H23:M23)</f>
        <v>0</v>
      </c>
      <c r="P23" s="139"/>
      <c r="Q23" s="139"/>
      <c r="R23" s="139"/>
      <c r="S23" s="139"/>
      <c r="T23" s="139"/>
    </row>
    <row r="24" spans="1:20" s="2" customFormat="1" hidden="1" x14ac:dyDescent="0.2">
      <c r="A24" s="168">
        <v>16</v>
      </c>
      <c r="B24" s="135"/>
      <c r="C24" s="337"/>
      <c r="D24" s="338"/>
      <c r="E24" s="339" t="s">
        <v>22</v>
      </c>
      <c r="F24" s="339" t="s">
        <v>418</v>
      </c>
      <c r="G24" s="340"/>
      <c r="H24" s="341">
        <f t="shared" si="8"/>
        <v>0</v>
      </c>
      <c r="I24" s="341">
        <f t="shared" si="9"/>
        <v>0</v>
      </c>
      <c r="J24" s="341">
        <f t="shared" si="10"/>
        <v>0</v>
      </c>
      <c r="K24" s="341"/>
      <c r="L24" s="341">
        <f t="shared" si="11"/>
        <v>0</v>
      </c>
      <c r="M24" s="341"/>
      <c r="N24" s="341">
        <f t="shared" si="12"/>
        <v>0</v>
      </c>
      <c r="O24" s="325">
        <f t="shared" si="13"/>
        <v>0</v>
      </c>
      <c r="P24" s="139"/>
      <c r="Q24" s="139"/>
      <c r="R24" s="139"/>
      <c r="S24" s="139"/>
      <c r="T24" s="139"/>
    </row>
    <row r="25" spans="1:20" s="2" customFormat="1" hidden="1" x14ac:dyDescent="0.2">
      <c r="A25" s="168">
        <v>17</v>
      </c>
      <c r="B25" s="135"/>
      <c r="C25" s="337"/>
      <c r="D25" s="338"/>
      <c r="E25" s="339" t="s">
        <v>22</v>
      </c>
      <c r="F25" s="339" t="s">
        <v>418</v>
      </c>
      <c r="G25" s="340"/>
      <c r="H25" s="341">
        <f t="shared" si="8"/>
        <v>0</v>
      </c>
      <c r="I25" s="341">
        <f t="shared" si="9"/>
        <v>0</v>
      </c>
      <c r="J25" s="341">
        <f t="shared" si="10"/>
        <v>0</v>
      </c>
      <c r="K25" s="341"/>
      <c r="L25" s="341">
        <f t="shared" si="11"/>
        <v>0</v>
      </c>
      <c r="M25" s="341"/>
      <c r="N25" s="341">
        <f t="shared" si="12"/>
        <v>0</v>
      </c>
      <c r="O25" s="325">
        <f t="shared" si="13"/>
        <v>0</v>
      </c>
      <c r="P25" s="139"/>
      <c r="Q25" s="139"/>
      <c r="R25" s="139"/>
      <c r="S25" s="139"/>
      <c r="T25" s="139"/>
    </row>
    <row r="26" spans="1:20" s="2" customFormat="1" hidden="1" x14ac:dyDescent="0.2">
      <c r="A26" s="168">
        <v>18</v>
      </c>
      <c r="B26" s="135"/>
      <c r="C26" s="337"/>
      <c r="D26" s="338"/>
      <c r="E26" s="339" t="s">
        <v>22</v>
      </c>
      <c r="F26" s="339" t="s">
        <v>418</v>
      </c>
      <c r="G26" s="340"/>
      <c r="H26" s="341">
        <f t="shared" si="8"/>
        <v>0</v>
      </c>
      <c r="I26" s="341">
        <f t="shared" si="9"/>
        <v>0</v>
      </c>
      <c r="J26" s="341">
        <f t="shared" si="10"/>
        <v>0</v>
      </c>
      <c r="K26" s="341"/>
      <c r="L26" s="341">
        <f t="shared" si="11"/>
        <v>0</v>
      </c>
      <c r="M26" s="341"/>
      <c r="N26" s="341">
        <f t="shared" si="12"/>
        <v>0</v>
      </c>
      <c r="O26" s="325">
        <f t="shared" si="13"/>
        <v>0</v>
      </c>
      <c r="P26" s="139"/>
      <c r="Q26" s="139"/>
      <c r="R26" s="139"/>
      <c r="S26" s="139"/>
      <c r="T26" s="139"/>
    </row>
    <row r="27" spans="1:20" s="2" customFormat="1" hidden="1" x14ac:dyDescent="0.2">
      <c r="A27" s="168">
        <v>19</v>
      </c>
      <c r="B27" s="135"/>
      <c r="C27" s="337"/>
      <c r="D27" s="338"/>
      <c r="E27" s="339" t="s">
        <v>22</v>
      </c>
      <c r="F27" s="339" t="s">
        <v>418</v>
      </c>
      <c r="G27" s="340"/>
      <c r="H27" s="341">
        <f t="shared" si="8"/>
        <v>0</v>
      </c>
      <c r="I27" s="341">
        <f t="shared" si="9"/>
        <v>0</v>
      </c>
      <c r="J27" s="341">
        <f t="shared" si="10"/>
        <v>0</v>
      </c>
      <c r="K27" s="341"/>
      <c r="L27" s="341">
        <f t="shared" si="11"/>
        <v>0</v>
      </c>
      <c r="M27" s="341"/>
      <c r="N27" s="341">
        <f t="shared" si="12"/>
        <v>0</v>
      </c>
      <c r="O27" s="325">
        <f t="shared" si="13"/>
        <v>0</v>
      </c>
      <c r="P27" s="139"/>
      <c r="Q27" s="139"/>
      <c r="R27" s="139"/>
      <c r="S27" s="139"/>
      <c r="T27" s="139"/>
    </row>
    <row r="28" spans="1:20" s="2" customFormat="1" hidden="1" x14ac:dyDescent="0.2">
      <c r="A28" s="168">
        <v>20</v>
      </c>
      <c r="B28" s="135"/>
      <c r="C28" s="337"/>
      <c r="D28" s="338"/>
      <c r="E28" s="339" t="s">
        <v>22</v>
      </c>
      <c r="F28" s="339" t="s">
        <v>418</v>
      </c>
      <c r="G28" s="340"/>
      <c r="H28" s="341">
        <f t="shared" si="8"/>
        <v>0</v>
      </c>
      <c r="I28" s="341">
        <f t="shared" si="9"/>
        <v>0</v>
      </c>
      <c r="J28" s="341">
        <f t="shared" si="10"/>
        <v>0</v>
      </c>
      <c r="K28" s="341"/>
      <c r="L28" s="341">
        <f t="shared" si="11"/>
        <v>0</v>
      </c>
      <c r="M28" s="341"/>
      <c r="N28" s="341">
        <f t="shared" si="12"/>
        <v>0</v>
      </c>
      <c r="O28" s="325">
        <f t="shared" si="13"/>
        <v>0</v>
      </c>
      <c r="P28" s="139"/>
      <c r="Q28" s="139"/>
      <c r="R28" s="139"/>
      <c r="S28" s="139"/>
      <c r="T28" s="139"/>
    </row>
    <row r="29" spans="1:20" s="2" customFormat="1" ht="13.5" hidden="1" thickBot="1" x14ac:dyDescent="0.25">
      <c r="A29" s="171"/>
      <c r="B29" s="172" t="s">
        <v>419</v>
      </c>
      <c r="C29" s="343"/>
      <c r="D29" s="349">
        <f>SUM(D23:D28)</f>
        <v>0</v>
      </c>
      <c r="E29" s="345"/>
      <c r="F29" s="345"/>
      <c r="G29" s="350">
        <f t="shared" ref="G29:O29" si="14">SUM(G23:G28)</f>
        <v>0</v>
      </c>
      <c r="H29" s="351">
        <f t="shared" si="14"/>
        <v>0</v>
      </c>
      <c r="I29" s="351">
        <f t="shared" si="14"/>
        <v>0</v>
      </c>
      <c r="J29" s="351">
        <f t="shared" si="14"/>
        <v>0</v>
      </c>
      <c r="K29" s="351">
        <f t="shared" si="14"/>
        <v>0</v>
      </c>
      <c r="L29" s="351">
        <f t="shared" si="14"/>
        <v>0</v>
      </c>
      <c r="M29" s="351">
        <f t="shared" si="14"/>
        <v>0</v>
      </c>
      <c r="N29" s="351">
        <f t="shared" si="14"/>
        <v>0</v>
      </c>
      <c r="O29" s="327">
        <f t="shared" si="14"/>
        <v>0</v>
      </c>
      <c r="P29" s="139"/>
      <c r="Q29" s="139"/>
      <c r="R29" s="139"/>
      <c r="S29" s="139"/>
      <c r="T29" s="139"/>
    </row>
    <row r="30" spans="1:20" s="2" customFormat="1" ht="6.75" hidden="1" customHeight="1" thickTop="1" x14ac:dyDescent="0.2">
      <c r="A30" s="179"/>
      <c r="B30" s="180"/>
      <c r="C30" s="352"/>
      <c r="D30" s="353"/>
      <c r="E30" s="354"/>
      <c r="F30" s="354"/>
      <c r="G30" s="355"/>
      <c r="H30" s="356"/>
      <c r="I30" s="356"/>
      <c r="J30" s="356"/>
      <c r="K30" s="356"/>
      <c r="L30" s="356"/>
      <c r="M30" s="356"/>
      <c r="N30" s="356"/>
      <c r="O30" s="328"/>
      <c r="P30" s="139"/>
      <c r="Q30" s="139"/>
      <c r="R30" s="139"/>
      <c r="S30" s="139"/>
      <c r="T30" s="139"/>
    </row>
    <row r="31" spans="1:20" s="170" customFormat="1" ht="14.25" thickTop="1" thickBot="1" x14ac:dyDescent="0.25">
      <c r="A31" s="181"/>
      <c r="B31" s="182" t="s">
        <v>420</v>
      </c>
      <c r="C31" s="357"/>
      <c r="D31" s="358">
        <f>+D14+D21</f>
        <v>11</v>
      </c>
      <c r="E31" s="359"/>
      <c r="F31" s="359"/>
      <c r="G31" s="360">
        <f>+G29+G21+G14</f>
        <v>9560.6</v>
      </c>
      <c r="H31" s="361">
        <f t="shared" ref="H31:O31" si="15">+H29+H21+H14</f>
        <v>114727.2</v>
      </c>
      <c r="I31" s="361">
        <f t="shared" si="15"/>
        <v>9560.6</v>
      </c>
      <c r="J31" s="361">
        <f t="shared" si="15"/>
        <v>6974.5860000000002</v>
      </c>
      <c r="K31" s="361">
        <f t="shared" si="15"/>
        <v>0</v>
      </c>
      <c r="L31" s="361">
        <f t="shared" si="15"/>
        <v>5493.0959999999995</v>
      </c>
      <c r="M31" s="361">
        <f t="shared" si="15"/>
        <v>0</v>
      </c>
      <c r="N31" s="361">
        <f t="shared" si="15"/>
        <v>12467.682000000001</v>
      </c>
      <c r="O31" s="184">
        <f t="shared" si="15"/>
        <v>136755.48200000002</v>
      </c>
      <c r="P31" s="174"/>
      <c r="Q31" s="139"/>
      <c r="R31" s="139"/>
      <c r="S31" s="75"/>
      <c r="T31" s="75"/>
    </row>
    <row r="32" spans="1:20" s="170" customFormat="1" hidden="1" x14ac:dyDescent="0.2">
      <c r="A32" s="168"/>
      <c r="B32" s="135"/>
      <c r="C32" s="337"/>
      <c r="D32" s="338"/>
      <c r="E32" s="339"/>
      <c r="F32" s="339"/>
      <c r="G32" s="340"/>
      <c r="H32" s="341"/>
      <c r="I32" s="341"/>
      <c r="J32" s="342"/>
      <c r="K32" s="341"/>
      <c r="L32" s="341"/>
      <c r="M32" s="341"/>
      <c r="N32" s="341"/>
      <c r="O32" s="325"/>
      <c r="P32" s="75"/>
      <c r="Q32" s="139"/>
      <c r="R32" s="139"/>
      <c r="S32" s="75"/>
      <c r="T32" s="75"/>
    </row>
    <row r="33" spans="1:20" s="170" customFormat="1" hidden="1" x14ac:dyDescent="0.2">
      <c r="A33" s="168">
        <v>30</v>
      </c>
      <c r="B33" s="135" t="s">
        <v>421</v>
      </c>
      <c r="C33" s="337" t="s">
        <v>422</v>
      </c>
      <c r="D33" s="338">
        <v>1</v>
      </c>
      <c r="E33" s="339" t="s">
        <v>23</v>
      </c>
      <c r="F33" s="339" t="s">
        <v>423</v>
      </c>
      <c r="G33" s="340">
        <v>0</v>
      </c>
      <c r="H33" s="341">
        <f>+G33*12*D33</f>
        <v>0</v>
      </c>
      <c r="I33" s="341">
        <f>+G33*D33</f>
        <v>0</v>
      </c>
      <c r="J33" s="341">
        <f>+H33*$J$8</f>
        <v>0</v>
      </c>
      <c r="K33" s="341"/>
      <c r="L33" s="341">
        <f>IF(G33&gt;685.71,685.71*$L$8*12,G33*$L$8*12)</f>
        <v>0</v>
      </c>
      <c r="M33" s="341"/>
      <c r="N33" s="341">
        <f>SUM(K33:M33)</f>
        <v>0</v>
      </c>
      <c r="O33" s="325">
        <f>SUM(H33:M33)</f>
        <v>0</v>
      </c>
      <c r="P33" s="75"/>
      <c r="Q33" s="139"/>
      <c r="R33" s="139"/>
      <c r="S33" s="75"/>
      <c r="T33" s="75"/>
    </row>
    <row r="34" spans="1:20" s="170" customFormat="1" hidden="1" x14ac:dyDescent="0.2">
      <c r="A34" s="168">
        <v>31</v>
      </c>
      <c r="B34" s="135" t="s">
        <v>424</v>
      </c>
      <c r="C34" s="337" t="s">
        <v>422</v>
      </c>
      <c r="D34" s="338"/>
      <c r="E34" s="339" t="s">
        <v>23</v>
      </c>
      <c r="F34" s="339" t="s">
        <v>423</v>
      </c>
      <c r="G34" s="340">
        <v>0</v>
      </c>
      <c r="H34" s="341">
        <f>+G34*12*D34</f>
        <v>0</v>
      </c>
      <c r="I34" s="341">
        <f>+G34*D34</f>
        <v>0</v>
      </c>
      <c r="J34" s="341">
        <f>+H34*$J$8</f>
        <v>0</v>
      </c>
      <c r="K34" s="342"/>
      <c r="L34" s="341">
        <f>IF(G34&gt;685.71,685.71*$L$8*12,G34*$L$8*12)</f>
        <v>0</v>
      </c>
      <c r="M34" s="341"/>
      <c r="N34" s="341">
        <f>SUM(K34:M34)</f>
        <v>0</v>
      </c>
      <c r="O34" s="325">
        <f>SUM(H34:M34)</f>
        <v>0</v>
      </c>
      <c r="P34" s="75"/>
      <c r="Q34" s="139"/>
      <c r="R34" s="139"/>
      <c r="S34" s="75"/>
      <c r="T34" s="75"/>
    </row>
    <row r="35" spans="1:20" s="170" customFormat="1" hidden="1" x14ac:dyDescent="0.2">
      <c r="A35" s="168">
        <v>32</v>
      </c>
      <c r="B35" s="135" t="s">
        <v>425</v>
      </c>
      <c r="C35" s="337" t="s">
        <v>422</v>
      </c>
      <c r="D35" s="338"/>
      <c r="E35" s="339" t="s">
        <v>23</v>
      </c>
      <c r="F35" s="339" t="s">
        <v>423</v>
      </c>
      <c r="G35" s="340">
        <v>0</v>
      </c>
      <c r="H35" s="341">
        <f>+G35*12*D35</f>
        <v>0</v>
      </c>
      <c r="I35" s="341">
        <f>+G35*D35</f>
        <v>0</v>
      </c>
      <c r="J35" s="341">
        <f>+H35*$J$8</f>
        <v>0</v>
      </c>
      <c r="K35" s="342"/>
      <c r="L35" s="341">
        <f>IF(G35&gt;685.71,685.71*$L$8*12,G35*$L$8*12)</f>
        <v>0</v>
      </c>
      <c r="M35" s="341"/>
      <c r="N35" s="341">
        <f>SUM(K35:M35)</f>
        <v>0</v>
      </c>
      <c r="O35" s="325">
        <f>SUM(H35:M35)</f>
        <v>0</v>
      </c>
      <c r="P35" s="75"/>
      <c r="Q35" s="139"/>
      <c r="R35" s="139"/>
      <c r="S35" s="75"/>
      <c r="T35" s="75"/>
    </row>
    <row r="36" spans="1:20" s="170" customFormat="1" hidden="1" x14ac:dyDescent="0.2">
      <c r="A36" s="168">
        <v>33</v>
      </c>
      <c r="B36" s="135" t="s">
        <v>426</v>
      </c>
      <c r="C36" s="337" t="s">
        <v>422</v>
      </c>
      <c r="D36" s="338"/>
      <c r="E36" s="339" t="s">
        <v>23</v>
      </c>
      <c r="F36" s="339" t="s">
        <v>423</v>
      </c>
      <c r="G36" s="340">
        <v>0</v>
      </c>
      <c r="H36" s="341">
        <f>+G36*12*D36</f>
        <v>0</v>
      </c>
      <c r="I36" s="341">
        <f>+G36*D36</f>
        <v>0</v>
      </c>
      <c r="J36" s="341">
        <f>+H36*$J$8</f>
        <v>0</v>
      </c>
      <c r="K36" s="342"/>
      <c r="L36" s="341">
        <f>IF(G36&gt;685.71,685.71*$L$8*12,G36*$L$8*12)</f>
        <v>0</v>
      </c>
      <c r="M36" s="341"/>
      <c r="N36" s="341">
        <f>SUM(K36:M36)</f>
        <v>0</v>
      </c>
      <c r="O36" s="325">
        <f>SUM(H36:M36)</f>
        <v>0</v>
      </c>
      <c r="P36" s="75"/>
      <c r="Q36" s="139"/>
      <c r="R36" s="139"/>
      <c r="S36" s="75"/>
      <c r="T36" s="75"/>
    </row>
    <row r="37" spans="1:20" s="170" customFormat="1" ht="13.5" hidden="1" thickBot="1" x14ac:dyDescent="0.25">
      <c r="A37" s="171"/>
      <c r="B37" s="172" t="s">
        <v>427</v>
      </c>
      <c r="C37" s="343"/>
      <c r="D37" s="349">
        <f>SUM(D33:D36)</f>
        <v>1</v>
      </c>
      <c r="E37" s="345"/>
      <c r="F37" s="345"/>
      <c r="G37" s="350">
        <f t="shared" ref="G37:O37" si="16">SUM(G33:G36)</f>
        <v>0</v>
      </c>
      <c r="H37" s="351">
        <f t="shared" si="16"/>
        <v>0</v>
      </c>
      <c r="I37" s="351">
        <f t="shared" si="16"/>
        <v>0</v>
      </c>
      <c r="J37" s="351">
        <f t="shared" si="16"/>
        <v>0</v>
      </c>
      <c r="K37" s="351">
        <f t="shared" si="16"/>
        <v>0</v>
      </c>
      <c r="L37" s="351">
        <f t="shared" si="16"/>
        <v>0</v>
      </c>
      <c r="M37" s="351">
        <f t="shared" si="16"/>
        <v>0</v>
      </c>
      <c r="N37" s="351">
        <f t="shared" si="16"/>
        <v>0</v>
      </c>
      <c r="O37" s="329">
        <f t="shared" si="16"/>
        <v>0</v>
      </c>
      <c r="P37" s="75"/>
      <c r="Q37" s="139"/>
      <c r="R37" s="139"/>
      <c r="S37" s="75"/>
      <c r="T37" s="75"/>
    </row>
    <row r="38" spans="1:20" s="170" customFormat="1" ht="13.5" hidden="1" thickTop="1" x14ac:dyDescent="0.2">
      <c r="A38" s="168"/>
      <c r="B38" s="135"/>
      <c r="C38" s="337"/>
      <c r="D38" s="338"/>
      <c r="E38" s="339"/>
      <c r="F38" s="339"/>
      <c r="G38" s="340"/>
      <c r="H38" s="341"/>
      <c r="I38" s="341"/>
      <c r="J38" s="341"/>
      <c r="K38" s="342"/>
      <c r="L38" s="341"/>
      <c r="M38" s="341"/>
      <c r="N38" s="341"/>
      <c r="O38" s="325"/>
      <c r="P38" s="75"/>
      <c r="Q38" s="139"/>
      <c r="R38" s="139"/>
      <c r="S38" s="75"/>
      <c r="T38" s="75"/>
    </row>
    <row r="39" spans="1:20" s="170" customFormat="1" hidden="1" x14ac:dyDescent="0.2">
      <c r="A39" s="168">
        <v>34</v>
      </c>
      <c r="B39" s="135" t="s">
        <v>428</v>
      </c>
      <c r="C39" s="337" t="s">
        <v>429</v>
      </c>
      <c r="D39" s="338">
        <v>1</v>
      </c>
      <c r="E39" s="339" t="s">
        <v>23</v>
      </c>
      <c r="F39" s="339" t="s">
        <v>430</v>
      </c>
      <c r="G39" s="340">
        <v>0</v>
      </c>
      <c r="H39" s="341">
        <f>+G39*12*D39</f>
        <v>0</v>
      </c>
      <c r="I39" s="341">
        <f>+G39*D39</f>
        <v>0</v>
      </c>
      <c r="J39" s="341">
        <f>+H39*$J$8</f>
        <v>0</v>
      </c>
      <c r="K39" s="342"/>
      <c r="L39" s="341">
        <f>IF(G39&gt;685.71,685.71*$L$8*12,G39*$L$8*12)</f>
        <v>0</v>
      </c>
      <c r="M39" s="341"/>
      <c r="N39" s="341">
        <f>SUM(K39:M39)</f>
        <v>0</v>
      </c>
      <c r="O39" s="325">
        <f>SUM(H39:M39)</f>
        <v>0</v>
      </c>
      <c r="P39" s="75"/>
      <c r="Q39" s="139"/>
      <c r="R39" s="139"/>
      <c r="S39" s="75"/>
      <c r="T39" s="75"/>
    </row>
    <row r="40" spans="1:20" s="170" customFormat="1" hidden="1" x14ac:dyDescent="0.2">
      <c r="A40" s="168">
        <v>35</v>
      </c>
      <c r="B40" s="135" t="s">
        <v>431</v>
      </c>
      <c r="C40" s="337" t="s">
        <v>429</v>
      </c>
      <c r="D40" s="338"/>
      <c r="E40" s="339" t="s">
        <v>23</v>
      </c>
      <c r="F40" s="339" t="s">
        <v>430</v>
      </c>
      <c r="G40" s="340">
        <v>0</v>
      </c>
      <c r="H40" s="341">
        <f>+G40*12*D40</f>
        <v>0</v>
      </c>
      <c r="I40" s="341">
        <f>+G40*D40</f>
        <v>0</v>
      </c>
      <c r="J40" s="341">
        <f>+H40*$J$8</f>
        <v>0</v>
      </c>
      <c r="K40" s="342"/>
      <c r="L40" s="341">
        <f>IF(G40&gt;685.71,685.71*$L$8*12,G40*$L$8*12)</f>
        <v>0</v>
      </c>
      <c r="M40" s="341"/>
      <c r="N40" s="341">
        <f>SUM(K40:M40)</f>
        <v>0</v>
      </c>
      <c r="O40" s="325">
        <f>SUM(H40:M40)</f>
        <v>0</v>
      </c>
      <c r="P40" s="75"/>
      <c r="Q40" s="139"/>
      <c r="R40" s="139"/>
      <c r="S40" s="75"/>
      <c r="T40" s="75"/>
    </row>
    <row r="41" spans="1:20" s="170" customFormat="1" ht="13.5" hidden="1" thickBot="1" x14ac:dyDescent="0.25">
      <c r="A41" s="171"/>
      <c r="B41" s="172" t="s">
        <v>432</v>
      </c>
      <c r="C41" s="343"/>
      <c r="D41" s="349">
        <f>SUM(D39:D40)</f>
        <v>1</v>
      </c>
      <c r="E41" s="345"/>
      <c r="F41" s="345"/>
      <c r="G41" s="350">
        <f t="shared" ref="G41:O41" si="17">SUM(G39:G40)</f>
        <v>0</v>
      </c>
      <c r="H41" s="351">
        <f t="shared" si="17"/>
        <v>0</v>
      </c>
      <c r="I41" s="351">
        <f t="shared" si="17"/>
        <v>0</v>
      </c>
      <c r="J41" s="351">
        <f t="shared" si="17"/>
        <v>0</v>
      </c>
      <c r="K41" s="351">
        <f t="shared" si="17"/>
        <v>0</v>
      </c>
      <c r="L41" s="351">
        <f t="shared" si="17"/>
        <v>0</v>
      </c>
      <c r="M41" s="351">
        <f t="shared" si="17"/>
        <v>0</v>
      </c>
      <c r="N41" s="351">
        <f t="shared" si="17"/>
        <v>0</v>
      </c>
      <c r="O41" s="329">
        <f t="shared" si="17"/>
        <v>0</v>
      </c>
      <c r="P41" s="75"/>
      <c r="Q41" s="139"/>
      <c r="R41" s="139"/>
      <c r="S41" s="75"/>
      <c r="T41" s="75"/>
    </row>
    <row r="42" spans="1:20" s="170" customFormat="1" ht="13.5" hidden="1" thickTop="1" x14ac:dyDescent="0.2">
      <c r="A42" s="168"/>
      <c r="B42" s="135"/>
      <c r="C42" s="337"/>
      <c r="D42" s="338"/>
      <c r="E42" s="339"/>
      <c r="F42" s="339"/>
      <c r="G42" s="340"/>
      <c r="H42" s="341"/>
      <c r="I42" s="341"/>
      <c r="J42" s="341"/>
      <c r="K42" s="342"/>
      <c r="L42" s="341"/>
      <c r="M42" s="341"/>
      <c r="N42" s="341"/>
      <c r="O42" s="325"/>
      <c r="P42" s="75"/>
      <c r="Q42" s="139"/>
      <c r="R42" s="139"/>
      <c r="S42" s="75"/>
      <c r="T42" s="75"/>
    </row>
    <row r="43" spans="1:20" s="170" customFormat="1" hidden="1" x14ac:dyDescent="0.2">
      <c r="A43" s="168">
        <v>36</v>
      </c>
      <c r="B43" s="135" t="s">
        <v>433</v>
      </c>
      <c r="C43" s="337" t="s">
        <v>434</v>
      </c>
      <c r="D43" s="338">
        <v>1</v>
      </c>
      <c r="E43" s="339" t="s">
        <v>23</v>
      </c>
      <c r="F43" s="339" t="s">
        <v>435</v>
      </c>
      <c r="G43" s="340">
        <v>0</v>
      </c>
      <c r="H43" s="341">
        <f>+G43*12*D43</f>
        <v>0</v>
      </c>
      <c r="I43" s="341">
        <f>+G43*D43</f>
        <v>0</v>
      </c>
      <c r="J43" s="341">
        <f>+H43*$J$8</f>
        <v>0</v>
      </c>
      <c r="K43" s="342"/>
      <c r="L43" s="341">
        <f>IF(G43&gt;685.71,685.71*$L$8*12,G43*$L$8*12)</f>
        <v>0</v>
      </c>
      <c r="M43" s="341"/>
      <c r="N43" s="341">
        <f>SUM(K43:M43)</f>
        <v>0</v>
      </c>
      <c r="O43" s="325">
        <f>SUM(H43:M43)</f>
        <v>0</v>
      </c>
      <c r="P43" s="75"/>
      <c r="Q43" s="139"/>
      <c r="R43" s="139"/>
      <c r="S43" s="75"/>
      <c r="T43" s="75"/>
    </row>
    <row r="44" spans="1:20" s="170" customFormat="1" hidden="1" x14ac:dyDescent="0.2">
      <c r="A44" s="168">
        <v>37</v>
      </c>
      <c r="B44" s="135" t="s">
        <v>431</v>
      </c>
      <c r="C44" s="337" t="s">
        <v>434</v>
      </c>
      <c r="D44" s="338"/>
      <c r="E44" s="339" t="s">
        <v>23</v>
      </c>
      <c r="F44" s="339" t="s">
        <v>435</v>
      </c>
      <c r="G44" s="340">
        <v>0</v>
      </c>
      <c r="H44" s="341">
        <f>+G44*12*D44</f>
        <v>0</v>
      </c>
      <c r="I44" s="341">
        <f>+G44*D44</f>
        <v>0</v>
      </c>
      <c r="J44" s="341">
        <f>+H44*$J$8</f>
        <v>0</v>
      </c>
      <c r="K44" s="342"/>
      <c r="L44" s="341">
        <f>IF(G44&gt;685.71,685.71*$L$8*12,G44*$L$8*12)</f>
        <v>0</v>
      </c>
      <c r="M44" s="341"/>
      <c r="N44" s="341">
        <f>SUM(K44:M44)</f>
        <v>0</v>
      </c>
      <c r="O44" s="325">
        <f>SUM(H44:M44)</f>
        <v>0</v>
      </c>
      <c r="P44" s="75"/>
      <c r="Q44" s="139"/>
      <c r="R44" s="139"/>
      <c r="S44" s="75"/>
      <c r="T44" s="75"/>
    </row>
    <row r="45" spans="1:20" s="170" customFormat="1" ht="13.5" hidden="1" thickBot="1" x14ac:dyDescent="0.25">
      <c r="A45" s="171"/>
      <c r="B45" s="172" t="s">
        <v>436</v>
      </c>
      <c r="C45" s="343"/>
      <c r="D45" s="349">
        <f>SUM(D43:D44)</f>
        <v>1</v>
      </c>
      <c r="E45" s="345"/>
      <c r="F45" s="345"/>
      <c r="G45" s="350">
        <f t="shared" ref="G45:O45" si="18">SUM(G43:G44)</f>
        <v>0</v>
      </c>
      <c r="H45" s="351">
        <f t="shared" si="18"/>
        <v>0</v>
      </c>
      <c r="I45" s="351">
        <f t="shared" si="18"/>
        <v>0</v>
      </c>
      <c r="J45" s="351">
        <f t="shared" si="18"/>
        <v>0</v>
      </c>
      <c r="K45" s="351">
        <f t="shared" si="18"/>
        <v>0</v>
      </c>
      <c r="L45" s="351">
        <f t="shared" si="18"/>
        <v>0</v>
      </c>
      <c r="M45" s="351">
        <f t="shared" si="18"/>
        <v>0</v>
      </c>
      <c r="N45" s="351">
        <f t="shared" si="18"/>
        <v>0</v>
      </c>
      <c r="O45" s="329">
        <f t="shared" si="18"/>
        <v>0</v>
      </c>
      <c r="P45" s="75"/>
      <c r="Q45" s="139"/>
      <c r="R45" s="139"/>
      <c r="S45" s="75"/>
      <c r="T45" s="75"/>
    </row>
    <row r="46" spans="1:20" s="170" customFormat="1" x14ac:dyDescent="0.2">
      <c r="A46" s="168">
        <v>38</v>
      </c>
      <c r="B46" s="135" t="s">
        <v>437</v>
      </c>
      <c r="C46" s="337" t="s">
        <v>438</v>
      </c>
      <c r="D46" s="338">
        <v>1</v>
      </c>
      <c r="E46" s="339" t="s">
        <v>26</v>
      </c>
      <c r="F46" s="339" t="s">
        <v>26</v>
      </c>
      <c r="G46" s="340">
        <f>450*D46</f>
        <v>450</v>
      </c>
      <c r="H46" s="341">
        <f>G46*12</f>
        <v>5400</v>
      </c>
      <c r="I46" s="341">
        <f>G46</f>
        <v>450</v>
      </c>
      <c r="J46" s="341">
        <f>+H46*$J$8</f>
        <v>364.5</v>
      </c>
      <c r="K46" s="341">
        <v>0</v>
      </c>
      <c r="L46" s="341">
        <f>IF(G46&gt;685.71,685.71*$L$8*12,G46*$L$8*12)</f>
        <v>405</v>
      </c>
      <c r="M46" s="341"/>
      <c r="N46" s="341">
        <f>SUM(J46:M46)</f>
        <v>769.5</v>
      </c>
      <c r="O46" s="325">
        <f>SUM(H46:M46)</f>
        <v>6619.5</v>
      </c>
      <c r="P46" s="75"/>
      <c r="Q46" s="139"/>
      <c r="R46" s="139"/>
      <c r="S46" s="75"/>
      <c r="T46" s="75"/>
    </row>
    <row r="47" spans="1:20" s="170" customFormat="1" x14ac:dyDescent="0.2">
      <c r="A47" s="168"/>
      <c r="B47" s="135" t="s">
        <v>462</v>
      </c>
      <c r="C47" s="337" t="s">
        <v>682</v>
      </c>
      <c r="D47" s="338">
        <v>1</v>
      </c>
      <c r="E47" s="339" t="s">
        <v>26</v>
      </c>
      <c r="F47" s="339" t="s">
        <v>26</v>
      </c>
      <c r="G47" s="340">
        <f>990*D47</f>
        <v>990</v>
      </c>
      <c r="H47" s="341">
        <f t="shared" ref="H47:H50" si="19">G47*12</f>
        <v>11880</v>
      </c>
      <c r="I47" s="341">
        <f t="shared" ref="I47:I50" si="20">G47</f>
        <v>990</v>
      </c>
      <c r="J47" s="341">
        <f>+H47*$J$8</f>
        <v>801.90000000000009</v>
      </c>
      <c r="K47" s="341">
        <v>0</v>
      </c>
      <c r="L47" s="341">
        <f>IF(G47&gt;685.71,685.71*$L$8*12,G47*$L$8*12)</f>
        <v>617.13900000000001</v>
      </c>
      <c r="M47" s="341"/>
      <c r="N47" s="341">
        <f>SUM(J47:M47)</f>
        <v>1419.0390000000002</v>
      </c>
      <c r="O47" s="325">
        <f>SUM(H47:M47)</f>
        <v>14289.038999999999</v>
      </c>
      <c r="P47" s="75"/>
      <c r="Q47" s="139"/>
      <c r="R47" s="139"/>
      <c r="S47" s="75"/>
      <c r="T47" s="75"/>
    </row>
    <row r="48" spans="1:20" s="170" customFormat="1" x14ac:dyDescent="0.2">
      <c r="A48" s="168"/>
      <c r="B48" s="135" t="s">
        <v>534</v>
      </c>
      <c r="C48" s="337" t="s">
        <v>535</v>
      </c>
      <c r="D48" s="338">
        <v>1</v>
      </c>
      <c r="E48" s="339" t="s">
        <v>26</v>
      </c>
      <c r="F48" s="339" t="s">
        <v>26</v>
      </c>
      <c r="G48" s="340">
        <f>328.57*D48</f>
        <v>328.57</v>
      </c>
      <c r="H48" s="341">
        <f t="shared" si="19"/>
        <v>3942.84</v>
      </c>
      <c r="I48" s="341">
        <f t="shared" si="20"/>
        <v>328.57</v>
      </c>
      <c r="J48" s="341">
        <f>+H48*$J$8</f>
        <v>266.14170000000001</v>
      </c>
      <c r="K48" s="341">
        <v>0</v>
      </c>
      <c r="L48" s="341">
        <f>IF(G48&gt;685.71,685.71*$L$8*12,G48*$L$8*12)</f>
        <v>295.71299999999997</v>
      </c>
      <c r="M48" s="341"/>
      <c r="N48" s="341">
        <f>SUM(J48:M48)</f>
        <v>561.85469999999998</v>
      </c>
      <c r="O48" s="325">
        <f>SUM(H48:M48)</f>
        <v>4833.2646999999997</v>
      </c>
      <c r="P48" s="75"/>
      <c r="Q48" s="139"/>
      <c r="R48" s="139"/>
      <c r="S48" s="75"/>
      <c r="T48" s="75"/>
    </row>
    <row r="49" spans="1:20" s="170" customFormat="1" x14ac:dyDescent="0.2">
      <c r="A49" s="168"/>
      <c r="B49" s="135" t="s">
        <v>461</v>
      </c>
      <c r="C49" s="337" t="s">
        <v>683</v>
      </c>
      <c r="D49" s="338">
        <v>1</v>
      </c>
      <c r="E49" s="339" t="s">
        <v>26</v>
      </c>
      <c r="F49" s="339" t="s">
        <v>26</v>
      </c>
      <c r="G49" s="340">
        <f>328.57*D49</f>
        <v>328.57</v>
      </c>
      <c r="H49" s="341">
        <f t="shared" si="19"/>
        <v>3942.84</v>
      </c>
      <c r="I49" s="341">
        <f t="shared" si="20"/>
        <v>328.57</v>
      </c>
      <c r="J49" s="341">
        <f>+H49*$J$8</f>
        <v>266.14170000000001</v>
      </c>
      <c r="K49" s="341">
        <v>0</v>
      </c>
      <c r="L49" s="341">
        <f>IF(G49&gt;685.71,685.71*$L$8*12,G49*$L$8*12)</f>
        <v>295.71299999999997</v>
      </c>
      <c r="M49" s="341"/>
      <c r="N49" s="341">
        <f>SUM(J49:M49)</f>
        <v>561.85469999999998</v>
      </c>
      <c r="O49" s="325">
        <f>SUM(H49:M49)</f>
        <v>4833.2646999999997</v>
      </c>
      <c r="P49" s="75"/>
      <c r="Q49" s="139"/>
      <c r="R49" s="139"/>
      <c r="S49" s="75"/>
      <c r="T49" s="75"/>
    </row>
    <row r="50" spans="1:20" s="170" customFormat="1" x14ac:dyDescent="0.2">
      <c r="A50" s="168">
        <v>39</v>
      </c>
      <c r="B50" s="135" t="s">
        <v>25</v>
      </c>
      <c r="C50" s="337"/>
      <c r="D50" s="338">
        <v>3</v>
      </c>
      <c r="E50" s="339" t="s">
        <v>26</v>
      </c>
      <c r="F50" s="339" t="s">
        <v>26</v>
      </c>
      <c r="G50" s="340">
        <f>300*D50</f>
        <v>900</v>
      </c>
      <c r="H50" s="341">
        <f t="shared" si="19"/>
        <v>10800</v>
      </c>
      <c r="I50" s="341">
        <f t="shared" si="20"/>
        <v>900</v>
      </c>
      <c r="J50" s="341">
        <f>+H50*$J$8</f>
        <v>729</v>
      </c>
      <c r="K50" s="341">
        <v>0</v>
      </c>
      <c r="L50" s="341">
        <f>IF(G50&gt;685.71,685.71*$L$8*12,G50*$L$8*12)*D50</f>
        <v>1851.4169999999999</v>
      </c>
      <c r="M50" s="341"/>
      <c r="N50" s="341">
        <f>SUM(J50:M50)</f>
        <v>2580.4169999999999</v>
      </c>
      <c r="O50" s="325">
        <f>SUM(H50:M50)</f>
        <v>14280.416999999999</v>
      </c>
      <c r="P50" s="75"/>
      <c r="Q50" s="139"/>
      <c r="R50" s="139"/>
      <c r="S50" s="75"/>
      <c r="T50" s="75"/>
    </row>
    <row r="51" spans="1:20" s="170" customFormat="1" ht="13.5" thickBot="1" x14ac:dyDescent="0.25">
      <c r="A51" s="171"/>
      <c r="B51" s="183" t="s">
        <v>439</v>
      </c>
      <c r="C51" s="343"/>
      <c r="D51" s="344">
        <f>SUM(D46:D50)</f>
        <v>7</v>
      </c>
      <c r="E51" s="345"/>
      <c r="F51" s="345"/>
      <c r="G51" s="346">
        <f t="shared" ref="G51:O51" si="21">SUM(G46:G50)</f>
        <v>2997.14</v>
      </c>
      <c r="H51" s="347">
        <f t="shared" si="21"/>
        <v>35965.68</v>
      </c>
      <c r="I51" s="347">
        <f>SUM(I46:I50)</f>
        <v>2997.14</v>
      </c>
      <c r="J51" s="347">
        <f t="shared" si="21"/>
        <v>2427.6834000000003</v>
      </c>
      <c r="K51" s="347">
        <f t="shared" si="21"/>
        <v>0</v>
      </c>
      <c r="L51" s="347">
        <f t="shared" si="21"/>
        <v>3464.982</v>
      </c>
      <c r="M51" s="347">
        <f t="shared" si="21"/>
        <v>0</v>
      </c>
      <c r="N51" s="347">
        <f t="shared" si="21"/>
        <v>5892.6653999999999</v>
      </c>
      <c r="O51" s="173">
        <f t="shared" si="21"/>
        <v>44855.485399999998</v>
      </c>
      <c r="P51" s="75"/>
      <c r="Q51" s="139"/>
      <c r="R51" s="139"/>
      <c r="S51" s="75"/>
      <c r="T51" s="75"/>
    </row>
    <row r="52" spans="1:20" s="170" customFormat="1" ht="13.5" hidden="1" thickTop="1" x14ac:dyDescent="0.2">
      <c r="A52" s="168"/>
      <c r="B52" s="135"/>
      <c r="C52" s="337"/>
      <c r="D52" s="338"/>
      <c r="E52" s="339"/>
      <c r="F52" s="339"/>
      <c r="G52" s="340"/>
      <c r="H52" s="341"/>
      <c r="I52" s="341"/>
      <c r="J52" s="341"/>
      <c r="K52" s="342"/>
      <c r="L52" s="341"/>
      <c r="M52" s="341"/>
      <c r="N52" s="341"/>
      <c r="O52" s="325"/>
      <c r="P52" s="75"/>
      <c r="Q52" s="139"/>
      <c r="R52" s="139"/>
      <c r="S52" s="75"/>
      <c r="T52" s="75"/>
    </row>
    <row r="53" spans="1:20" s="170" customFormat="1" ht="13.5" hidden="1" thickTop="1" x14ac:dyDescent="0.2">
      <c r="A53" s="168">
        <v>40</v>
      </c>
      <c r="B53" s="135" t="s">
        <v>440</v>
      </c>
      <c r="C53" s="337" t="s">
        <v>441</v>
      </c>
      <c r="D53" s="338">
        <v>1</v>
      </c>
      <c r="E53" s="339" t="s">
        <v>23</v>
      </c>
      <c r="F53" s="339" t="s">
        <v>442</v>
      </c>
      <c r="G53" s="340">
        <v>0</v>
      </c>
      <c r="H53" s="341">
        <f>+G53*12*D53</f>
        <v>0</v>
      </c>
      <c r="I53" s="341">
        <f>+G53*D53</f>
        <v>0</v>
      </c>
      <c r="J53" s="341">
        <f>+H53*$J$8</f>
        <v>0</v>
      </c>
      <c r="K53" s="342"/>
      <c r="L53" s="341">
        <f>IF(G53&gt;685.71,685.71*$L$8*12,G53*$L$8*12)</f>
        <v>0</v>
      </c>
      <c r="M53" s="341"/>
      <c r="N53" s="341">
        <f>SUM(K53:M53)</f>
        <v>0</v>
      </c>
      <c r="O53" s="325">
        <f>SUM(H53:M53)</f>
        <v>0</v>
      </c>
      <c r="P53" s="75"/>
      <c r="Q53" s="139"/>
      <c r="R53" s="139"/>
      <c r="S53" s="75"/>
      <c r="T53" s="75"/>
    </row>
    <row r="54" spans="1:20" s="170" customFormat="1" ht="13.5" hidden="1" thickTop="1" x14ac:dyDescent="0.2">
      <c r="A54" s="168">
        <v>41</v>
      </c>
      <c r="B54" s="135" t="s">
        <v>443</v>
      </c>
      <c r="C54" s="337" t="s">
        <v>444</v>
      </c>
      <c r="D54" s="338"/>
      <c r="E54" s="339" t="s">
        <v>23</v>
      </c>
      <c r="F54" s="339" t="s">
        <v>442</v>
      </c>
      <c r="G54" s="340">
        <v>0</v>
      </c>
      <c r="H54" s="341">
        <f>+G54*12*D54</f>
        <v>0</v>
      </c>
      <c r="I54" s="341">
        <f>+G54*D54</f>
        <v>0</v>
      </c>
      <c r="J54" s="341">
        <f>+H54*$J$8</f>
        <v>0</v>
      </c>
      <c r="K54" s="342"/>
      <c r="L54" s="341">
        <f>IF(G54&gt;685.71,685.71*$L$8*12,G54*$L$8*12)</f>
        <v>0</v>
      </c>
      <c r="M54" s="341"/>
      <c r="N54" s="341">
        <f>SUM(K54:M54)</f>
        <v>0</v>
      </c>
      <c r="O54" s="325">
        <f>SUM(H54:M54)</f>
        <v>0</v>
      </c>
      <c r="P54" s="75"/>
      <c r="Q54" s="139"/>
      <c r="R54" s="139"/>
      <c r="S54" s="75"/>
      <c r="T54" s="75"/>
    </row>
    <row r="55" spans="1:20" s="170" customFormat="1" ht="13.5" hidden="1" thickTop="1" x14ac:dyDescent="0.2">
      <c r="A55" s="168">
        <v>42</v>
      </c>
      <c r="B55" s="135" t="s">
        <v>431</v>
      </c>
      <c r="C55" s="337" t="s">
        <v>444</v>
      </c>
      <c r="D55" s="338"/>
      <c r="E55" s="339" t="s">
        <v>23</v>
      </c>
      <c r="F55" s="339" t="s">
        <v>442</v>
      </c>
      <c r="G55" s="340">
        <v>0</v>
      </c>
      <c r="H55" s="341">
        <f>+G55*12*D55</f>
        <v>0</v>
      </c>
      <c r="I55" s="341">
        <f>+G55*D55</f>
        <v>0</v>
      </c>
      <c r="J55" s="341">
        <f>+H55*$J$8</f>
        <v>0</v>
      </c>
      <c r="K55" s="342"/>
      <c r="L55" s="341">
        <f>IF(G55&gt;685.71,685.71*$L$8*12,G55*$L$8*12)</f>
        <v>0</v>
      </c>
      <c r="M55" s="341"/>
      <c r="N55" s="341">
        <f>SUM(K55:M55)</f>
        <v>0</v>
      </c>
      <c r="O55" s="328">
        <f>SUM(H55:M55)</f>
        <v>0</v>
      </c>
      <c r="P55" s="75"/>
      <c r="Q55" s="139"/>
      <c r="R55" s="139"/>
      <c r="S55" s="75"/>
      <c r="T55" s="75"/>
    </row>
    <row r="56" spans="1:20" s="170" customFormat="1" ht="14.25" hidden="1" thickTop="1" thickBot="1" x14ac:dyDescent="0.25">
      <c r="A56" s="171"/>
      <c r="B56" s="172" t="s">
        <v>445</v>
      </c>
      <c r="C56" s="343"/>
      <c r="D56" s="349">
        <f>SUM(D53:D55)</f>
        <v>1</v>
      </c>
      <c r="E56" s="345"/>
      <c r="F56" s="345"/>
      <c r="G56" s="350">
        <f t="shared" ref="G56:O56" si="22">SUM(G53:G55)</f>
        <v>0</v>
      </c>
      <c r="H56" s="351">
        <f t="shared" si="22"/>
        <v>0</v>
      </c>
      <c r="I56" s="351">
        <f t="shared" si="22"/>
        <v>0</v>
      </c>
      <c r="J56" s="351">
        <f t="shared" si="22"/>
        <v>0</v>
      </c>
      <c r="K56" s="351">
        <f t="shared" si="22"/>
        <v>0</v>
      </c>
      <c r="L56" s="351">
        <f t="shared" si="22"/>
        <v>0</v>
      </c>
      <c r="M56" s="351">
        <f t="shared" si="22"/>
        <v>0</v>
      </c>
      <c r="N56" s="351">
        <f t="shared" si="22"/>
        <v>0</v>
      </c>
      <c r="O56" s="329">
        <f t="shared" si="22"/>
        <v>0</v>
      </c>
      <c r="P56" s="75"/>
      <c r="Q56" s="139"/>
      <c r="R56" s="139"/>
      <c r="S56" s="75"/>
      <c r="T56" s="75"/>
    </row>
    <row r="57" spans="1:20" s="170" customFormat="1" ht="13.5" thickTop="1" x14ac:dyDescent="0.2">
      <c r="A57" s="168"/>
      <c r="B57" s="135" t="s">
        <v>446</v>
      </c>
      <c r="C57" s="337" t="s">
        <v>447</v>
      </c>
      <c r="D57" s="338">
        <v>1</v>
      </c>
      <c r="E57" s="339" t="s">
        <v>258</v>
      </c>
      <c r="F57" s="339" t="s">
        <v>258</v>
      </c>
      <c r="G57" s="340">
        <f>342.86*D57</f>
        <v>342.86</v>
      </c>
      <c r="H57" s="341">
        <f>G57*12</f>
        <v>4114.32</v>
      </c>
      <c r="I57" s="341">
        <f>G57</f>
        <v>342.86</v>
      </c>
      <c r="J57" s="341">
        <v>0</v>
      </c>
      <c r="K57" s="341">
        <f>G57*6%*12</f>
        <v>246.85919999999999</v>
      </c>
      <c r="L57" s="341">
        <f>IF(G57&gt;685.71,685.71*$L$8*12,G57*$L$8*12)*D57</f>
        <v>308.57400000000001</v>
      </c>
      <c r="M57" s="341">
        <v>0</v>
      </c>
      <c r="N57" s="341">
        <f>SUM(J57:M57)</f>
        <v>555.43319999999994</v>
      </c>
      <c r="O57" s="325">
        <f>SUM(H57:M57)</f>
        <v>5012.6131999999989</v>
      </c>
      <c r="P57" s="75"/>
      <c r="Q57" s="139"/>
      <c r="R57" s="139"/>
      <c r="S57" s="75"/>
      <c r="T57" s="75"/>
    </row>
    <row r="58" spans="1:20" s="170" customFormat="1" x14ac:dyDescent="0.2">
      <c r="A58" s="168"/>
      <c r="B58" s="135" t="s">
        <v>448</v>
      </c>
      <c r="C58" s="337" t="s">
        <v>447</v>
      </c>
      <c r="D58" s="338">
        <v>4</v>
      </c>
      <c r="E58" s="339" t="s">
        <v>258</v>
      </c>
      <c r="F58" s="339" t="s">
        <v>258</v>
      </c>
      <c r="G58" s="340">
        <f>328.57*D58</f>
        <v>1314.28</v>
      </c>
      <c r="H58" s="341">
        <f t="shared" ref="H58:H69" si="23">G58*12</f>
        <v>15771.36</v>
      </c>
      <c r="I58" s="341">
        <f t="shared" ref="I58:I69" si="24">G58</f>
        <v>1314.28</v>
      </c>
      <c r="J58" s="341">
        <v>0</v>
      </c>
      <c r="K58" s="341">
        <f>G58*6%*12</f>
        <v>946.28159999999991</v>
      </c>
      <c r="L58" s="341">
        <f>IF(G58&gt;685.71,685.71*$L$8*12,G58*$L$8*12)*D58</f>
        <v>2468.556</v>
      </c>
      <c r="M58" s="341"/>
      <c r="N58" s="341">
        <f t="shared" ref="N58:N66" si="25">SUM(J58:M58)</f>
        <v>3414.8375999999998</v>
      </c>
      <c r="O58" s="325">
        <f t="shared" ref="O58:O66" si="26">SUM(H58:M58)</f>
        <v>20500.477599999998</v>
      </c>
      <c r="P58" s="75"/>
      <c r="Q58" s="139"/>
      <c r="R58" s="139"/>
      <c r="S58" s="75"/>
      <c r="T58" s="75"/>
    </row>
    <row r="59" spans="1:20" s="170" customFormat="1" x14ac:dyDescent="0.2">
      <c r="A59" s="168"/>
      <c r="B59" s="135" t="s">
        <v>448</v>
      </c>
      <c r="C59" s="337" t="s">
        <v>447</v>
      </c>
      <c r="D59" s="338">
        <v>5</v>
      </c>
      <c r="E59" s="339" t="s">
        <v>258</v>
      </c>
      <c r="F59" s="339" t="s">
        <v>258</v>
      </c>
      <c r="G59" s="340">
        <f>328.57*D59</f>
        <v>1642.85</v>
      </c>
      <c r="H59" s="341">
        <f t="shared" si="23"/>
        <v>19714.199999999997</v>
      </c>
      <c r="I59" s="341">
        <f t="shared" si="24"/>
        <v>1642.85</v>
      </c>
      <c r="J59" s="341">
        <f>+H59*$J$8</f>
        <v>1330.7085</v>
      </c>
      <c r="K59" s="341">
        <v>0</v>
      </c>
      <c r="L59" s="341">
        <f>IF(G59&gt;685.71,685.71*$L$8*12,G59*$L$8*12)*D59</f>
        <v>3085.6950000000002</v>
      </c>
      <c r="M59" s="341"/>
      <c r="N59" s="341">
        <f t="shared" si="25"/>
        <v>4416.4035000000003</v>
      </c>
      <c r="O59" s="325">
        <f>SUM(H59:M59)</f>
        <v>25773.453499999996</v>
      </c>
      <c r="P59" s="75"/>
      <c r="Q59" s="139"/>
      <c r="R59" s="139"/>
      <c r="S59" s="75"/>
      <c r="T59" s="75"/>
    </row>
    <row r="60" spans="1:20" s="170" customFormat="1" x14ac:dyDescent="0.2">
      <c r="A60" s="168">
        <v>23</v>
      </c>
      <c r="B60" s="135" t="s">
        <v>449</v>
      </c>
      <c r="C60" s="337" t="s">
        <v>7</v>
      </c>
      <c r="D60" s="338">
        <v>1</v>
      </c>
      <c r="E60" s="339" t="s">
        <v>258</v>
      </c>
      <c r="F60" s="339" t="s">
        <v>258</v>
      </c>
      <c r="G60" s="340">
        <f>300*D60</f>
        <v>300</v>
      </c>
      <c r="H60" s="341">
        <f t="shared" si="23"/>
        <v>3600</v>
      </c>
      <c r="I60" s="341">
        <f t="shared" si="24"/>
        <v>300</v>
      </c>
      <c r="J60" s="341">
        <f t="shared" ref="J60:J66" si="27">+H60*$J$8</f>
        <v>243.00000000000003</v>
      </c>
      <c r="K60" s="341">
        <v>0</v>
      </c>
      <c r="L60" s="341">
        <f>IF(G60&gt;685.71,685.71*$L$8*12,G60*$L$8*12)</f>
        <v>270</v>
      </c>
      <c r="M60" s="341"/>
      <c r="N60" s="341">
        <f t="shared" si="25"/>
        <v>513</v>
      </c>
      <c r="O60" s="325">
        <f t="shared" si="26"/>
        <v>4413</v>
      </c>
      <c r="P60" s="174"/>
      <c r="Q60" s="139"/>
      <c r="R60" s="139"/>
      <c r="S60" s="75"/>
      <c r="T60" s="75"/>
    </row>
    <row r="61" spans="1:20" s="170" customFormat="1" x14ac:dyDescent="0.2">
      <c r="A61" s="168">
        <v>22</v>
      </c>
      <c r="B61" s="135" t="s">
        <v>450</v>
      </c>
      <c r="C61" s="337" t="s">
        <v>7</v>
      </c>
      <c r="D61" s="338">
        <v>1</v>
      </c>
      <c r="E61" s="339" t="s">
        <v>258</v>
      </c>
      <c r="F61" s="339" t="s">
        <v>258</v>
      </c>
      <c r="G61" s="340">
        <f>400*D61</f>
        <v>400</v>
      </c>
      <c r="H61" s="341">
        <f t="shared" si="23"/>
        <v>4800</v>
      </c>
      <c r="I61" s="341">
        <f t="shared" si="24"/>
        <v>400</v>
      </c>
      <c r="J61" s="341">
        <f t="shared" si="27"/>
        <v>324</v>
      </c>
      <c r="K61" s="341">
        <v>0</v>
      </c>
      <c r="L61" s="341">
        <f>IF(G61&gt;685.71,685.71*$L$8*12,G61*$L$8*12)</f>
        <v>360</v>
      </c>
      <c r="M61" s="341"/>
      <c r="N61" s="341">
        <f t="shared" si="25"/>
        <v>684</v>
      </c>
      <c r="O61" s="325">
        <f t="shared" si="26"/>
        <v>5884</v>
      </c>
      <c r="P61" s="174"/>
      <c r="Q61" s="139"/>
      <c r="R61" s="139"/>
      <c r="S61" s="75"/>
      <c r="T61" s="75"/>
    </row>
    <row r="62" spans="1:20" s="170" customFormat="1" x14ac:dyDescent="0.2">
      <c r="A62" s="168"/>
      <c r="B62" s="135" t="s">
        <v>592</v>
      </c>
      <c r="C62" s="337" t="s">
        <v>684</v>
      </c>
      <c r="D62" s="338">
        <v>1</v>
      </c>
      <c r="E62" s="339" t="s">
        <v>258</v>
      </c>
      <c r="F62" s="339" t="s">
        <v>258</v>
      </c>
      <c r="G62" s="340">
        <f>450*D62</f>
        <v>450</v>
      </c>
      <c r="H62" s="341">
        <f t="shared" si="23"/>
        <v>5400</v>
      </c>
      <c r="I62" s="341">
        <f t="shared" si="24"/>
        <v>450</v>
      </c>
      <c r="J62" s="341">
        <f t="shared" ref="J62" si="28">+H62*$J$8</f>
        <v>364.5</v>
      </c>
      <c r="K62" s="341">
        <v>0</v>
      </c>
      <c r="L62" s="341">
        <f>IF(G62&gt;685.71,685.71*$L$8*12,G62*$L$8*12)</f>
        <v>405</v>
      </c>
      <c r="M62" s="341"/>
      <c r="N62" s="341">
        <f t="shared" ref="N62" si="29">SUM(J62:M62)</f>
        <v>769.5</v>
      </c>
      <c r="O62" s="325">
        <f t="shared" ref="O62" si="30">SUM(H62:M62)</f>
        <v>6619.5</v>
      </c>
      <c r="P62" s="174"/>
      <c r="Q62" s="139"/>
      <c r="R62" s="139"/>
      <c r="S62" s="75"/>
      <c r="T62" s="75"/>
    </row>
    <row r="63" spans="1:20" s="170" customFormat="1" x14ac:dyDescent="0.2">
      <c r="A63" s="168">
        <v>28</v>
      </c>
      <c r="B63" s="135" t="s">
        <v>451</v>
      </c>
      <c r="C63" s="337" t="s">
        <v>684</v>
      </c>
      <c r="D63" s="338">
        <v>1</v>
      </c>
      <c r="E63" s="339" t="s">
        <v>258</v>
      </c>
      <c r="F63" s="339" t="s">
        <v>258</v>
      </c>
      <c r="G63" s="340">
        <f>450*D63</f>
        <v>450</v>
      </c>
      <c r="H63" s="341">
        <f t="shared" si="23"/>
        <v>5400</v>
      </c>
      <c r="I63" s="341">
        <f t="shared" si="24"/>
        <v>450</v>
      </c>
      <c r="J63" s="341">
        <f t="shared" si="27"/>
        <v>364.5</v>
      </c>
      <c r="K63" s="341">
        <v>0</v>
      </c>
      <c r="L63" s="341">
        <f>IF(G63&gt;685.71,685.71*$L$8*12,G63*$L$8*12)</f>
        <v>405</v>
      </c>
      <c r="M63" s="341"/>
      <c r="N63" s="341">
        <f t="shared" si="25"/>
        <v>769.5</v>
      </c>
      <c r="O63" s="325">
        <f t="shared" si="26"/>
        <v>6619.5</v>
      </c>
      <c r="P63" s="75"/>
      <c r="Q63" s="139"/>
      <c r="R63" s="139"/>
      <c r="S63" s="75"/>
      <c r="T63" s="75"/>
    </row>
    <row r="64" spans="1:20" s="170" customFormat="1" x14ac:dyDescent="0.2">
      <c r="A64" s="168">
        <v>29</v>
      </c>
      <c r="B64" s="135" t="s">
        <v>536</v>
      </c>
      <c r="C64" s="337" t="s">
        <v>684</v>
      </c>
      <c r="D64" s="338">
        <v>1</v>
      </c>
      <c r="E64" s="339" t="s">
        <v>258</v>
      </c>
      <c r="F64" s="339" t="s">
        <v>258</v>
      </c>
      <c r="G64" s="340">
        <f>334.29*D64</f>
        <v>334.29</v>
      </c>
      <c r="H64" s="341">
        <f t="shared" si="23"/>
        <v>4011.4800000000005</v>
      </c>
      <c r="I64" s="341">
        <f t="shared" si="24"/>
        <v>334.29</v>
      </c>
      <c r="J64" s="341">
        <f t="shared" si="27"/>
        <v>270.77490000000006</v>
      </c>
      <c r="K64" s="341">
        <v>0</v>
      </c>
      <c r="L64" s="341">
        <f>IF(G64&gt;685.71,685.71*$L$8*12,G64*$L$8*12)</f>
        <v>300.86099999999999</v>
      </c>
      <c r="M64" s="341"/>
      <c r="N64" s="341">
        <f t="shared" si="25"/>
        <v>571.63589999999999</v>
      </c>
      <c r="O64" s="325">
        <f t="shared" si="26"/>
        <v>4917.4059000000007</v>
      </c>
      <c r="P64" s="75"/>
      <c r="Q64" s="139"/>
      <c r="R64" s="139"/>
      <c r="S64" s="75"/>
      <c r="T64" s="75"/>
    </row>
    <row r="65" spans="1:20" s="170" customFormat="1" x14ac:dyDescent="0.2">
      <c r="A65" s="168"/>
      <c r="B65" s="135" t="s">
        <v>452</v>
      </c>
      <c r="C65" s="337" t="s">
        <v>684</v>
      </c>
      <c r="D65" s="338">
        <v>2</v>
      </c>
      <c r="E65" s="339" t="s">
        <v>258</v>
      </c>
      <c r="F65" s="339" t="s">
        <v>258</v>
      </c>
      <c r="G65" s="340">
        <f>300*D65</f>
        <v>600</v>
      </c>
      <c r="H65" s="341">
        <f t="shared" si="23"/>
        <v>7200</v>
      </c>
      <c r="I65" s="341">
        <f t="shared" si="24"/>
        <v>600</v>
      </c>
      <c r="J65" s="341">
        <f t="shared" si="27"/>
        <v>486.00000000000006</v>
      </c>
      <c r="K65" s="341">
        <v>0</v>
      </c>
      <c r="L65" s="341">
        <f>IF(G65&gt;685.71,685.71*$L$8*12,G65*$L$8*12)*D65</f>
        <v>1080</v>
      </c>
      <c r="M65" s="341"/>
      <c r="N65" s="341">
        <f t="shared" si="25"/>
        <v>1566</v>
      </c>
      <c r="O65" s="325">
        <f t="shared" si="26"/>
        <v>9366</v>
      </c>
      <c r="P65" s="75"/>
      <c r="Q65" s="139"/>
      <c r="R65" s="139"/>
      <c r="S65" s="75"/>
      <c r="T65" s="75"/>
    </row>
    <row r="66" spans="1:20" s="170" customFormat="1" x14ac:dyDescent="0.2">
      <c r="A66" s="168"/>
      <c r="B66" s="135" t="s">
        <v>453</v>
      </c>
      <c r="C66" s="337" t="s">
        <v>684</v>
      </c>
      <c r="D66" s="338">
        <v>3</v>
      </c>
      <c r="E66" s="339" t="s">
        <v>258</v>
      </c>
      <c r="F66" s="339" t="s">
        <v>258</v>
      </c>
      <c r="G66" s="340">
        <f>300*D66</f>
        <v>900</v>
      </c>
      <c r="H66" s="341">
        <f t="shared" si="23"/>
        <v>10800</v>
      </c>
      <c r="I66" s="341">
        <f t="shared" si="24"/>
        <v>900</v>
      </c>
      <c r="J66" s="341">
        <f t="shared" si="27"/>
        <v>729</v>
      </c>
      <c r="K66" s="341">
        <v>0</v>
      </c>
      <c r="L66" s="341">
        <f>IF(G66&gt;685.71,685.71*$L$8*12,G66*$L$8*12)*D66</f>
        <v>1851.4169999999999</v>
      </c>
      <c r="M66" s="341"/>
      <c r="N66" s="341">
        <f t="shared" si="25"/>
        <v>2580.4169999999999</v>
      </c>
      <c r="O66" s="325">
        <f t="shared" si="26"/>
        <v>14280.416999999999</v>
      </c>
      <c r="P66" s="75"/>
      <c r="Q66" s="139"/>
      <c r="R66" s="139"/>
      <c r="S66" s="75"/>
      <c r="T66" s="75"/>
    </row>
    <row r="67" spans="1:20" s="170" customFormat="1" hidden="1" x14ac:dyDescent="0.2">
      <c r="A67" s="168"/>
      <c r="B67" s="135" t="s">
        <v>593</v>
      </c>
      <c r="C67" s="337" t="s">
        <v>596</v>
      </c>
      <c r="D67" s="338">
        <v>1</v>
      </c>
      <c r="E67" s="339" t="s">
        <v>258</v>
      </c>
      <c r="F67" s="339" t="s">
        <v>258</v>
      </c>
      <c r="G67" s="340"/>
      <c r="H67" s="341">
        <f t="shared" si="23"/>
        <v>0</v>
      </c>
      <c r="I67" s="341">
        <f t="shared" si="24"/>
        <v>0</v>
      </c>
      <c r="J67" s="341">
        <f t="shared" ref="J67:J69" si="31">+H67*$J$8</f>
        <v>0</v>
      </c>
      <c r="K67" s="341">
        <v>0</v>
      </c>
      <c r="L67" s="341">
        <f t="shared" ref="L67:L69" si="32">IF(G67&gt;685.71,685.71*$L$8*12,G67*$L$8*12)*D67</f>
        <v>0</v>
      </c>
      <c r="M67" s="341"/>
      <c r="N67" s="341">
        <f t="shared" ref="N67:N69" si="33">SUM(J67:M67)</f>
        <v>0</v>
      </c>
      <c r="O67" s="325">
        <f t="shared" ref="O67:O69" si="34">SUM(H67:M67)</f>
        <v>0</v>
      </c>
      <c r="P67" s="75"/>
      <c r="Q67" s="139"/>
      <c r="R67" s="139"/>
      <c r="S67" s="75"/>
      <c r="T67" s="75"/>
    </row>
    <row r="68" spans="1:20" s="170" customFormat="1" hidden="1" x14ac:dyDescent="0.2">
      <c r="A68" s="168"/>
      <c r="B68" s="135" t="s">
        <v>594</v>
      </c>
      <c r="C68" s="337" t="s">
        <v>596</v>
      </c>
      <c r="D68" s="338">
        <v>2</v>
      </c>
      <c r="E68" s="339" t="s">
        <v>258</v>
      </c>
      <c r="F68" s="339" t="s">
        <v>258</v>
      </c>
      <c r="G68" s="340"/>
      <c r="H68" s="341">
        <f t="shared" si="23"/>
        <v>0</v>
      </c>
      <c r="I68" s="341">
        <f t="shared" si="24"/>
        <v>0</v>
      </c>
      <c r="J68" s="341">
        <f>+H68*$J$8</f>
        <v>0</v>
      </c>
      <c r="K68" s="341">
        <v>0</v>
      </c>
      <c r="L68" s="341">
        <f t="shared" si="32"/>
        <v>0</v>
      </c>
      <c r="M68" s="341"/>
      <c r="N68" s="341">
        <f t="shared" si="33"/>
        <v>0</v>
      </c>
      <c r="O68" s="325">
        <f t="shared" si="34"/>
        <v>0</v>
      </c>
      <c r="P68" s="75"/>
      <c r="Q68" s="139"/>
      <c r="R68" s="139"/>
      <c r="S68" s="75"/>
      <c r="T68" s="75"/>
    </row>
    <row r="69" spans="1:20" s="170" customFormat="1" hidden="1" x14ac:dyDescent="0.2">
      <c r="A69" s="168"/>
      <c r="B69" s="135" t="s">
        <v>595</v>
      </c>
      <c r="C69" s="337" t="s">
        <v>597</v>
      </c>
      <c r="D69" s="338">
        <v>1</v>
      </c>
      <c r="E69" s="339" t="s">
        <v>258</v>
      </c>
      <c r="F69" s="339" t="s">
        <v>258</v>
      </c>
      <c r="G69" s="340"/>
      <c r="H69" s="341">
        <f t="shared" si="23"/>
        <v>0</v>
      </c>
      <c r="I69" s="341">
        <f t="shared" si="24"/>
        <v>0</v>
      </c>
      <c r="J69" s="341">
        <f t="shared" si="31"/>
        <v>0</v>
      </c>
      <c r="K69" s="341">
        <v>0</v>
      </c>
      <c r="L69" s="341">
        <f t="shared" si="32"/>
        <v>0</v>
      </c>
      <c r="M69" s="341"/>
      <c r="N69" s="341">
        <f t="shared" si="33"/>
        <v>0</v>
      </c>
      <c r="O69" s="325">
        <f t="shared" si="34"/>
        <v>0</v>
      </c>
      <c r="P69" s="75"/>
      <c r="Q69" s="139"/>
      <c r="R69" s="139"/>
      <c r="S69" s="75"/>
      <c r="T69" s="75"/>
    </row>
    <row r="70" spans="1:20" s="170" customFormat="1" ht="13.5" thickBot="1" x14ac:dyDescent="0.25">
      <c r="A70" s="168"/>
      <c r="B70" s="183" t="s">
        <v>480</v>
      </c>
      <c r="C70" s="343"/>
      <c r="D70" s="344">
        <f>SUM(D57:D69)</f>
        <v>24</v>
      </c>
      <c r="E70" s="345"/>
      <c r="F70" s="345"/>
      <c r="G70" s="346">
        <f>SUM(G57:G69)</f>
        <v>6734.28</v>
      </c>
      <c r="H70" s="347">
        <f>SUM(H57:H69)</f>
        <v>80811.360000000001</v>
      </c>
      <c r="I70" s="347">
        <f t="shared" ref="I70:O70" si="35">SUM(I57:I69)</f>
        <v>6734.28</v>
      </c>
      <c r="J70" s="347">
        <f t="shared" si="35"/>
        <v>4112.4833999999992</v>
      </c>
      <c r="K70" s="347">
        <f t="shared" si="35"/>
        <v>1193.1407999999999</v>
      </c>
      <c r="L70" s="347">
        <f t="shared" si="35"/>
        <v>10535.103000000001</v>
      </c>
      <c r="M70" s="347">
        <f t="shared" si="35"/>
        <v>0</v>
      </c>
      <c r="N70" s="347">
        <f t="shared" si="35"/>
        <v>15840.727199999999</v>
      </c>
      <c r="O70" s="173">
        <f t="shared" si="35"/>
        <v>103386.36719999999</v>
      </c>
      <c r="P70" s="75"/>
      <c r="Q70" s="139"/>
      <c r="R70" s="139"/>
      <c r="S70" s="75"/>
      <c r="T70" s="75"/>
    </row>
    <row r="71" spans="1:20" s="2" customFormat="1" ht="14.25" thickTop="1" thickBot="1" x14ac:dyDescent="0.25">
      <c r="A71" s="181"/>
      <c r="B71" s="182" t="s">
        <v>454</v>
      </c>
      <c r="C71" s="362"/>
      <c r="D71" s="358">
        <f>+D51+D70</f>
        <v>31</v>
      </c>
      <c r="E71" s="363"/>
      <c r="F71" s="363"/>
      <c r="G71" s="360">
        <f>G51+G70</f>
        <v>9731.42</v>
      </c>
      <c r="H71" s="361">
        <f>H51+H70</f>
        <v>116777.04000000001</v>
      </c>
      <c r="I71" s="361">
        <f>I51+I70</f>
        <v>9731.42</v>
      </c>
      <c r="J71" s="361">
        <f>J51+J70</f>
        <v>6540.1667999999991</v>
      </c>
      <c r="K71" s="361">
        <f>+K56+K51+K45+K41+K37+K70</f>
        <v>1193.1407999999999</v>
      </c>
      <c r="L71" s="361">
        <f>L70+L51</f>
        <v>14000.085000000001</v>
      </c>
      <c r="M71" s="361">
        <f>+M70+M51+M31</f>
        <v>0</v>
      </c>
      <c r="N71" s="361">
        <f>N70+N51</f>
        <v>21733.392599999999</v>
      </c>
      <c r="O71" s="184">
        <f>O70+O51</f>
        <v>148241.85259999998</v>
      </c>
      <c r="P71" s="139"/>
      <c r="Q71" s="139"/>
      <c r="R71" s="139"/>
      <c r="S71" s="139"/>
      <c r="T71" s="139"/>
    </row>
    <row r="72" spans="1:20" s="2" customFormat="1" ht="6.75" customHeight="1" thickBot="1" x14ac:dyDescent="0.25">
      <c r="A72" s="169"/>
      <c r="B72" s="135"/>
      <c r="C72" s="364"/>
      <c r="D72" s="364"/>
      <c r="E72" s="339"/>
      <c r="F72" s="339"/>
      <c r="G72" s="365"/>
      <c r="H72" s="366"/>
      <c r="I72" s="366"/>
      <c r="J72" s="366"/>
      <c r="K72" s="366"/>
      <c r="L72" s="366"/>
      <c r="M72" s="366"/>
      <c r="N72" s="367"/>
      <c r="O72" s="185"/>
      <c r="P72" s="139"/>
      <c r="Q72" s="139"/>
      <c r="R72" s="139"/>
      <c r="S72" s="139"/>
      <c r="T72" s="139"/>
    </row>
    <row r="73" spans="1:20" s="170" customFormat="1" ht="13.5" thickBot="1" x14ac:dyDescent="0.25">
      <c r="A73" s="186"/>
      <c r="B73" s="187" t="s">
        <v>455</v>
      </c>
      <c r="C73" s="368"/>
      <c r="D73" s="368"/>
      <c r="E73" s="369"/>
      <c r="F73" s="369"/>
      <c r="G73" s="370">
        <f>+G71+G31</f>
        <v>19292.02</v>
      </c>
      <c r="H73" s="188">
        <f t="shared" ref="H73:N73" si="36">+H71+H31</f>
        <v>231504.24</v>
      </c>
      <c r="I73" s="188">
        <f t="shared" si="36"/>
        <v>19292.02</v>
      </c>
      <c r="J73" s="188">
        <f t="shared" si="36"/>
        <v>13514.752799999998</v>
      </c>
      <c r="K73" s="188">
        <f t="shared" si="36"/>
        <v>1193.1407999999999</v>
      </c>
      <c r="L73" s="188">
        <f t="shared" si="36"/>
        <v>19493.181</v>
      </c>
      <c r="M73" s="188">
        <f t="shared" si="36"/>
        <v>0</v>
      </c>
      <c r="N73" s="188">
        <f t="shared" si="36"/>
        <v>34201.0746</v>
      </c>
      <c r="O73" s="330">
        <f>O31+O71</f>
        <v>284997.3346</v>
      </c>
      <c r="P73" s="75"/>
      <c r="Q73" s="75"/>
      <c r="R73" s="189"/>
      <c r="S73" s="75"/>
      <c r="T73" s="75"/>
    </row>
    <row r="74" spans="1:20" s="2" customFormat="1" ht="13.5" thickBot="1" x14ac:dyDescent="0.25">
      <c r="A74" s="190"/>
      <c r="B74" s="187" t="s">
        <v>456</v>
      </c>
      <c r="C74" s="371"/>
      <c r="D74" s="371"/>
      <c r="E74" s="372"/>
      <c r="F74" s="372"/>
      <c r="G74" s="373"/>
      <c r="H74" s="191"/>
      <c r="I74" s="191"/>
      <c r="J74" s="191"/>
      <c r="K74" s="191"/>
      <c r="L74" s="191"/>
      <c r="M74" s="191"/>
      <c r="N74" s="191"/>
      <c r="O74" s="331">
        <f>SUM(O73:O73)</f>
        <v>284997.3346</v>
      </c>
      <c r="P74" s="139"/>
      <c r="Q74" s="139"/>
      <c r="R74" s="139"/>
      <c r="S74" s="139"/>
      <c r="T74" s="139"/>
    </row>
    <row r="75" spans="1:20" x14ac:dyDescent="0.2">
      <c r="A75" s="1"/>
      <c r="H75" s="4"/>
      <c r="O75" s="49"/>
      <c r="P75" s="49"/>
      <c r="Q75" s="49"/>
      <c r="R75" s="49"/>
      <c r="S75" s="49"/>
      <c r="T75" s="49"/>
    </row>
    <row r="76" spans="1:20" x14ac:dyDescent="0.2">
      <c r="A76" s="1"/>
      <c r="G76" s="378"/>
      <c r="H76" s="6"/>
      <c r="I76" s="468"/>
      <c r="L76" s="6"/>
      <c r="O76" s="136"/>
      <c r="P76" s="4"/>
      <c r="Q76" s="6"/>
    </row>
    <row r="77" spans="1:20" x14ac:dyDescent="0.2">
      <c r="B77" s="137"/>
      <c r="G77" s="285"/>
      <c r="H77" s="242"/>
      <c r="I77" s="469">
        <f>+I14/2</f>
        <v>2625</v>
      </c>
      <c r="J77" s="242"/>
      <c r="K77" s="242"/>
      <c r="L77" s="242"/>
      <c r="M77" s="242"/>
      <c r="N77" s="242"/>
      <c r="O77" s="242"/>
    </row>
    <row r="78" spans="1:20" x14ac:dyDescent="0.2">
      <c r="B78" s="137"/>
      <c r="G78" s="286"/>
      <c r="I78" s="468">
        <f>+I21/2</f>
        <v>2155.3000000000002</v>
      </c>
      <c r="J78" s="242"/>
      <c r="K78" s="3"/>
      <c r="L78" s="49"/>
    </row>
    <row r="79" spans="1:20" x14ac:dyDescent="0.2">
      <c r="B79" s="138"/>
      <c r="I79" s="468">
        <f>+I51/2</f>
        <v>1498.57</v>
      </c>
      <c r="J79" s="242"/>
      <c r="O79" s="76"/>
    </row>
    <row r="80" spans="1:20" x14ac:dyDescent="0.2">
      <c r="B80" s="138"/>
      <c r="G80" s="286"/>
      <c r="I80" s="468"/>
      <c r="J80" s="242"/>
    </row>
    <row r="81" spans="2:15" x14ac:dyDescent="0.2">
      <c r="B81" s="138"/>
      <c r="J81" s="242"/>
    </row>
    <row r="82" spans="2:15" x14ac:dyDescent="0.2">
      <c r="B82" s="138"/>
      <c r="J82" s="242"/>
    </row>
    <row r="83" spans="2:15" x14ac:dyDescent="0.2">
      <c r="B83" s="138"/>
      <c r="G83" s="407"/>
      <c r="J83" s="242"/>
      <c r="O83" s="76"/>
    </row>
    <row r="84" spans="2:15" x14ac:dyDescent="0.2">
      <c r="B84" s="138"/>
      <c r="J84" s="242"/>
    </row>
    <row r="85" spans="2:15" x14ac:dyDescent="0.2">
      <c r="B85" s="138"/>
      <c r="G85" s="286"/>
      <c r="J85" s="242"/>
    </row>
    <row r="86" spans="2:15" x14ac:dyDescent="0.2">
      <c r="G86" s="286"/>
      <c r="J86" s="4"/>
    </row>
    <row r="87" spans="2:15" x14ac:dyDescent="0.2">
      <c r="J87" s="4"/>
    </row>
    <row r="88" spans="2:15" x14ac:dyDescent="0.2">
      <c r="J88" s="4"/>
      <c r="K88" s="1036"/>
      <c r="L88" s="1036"/>
    </row>
    <row r="89" spans="2:15" x14ac:dyDescent="0.2">
      <c r="J89" s="4"/>
    </row>
    <row r="90" spans="2:15" x14ac:dyDescent="0.2">
      <c r="J90" s="4"/>
    </row>
    <row r="91" spans="2:15" x14ac:dyDescent="0.2">
      <c r="J91" s="4"/>
    </row>
    <row r="92" spans="2:15" x14ac:dyDescent="0.2">
      <c r="J92" s="4"/>
    </row>
    <row r="93" spans="2:15" x14ac:dyDescent="0.2">
      <c r="J93" s="4"/>
    </row>
    <row r="94" spans="2:15" x14ac:dyDescent="0.2">
      <c r="J94" s="4"/>
    </row>
    <row r="95" spans="2:15" x14ac:dyDescent="0.2">
      <c r="J95" s="4"/>
      <c r="L95" s="49"/>
    </row>
    <row r="96" spans="2:15" x14ac:dyDescent="0.2">
      <c r="J96" s="4"/>
    </row>
  </sheetData>
  <mergeCells count="19">
    <mergeCell ref="O5:O8"/>
    <mergeCell ref="G7:G8"/>
    <mergeCell ref="H7:H8"/>
    <mergeCell ref="I7:I8"/>
    <mergeCell ref="A1:O1"/>
    <mergeCell ref="A2:O2"/>
    <mergeCell ref="A3:O3"/>
    <mergeCell ref="A5:A8"/>
    <mergeCell ref="B5:B8"/>
    <mergeCell ref="C5:C8"/>
    <mergeCell ref="D5:D8"/>
    <mergeCell ref="L6:N6"/>
    <mergeCell ref="J6:K6"/>
    <mergeCell ref="J5:N5"/>
    <mergeCell ref="K88:L88"/>
    <mergeCell ref="E5:E8"/>
    <mergeCell ref="F5:F8"/>
    <mergeCell ref="G5:H6"/>
    <mergeCell ref="I5:I6"/>
  </mergeCells>
  <phoneticPr fontId="0" type="noConversion"/>
  <pageMargins left="0.15748031496062992" right="0.15748031496062992" top="1.1417322834645669" bottom="0.98425196850393704" header="0.47244094488188981" footer="0"/>
  <pageSetup scale="80" orientation="landscape" horizontalDpi="4294967294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GridLines="0" topLeftCell="A7" zoomScaleNormal="100" workbookViewId="0">
      <selection activeCell="A9" sqref="A9:A18"/>
    </sheetView>
  </sheetViews>
  <sheetFormatPr baseColWidth="10" defaultColWidth="9.140625" defaultRowHeight="12.75" x14ac:dyDescent="0.2"/>
  <cols>
    <col min="1" max="1" width="37.85546875" style="1214" customWidth="1"/>
    <col min="2" max="2" width="19.85546875" style="1213" customWidth="1"/>
    <col min="3" max="3" width="13.140625" style="1213" customWidth="1"/>
    <col min="4" max="4" width="14.28515625" style="1213" customWidth="1"/>
    <col min="5" max="8" width="12.5703125" style="1213" customWidth="1"/>
    <col min="9" max="9" width="14.5703125" style="1213" customWidth="1"/>
    <col min="10" max="16384" width="9.140625" style="1213"/>
  </cols>
  <sheetData>
    <row r="1" spans="1:9" ht="12.75" customHeight="1" x14ac:dyDescent="0.2">
      <c r="A1" s="1212" t="s">
        <v>474</v>
      </c>
      <c r="B1" s="1212"/>
      <c r="C1" s="1212"/>
      <c r="D1" s="1212"/>
      <c r="E1" s="1212"/>
      <c r="F1" s="1212"/>
      <c r="G1" s="1212"/>
      <c r="H1" s="1212"/>
      <c r="I1" s="1212"/>
    </row>
    <row r="2" spans="1:9" ht="12.75" customHeight="1" x14ac:dyDescent="0.2">
      <c r="A2" s="1212" t="s">
        <v>475</v>
      </c>
      <c r="B2" s="1212"/>
      <c r="C2" s="1212"/>
      <c r="D2" s="1212"/>
      <c r="E2" s="1212"/>
      <c r="F2" s="1212"/>
      <c r="G2" s="1212"/>
      <c r="H2" s="1212"/>
      <c r="I2" s="1212"/>
    </row>
    <row r="3" spans="1:9" ht="12.75" customHeight="1" x14ac:dyDescent="0.2">
      <c r="A3" s="1212" t="s">
        <v>590</v>
      </c>
      <c r="B3" s="1212"/>
      <c r="C3" s="1212"/>
      <c r="D3" s="1212"/>
      <c r="E3" s="1212"/>
      <c r="F3" s="1212"/>
      <c r="G3" s="1212"/>
      <c r="H3" s="1212"/>
      <c r="I3" s="1212"/>
    </row>
    <row r="4" spans="1:9" ht="13.5" thickBot="1" x14ac:dyDescent="0.25">
      <c r="B4" s="1215"/>
      <c r="C4" s="1215"/>
      <c r="D4" s="1215"/>
      <c r="E4" s="1215"/>
      <c r="F4" s="1215"/>
      <c r="G4" s="1215"/>
      <c r="H4" s="1215"/>
    </row>
    <row r="5" spans="1:9" s="1214" customFormat="1" ht="18.75" customHeight="1" thickBot="1" x14ac:dyDescent="0.25">
      <c r="A5" s="1216" t="s">
        <v>390</v>
      </c>
      <c r="B5" s="1217" t="s">
        <v>391</v>
      </c>
      <c r="C5" s="1216" t="s">
        <v>132</v>
      </c>
      <c r="D5" s="1216"/>
      <c r="E5" s="1216" t="s">
        <v>392</v>
      </c>
      <c r="F5" s="1218" t="s">
        <v>688</v>
      </c>
      <c r="G5" s="1218"/>
      <c r="H5" s="1218"/>
      <c r="I5" s="1216" t="s">
        <v>27</v>
      </c>
    </row>
    <row r="6" spans="1:9" s="1214" customFormat="1" ht="18.75" customHeight="1" thickBot="1" x14ac:dyDescent="0.25">
      <c r="A6" s="1216"/>
      <c r="B6" s="1217"/>
      <c r="C6" s="1216"/>
      <c r="D6" s="1216"/>
      <c r="E6" s="1216"/>
      <c r="F6" s="1219" t="s">
        <v>689</v>
      </c>
      <c r="G6" s="1219" t="s">
        <v>690</v>
      </c>
      <c r="H6" s="1220" t="s">
        <v>691</v>
      </c>
      <c r="I6" s="1216"/>
    </row>
    <row r="7" spans="1:9" s="1214" customFormat="1" ht="18.75" customHeight="1" thickBot="1" x14ac:dyDescent="0.25">
      <c r="A7" s="1216"/>
      <c r="B7" s="1217"/>
      <c r="C7" s="1216" t="s">
        <v>537</v>
      </c>
      <c r="D7" s="1216" t="s">
        <v>538</v>
      </c>
      <c r="E7" s="1216"/>
      <c r="F7" s="1219" t="s">
        <v>412</v>
      </c>
      <c r="G7" s="1221" t="s">
        <v>21</v>
      </c>
      <c r="H7" s="1222"/>
      <c r="I7" s="1216"/>
    </row>
    <row r="8" spans="1:9" s="1214" customFormat="1" ht="18.75" customHeight="1" thickBot="1" x14ac:dyDescent="0.25">
      <c r="A8" s="1216"/>
      <c r="B8" s="1217"/>
      <c r="C8" s="1216"/>
      <c r="D8" s="1216"/>
      <c r="E8" s="1216"/>
      <c r="F8" s="1219">
        <v>6.7500000000000004E-2</v>
      </c>
      <c r="G8" s="1223">
        <v>7.4999999999999997E-2</v>
      </c>
      <c r="H8" s="1224"/>
      <c r="I8" s="1216"/>
    </row>
    <row r="9" spans="1:9" s="1214" customFormat="1" ht="26.25" customHeight="1" x14ac:dyDescent="0.2">
      <c r="A9" s="1225"/>
      <c r="B9" s="1226" t="s">
        <v>393</v>
      </c>
      <c r="C9" s="1227">
        <v>550</v>
      </c>
      <c r="D9" s="1228">
        <f>+C9*12</f>
        <v>6600</v>
      </c>
      <c r="E9" s="1229">
        <f t="shared" ref="E9:E18" si="0">C9</f>
        <v>550</v>
      </c>
      <c r="F9" s="1230">
        <v>0</v>
      </c>
      <c r="G9" s="1231">
        <v>0</v>
      </c>
      <c r="H9" s="1232">
        <f>SUM(F9:G9)</f>
        <v>0</v>
      </c>
      <c r="I9" s="1233">
        <f>+D9+E9+H9</f>
        <v>7150</v>
      </c>
    </row>
    <row r="10" spans="1:9" s="1214" customFormat="1" ht="26.25" customHeight="1" x14ac:dyDescent="0.2">
      <c r="A10" s="1234"/>
      <c r="B10" s="1235" t="s">
        <v>394</v>
      </c>
      <c r="C10" s="1236">
        <v>550</v>
      </c>
      <c r="D10" s="1237">
        <f>+C10*12</f>
        <v>6600</v>
      </c>
      <c r="E10" s="1238">
        <f t="shared" si="0"/>
        <v>550</v>
      </c>
      <c r="F10" s="1239">
        <f>+D10*F8</f>
        <v>445.50000000000006</v>
      </c>
      <c r="G10" s="1240">
        <f>+D10*G8</f>
        <v>495</v>
      </c>
      <c r="H10" s="1238">
        <f>SUM(F10:G10)</f>
        <v>940.5</v>
      </c>
      <c r="I10" s="1233">
        <f t="shared" ref="I10:I18" si="1">+D10+E10+H10</f>
        <v>8090.5</v>
      </c>
    </row>
    <row r="11" spans="1:9" s="1214" customFormat="1" ht="26.25" customHeight="1" x14ac:dyDescent="0.2">
      <c r="A11" s="1234"/>
      <c r="B11" s="1235" t="s">
        <v>685</v>
      </c>
      <c r="C11" s="1236">
        <v>550</v>
      </c>
      <c r="D11" s="1237">
        <f t="shared" ref="D11:D18" si="2">+C11*12</f>
        <v>6600</v>
      </c>
      <c r="E11" s="1238">
        <f t="shared" si="0"/>
        <v>550</v>
      </c>
      <c r="F11" s="1236">
        <f>+D11*F8</f>
        <v>445.50000000000006</v>
      </c>
      <c r="G11" s="1237">
        <f>+D11*G8</f>
        <v>495</v>
      </c>
      <c r="H11" s="1238">
        <f t="shared" ref="H11:H18" si="3">SUM(F11:G11)</f>
        <v>940.5</v>
      </c>
      <c r="I11" s="1233">
        <f t="shared" si="1"/>
        <v>8090.5</v>
      </c>
    </row>
    <row r="12" spans="1:9" s="1214" customFormat="1" ht="26.25" customHeight="1" x14ac:dyDescent="0.2">
      <c r="A12" s="1234"/>
      <c r="B12" s="1235" t="s">
        <v>686</v>
      </c>
      <c r="C12" s="1236">
        <v>550</v>
      </c>
      <c r="D12" s="1237">
        <f t="shared" si="2"/>
        <v>6600</v>
      </c>
      <c r="E12" s="1238">
        <f t="shared" si="0"/>
        <v>550</v>
      </c>
      <c r="F12" s="1236">
        <v>0</v>
      </c>
      <c r="G12" s="1237">
        <v>0</v>
      </c>
      <c r="H12" s="1238">
        <f t="shared" si="3"/>
        <v>0</v>
      </c>
      <c r="I12" s="1233">
        <f t="shared" si="1"/>
        <v>7150</v>
      </c>
    </row>
    <row r="13" spans="1:9" s="1214" customFormat="1" ht="26.25" customHeight="1" x14ac:dyDescent="0.2">
      <c r="A13" s="1234"/>
      <c r="B13" s="1235" t="s">
        <v>687</v>
      </c>
      <c r="C13" s="1236">
        <v>550</v>
      </c>
      <c r="D13" s="1237">
        <f t="shared" si="2"/>
        <v>6600</v>
      </c>
      <c r="E13" s="1238">
        <f t="shared" si="0"/>
        <v>550</v>
      </c>
      <c r="F13" s="1236">
        <f>+D13*F8</f>
        <v>445.50000000000006</v>
      </c>
      <c r="G13" s="1237">
        <f>+D13*G8</f>
        <v>495</v>
      </c>
      <c r="H13" s="1238">
        <f t="shared" si="3"/>
        <v>940.5</v>
      </c>
      <c r="I13" s="1233">
        <f t="shared" si="1"/>
        <v>8090.5</v>
      </c>
    </row>
    <row r="14" spans="1:9" s="1214" customFormat="1" ht="26.25" customHeight="1" x14ac:dyDescent="0.2">
      <c r="A14" s="1234"/>
      <c r="B14" s="1235" t="s">
        <v>395</v>
      </c>
      <c r="C14" s="1236">
        <v>550</v>
      </c>
      <c r="D14" s="1237">
        <f t="shared" si="2"/>
        <v>6600</v>
      </c>
      <c r="E14" s="1238">
        <f t="shared" si="0"/>
        <v>550</v>
      </c>
      <c r="F14" s="1236">
        <v>0</v>
      </c>
      <c r="G14" s="1237">
        <v>0</v>
      </c>
      <c r="H14" s="1238">
        <f t="shared" si="3"/>
        <v>0</v>
      </c>
      <c r="I14" s="1233">
        <f t="shared" si="1"/>
        <v>7150</v>
      </c>
    </row>
    <row r="15" spans="1:9" s="1214" customFormat="1" ht="26.25" customHeight="1" x14ac:dyDescent="0.2">
      <c r="A15" s="1234"/>
      <c r="B15" s="1235" t="s">
        <v>396</v>
      </c>
      <c r="C15" s="1236">
        <v>550</v>
      </c>
      <c r="D15" s="1237">
        <f t="shared" si="2"/>
        <v>6600</v>
      </c>
      <c r="E15" s="1238">
        <f t="shared" si="0"/>
        <v>550</v>
      </c>
      <c r="F15" s="1236">
        <v>0</v>
      </c>
      <c r="G15" s="1237">
        <v>0</v>
      </c>
      <c r="H15" s="1238">
        <f t="shared" si="3"/>
        <v>0</v>
      </c>
      <c r="I15" s="1233">
        <f t="shared" si="1"/>
        <v>7150</v>
      </c>
    </row>
    <row r="16" spans="1:9" s="1214" customFormat="1" ht="26.25" customHeight="1" x14ac:dyDescent="0.2">
      <c r="A16" s="1234"/>
      <c r="B16" s="1235" t="s">
        <v>397</v>
      </c>
      <c r="C16" s="1236">
        <v>550</v>
      </c>
      <c r="D16" s="1237">
        <f t="shared" si="2"/>
        <v>6600</v>
      </c>
      <c r="E16" s="1238">
        <f t="shared" si="0"/>
        <v>550</v>
      </c>
      <c r="F16" s="1236">
        <f>+D16*F8</f>
        <v>445.50000000000006</v>
      </c>
      <c r="G16" s="1237">
        <f>+D16*G8</f>
        <v>495</v>
      </c>
      <c r="H16" s="1238">
        <f t="shared" si="3"/>
        <v>940.5</v>
      </c>
      <c r="I16" s="1233">
        <f t="shared" si="1"/>
        <v>8090.5</v>
      </c>
    </row>
    <row r="17" spans="1:9" s="1214" customFormat="1" ht="26.25" customHeight="1" x14ac:dyDescent="0.2">
      <c r="A17" s="1234"/>
      <c r="B17" s="1235" t="s">
        <v>398</v>
      </c>
      <c r="C17" s="1236">
        <v>550</v>
      </c>
      <c r="D17" s="1237">
        <f t="shared" si="2"/>
        <v>6600</v>
      </c>
      <c r="E17" s="1238">
        <f t="shared" si="0"/>
        <v>550</v>
      </c>
      <c r="F17" s="1236">
        <f>+D17*F8</f>
        <v>445.50000000000006</v>
      </c>
      <c r="G17" s="1237">
        <f>+D17*G8</f>
        <v>495</v>
      </c>
      <c r="H17" s="1238">
        <f t="shared" si="3"/>
        <v>940.5</v>
      </c>
      <c r="I17" s="1233">
        <f t="shared" si="1"/>
        <v>8090.5</v>
      </c>
    </row>
    <row r="18" spans="1:9" s="1214" customFormat="1" ht="26.25" customHeight="1" thickBot="1" x14ac:dyDescent="0.25">
      <c r="A18" s="1241"/>
      <c r="B18" s="1242" t="s">
        <v>399</v>
      </c>
      <c r="C18" s="1243">
        <v>550</v>
      </c>
      <c r="D18" s="1244">
        <f t="shared" si="2"/>
        <v>6600</v>
      </c>
      <c r="E18" s="1245">
        <f t="shared" si="0"/>
        <v>550</v>
      </c>
      <c r="F18" s="1243">
        <v>0</v>
      </c>
      <c r="G18" s="1244">
        <v>0</v>
      </c>
      <c r="H18" s="1245">
        <f t="shared" si="3"/>
        <v>0</v>
      </c>
      <c r="I18" s="1233">
        <f t="shared" si="1"/>
        <v>7150</v>
      </c>
    </row>
    <row r="19" spans="1:9" s="1214" customFormat="1" ht="26.25" customHeight="1" thickBot="1" x14ac:dyDescent="0.25">
      <c r="A19" s="1246" t="s">
        <v>400</v>
      </c>
      <c r="B19" s="1247"/>
      <c r="C19" s="1248">
        <f t="shared" ref="C19:H19" si="4">SUM(C9:C18)</f>
        <v>5500</v>
      </c>
      <c r="D19" s="1249">
        <f t="shared" si="4"/>
        <v>66000</v>
      </c>
      <c r="E19" s="1250">
        <f t="shared" si="4"/>
        <v>5500</v>
      </c>
      <c r="F19" s="1248">
        <f t="shared" si="4"/>
        <v>2227.5000000000005</v>
      </c>
      <c r="G19" s="1249">
        <f t="shared" si="4"/>
        <v>2475</v>
      </c>
      <c r="H19" s="1250">
        <f t="shared" si="4"/>
        <v>4702.5</v>
      </c>
      <c r="I19" s="1251">
        <f>SUM(I9:I18)</f>
        <v>76202.5</v>
      </c>
    </row>
    <row r="20" spans="1:9" s="1214" customFormat="1" ht="26.25" customHeight="1" thickBot="1" x14ac:dyDescent="0.25">
      <c r="A20" s="1246" t="s">
        <v>401</v>
      </c>
      <c r="B20" s="1247"/>
      <c r="C20" s="1248">
        <f t="shared" ref="C20:I20" si="5">SUM(C19:C19)</f>
        <v>5500</v>
      </c>
      <c r="D20" s="1249">
        <f t="shared" si="5"/>
        <v>66000</v>
      </c>
      <c r="E20" s="1250">
        <f t="shared" si="5"/>
        <v>5500</v>
      </c>
      <c r="F20" s="1248">
        <f t="shared" si="5"/>
        <v>2227.5000000000005</v>
      </c>
      <c r="G20" s="1249">
        <f t="shared" si="5"/>
        <v>2475</v>
      </c>
      <c r="H20" s="1250">
        <f t="shared" si="5"/>
        <v>4702.5</v>
      </c>
      <c r="I20" s="1251">
        <f t="shared" si="5"/>
        <v>76202.5</v>
      </c>
    </row>
    <row r="22" spans="1:9" x14ac:dyDescent="0.2">
      <c r="G22" s="1252"/>
      <c r="I22" s="1253">
        <f>'PLLA MUNICIPAL HONORARIOS'!K27+'PLLA MUNICIPAL LEY SAL'!O74+'PLLA DIETAS'!I20</f>
        <v>371482.8346</v>
      </c>
    </row>
    <row r="24" spans="1:9" x14ac:dyDescent="0.2">
      <c r="F24" s="1254"/>
    </row>
    <row r="26" spans="1:9" x14ac:dyDescent="0.2">
      <c r="E26" s="1252"/>
      <c r="F26" s="1252"/>
      <c r="G26" s="1252"/>
      <c r="H26" s="1252"/>
    </row>
    <row r="28" spans="1:9" x14ac:dyDescent="0.2">
      <c r="E28" s="1252"/>
      <c r="F28" s="1252"/>
      <c r="G28" s="1252"/>
      <c r="H28" s="1252"/>
    </row>
  </sheetData>
  <mergeCells count="14">
    <mergeCell ref="A20:B20"/>
    <mergeCell ref="F5:H5"/>
    <mergeCell ref="C5:D6"/>
    <mergeCell ref="A1:I1"/>
    <mergeCell ref="A2:I2"/>
    <mergeCell ref="I5:I8"/>
    <mergeCell ref="A5:A8"/>
    <mergeCell ref="B5:B8"/>
    <mergeCell ref="E5:E8"/>
    <mergeCell ref="C7:C8"/>
    <mergeCell ref="D7:D8"/>
    <mergeCell ref="H6:H8"/>
    <mergeCell ref="A19:B19"/>
    <mergeCell ref="A3:I3"/>
  </mergeCells>
  <phoneticPr fontId="0" type="noConversion"/>
  <pageMargins left="0.23622047244094491" right="0.15748031496062992" top="1.0629921259842521" bottom="0.98425196850393704" header="1.6929133858267718" footer="0"/>
  <pageSetup scale="80" orientation="landscape" horizontalDpi="4294967294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K411"/>
  <sheetViews>
    <sheetView showGridLines="0" topLeftCell="A52" zoomScaleNormal="100" workbookViewId="0">
      <selection activeCell="H8" sqref="H8"/>
    </sheetView>
  </sheetViews>
  <sheetFormatPr baseColWidth="10" defaultRowHeight="12.75" x14ac:dyDescent="0.2"/>
  <cols>
    <col min="1" max="1" width="7.7109375" customWidth="1"/>
    <col min="2" max="2" width="50" customWidth="1"/>
    <col min="3" max="3" width="15.5703125" style="475" customWidth="1"/>
    <col min="4" max="4" width="15.42578125" style="475" customWidth="1"/>
    <col min="5" max="5" width="13.7109375" style="475" customWidth="1"/>
    <col min="6" max="6" width="14.42578125" style="475" customWidth="1"/>
    <col min="7" max="7" width="14" style="471" bestFit="1" customWidth="1"/>
    <col min="8" max="8" width="15.140625" style="246" customWidth="1"/>
    <col min="9" max="9" width="12.28515625" style="414" bestFit="1" customWidth="1"/>
    <col min="10" max="10" width="12.28515625" bestFit="1" customWidth="1"/>
  </cols>
  <sheetData>
    <row r="1" spans="1:11" x14ac:dyDescent="0.2">
      <c r="A1" s="1051" t="s">
        <v>692</v>
      </c>
      <c r="B1" s="1051"/>
      <c r="C1" s="1051"/>
      <c r="D1" s="1051"/>
      <c r="E1" s="1051"/>
      <c r="F1" s="1051"/>
      <c r="G1" s="1051"/>
    </row>
    <row r="2" spans="1:11" x14ac:dyDescent="0.2">
      <c r="A2" s="1065" t="s">
        <v>103</v>
      </c>
      <c r="B2" s="1065"/>
      <c r="C2" s="1065"/>
      <c r="D2" s="1065"/>
      <c r="E2" s="1065"/>
      <c r="F2" s="1065"/>
      <c r="G2" s="1065"/>
    </row>
    <row r="3" spans="1:11" x14ac:dyDescent="0.2">
      <c r="A3" s="1065" t="s">
        <v>104</v>
      </c>
      <c r="B3" s="1065"/>
      <c r="C3" s="1065"/>
      <c r="D3" s="1065"/>
      <c r="E3" s="1065"/>
      <c r="F3" s="1065"/>
      <c r="G3" s="1065"/>
    </row>
    <row r="4" spans="1:11" x14ac:dyDescent="0.2">
      <c r="A4" s="1065" t="s">
        <v>488</v>
      </c>
      <c r="B4" s="1065"/>
      <c r="C4" s="1065"/>
      <c r="D4" s="1065"/>
      <c r="E4" s="1065"/>
      <c r="F4" s="1065"/>
      <c r="G4" s="1065"/>
    </row>
    <row r="5" spans="1:11" x14ac:dyDescent="0.2">
      <c r="A5" s="1065" t="s">
        <v>618</v>
      </c>
      <c r="B5" s="1065"/>
      <c r="C5" s="1065"/>
      <c r="D5" s="1065"/>
      <c r="E5" s="1065"/>
      <c r="F5" s="1065"/>
      <c r="G5" s="1065"/>
    </row>
    <row r="6" spans="1:11" ht="13.5" thickBot="1" x14ac:dyDescent="0.25">
      <c r="B6" s="5"/>
      <c r="H6" s="243"/>
    </row>
    <row r="7" spans="1:11" s="2" customFormat="1" ht="13.5" thickBot="1" x14ac:dyDescent="0.25">
      <c r="A7" s="1068" t="s">
        <v>693</v>
      </c>
      <c r="B7" s="1068" t="s">
        <v>14</v>
      </c>
      <c r="C7" s="1071" t="s">
        <v>106</v>
      </c>
      <c r="D7" s="1072"/>
      <c r="E7" s="1072"/>
      <c r="F7" s="1072"/>
      <c r="G7" s="1073"/>
      <c r="H7" s="246"/>
      <c r="I7" s="415"/>
    </row>
    <row r="8" spans="1:11" s="2" customFormat="1" ht="12.75" customHeight="1" x14ac:dyDescent="0.2">
      <c r="A8" s="1069"/>
      <c r="B8" s="1069"/>
      <c r="C8" s="1066" t="s">
        <v>606</v>
      </c>
      <c r="D8" s="1066" t="s">
        <v>607</v>
      </c>
      <c r="E8" s="1066" t="s">
        <v>109</v>
      </c>
      <c r="F8" s="1066" t="s">
        <v>188</v>
      </c>
      <c r="G8" s="1066" t="s">
        <v>4</v>
      </c>
      <c r="H8" s="246"/>
      <c r="I8" s="415"/>
    </row>
    <row r="9" spans="1:11" s="2" customFormat="1" ht="39.75" customHeight="1" thickBot="1" x14ac:dyDescent="0.25">
      <c r="A9" s="1070"/>
      <c r="B9" s="1070"/>
      <c r="C9" s="1067"/>
      <c r="D9" s="1067"/>
      <c r="E9" s="1067"/>
      <c r="F9" s="1067"/>
      <c r="G9" s="1067"/>
      <c r="H9" s="246"/>
      <c r="I9" s="415"/>
    </row>
    <row r="10" spans="1:11" x14ac:dyDescent="0.2">
      <c r="A10" s="763">
        <v>54</v>
      </c>
      <c r="B10" s="755" t="s">
        <v>29</v>
      </c>
      <c r="C10" s="732">
        <f>C11+C31+C37+C53+C58</f>
        <v>20020</v>
      </c>
      <c r="D10" s="615">
        <f>D11+D31+D37+D53</f>
        <v>1730</v>
      </c>
      <c r="E10" s="615">
        <f>E11+E31+E37+E53</f>
        <v>860</v>
      </c>
      <c r="F10" s="739">
        <f>F11+F31+F37+F53</f>
        <v>111131.84999999999</v>
      </c>
      <c r="G10" s="746">
        <f>G11+G31+G37+G53+G58</f>
        <v>133741.84999999998</v>
      </c>
      <c r="H10" s="243"/>
    </row>
    <row r="11" spans="1:11" x14ac:dyDescent="0.2">
      <c r="A11" s="764">
        <v>541</v>
      </c>
      <c r="B11" s="756" t="s">
        <v>30</v>
      </c>
      <c r="C11" s="733">
        <f>SUM(C12:C30)</f>
        <v>4750</v>
      </c>
      <c r="D11" s="616">
        <f>SUM(D12:D30)</f>
        <v>1600</v>
      </c>
      <c r="E11" s="616">
        <f>SUM(E12:E30)</f>
        <v>650</v>
      </c>
      <c r="F11" s="740">
        <f>SUM(F12:F30)</f>
        <v>8340</v>
      </c>
      <c r="G11" s="747">
        <f>SUM(C11:F11)</f>
        <v>15340</v>
      </c>
      <c r="H11" s="243"/>
      <c r="I11" s="416"/>
    </row>
    <row r="12" spans="1:11" x14ac:dyDescent="0.2">
      <c r="A12" s="765">
        <v>54101</v>
      </c>
      <c r="B12" s="757" t="s">
        <v>31</v>
      </c>
      <c r="C12" s="734">
        <v>400</v>
      </c>
      <c r="D12" s="617">
        <v>0</v>
      </c>
      <c r="E12" s="617">
        <v>0</v>
      </c>
      <c r="F12" s="741">
        <v>0</v>
      </c>
      <c r="G12" s="748">
        <f>SUM(C12:F12)</f>
        <v>400</v>
      </c>
      <c r="H12" s="243"/>
      <c r="J12" s="4"/>
      <c r="K12" s="4"/>
    </row>
    <row r="13" spans="1:11" hidden="1" x14ac:dyDescent="0.2">
      <c r="A13" s="765">
        <v>54103</v>
      </c>
      <c r="B13" s="757" t="s">
        <v>32</v>
      </c>
      <c r="C13" s="734"/>
      <c r="D13" s="617">
        <v>0</v>
      </c>
      <c r="E13" s="617">
        <v>0</v>
      </c>
      <c r="F13" s="741">
        <v>0</v>
      </c>
      <c r="G13" s="749">
        <f>+C13+F13</f>
        <v>0</v>
      </c>
      <c r="H13" s="243"/>
    </row>
    <row r="14" spans="1:11" x14ac:dyDescent="0.2">
      <c r="A14" s="765">
        <v>54104</v>
      </c>
      <c r="B14" s="757" t="s">
        <v>33</v>
      </c>
      <c r="C14" s="734">
        <v>0</v>
      </c>
      <c r="D14" s="617">
        <v>0</v>
      </c>
      <c r="E14" s="617">
        <v>0</v>
      </c>
      <c r="F14" s="741">
        <v>0</v>
      </c>
      <c r="G14" s="748">
        <f t="shared" ref="G14:G30" si="0">SUM(C14:F14)</f>
        <v>0</v>
      </c>
      <c r="H14" s="243"/>
    </row>
    <row r="15" spans="1:11" s="1" customFormat="1" x14ac:dyDescent="0.2">
      <c r="A15" s="765">
        <v>54105</v>
      </c>
      <c r="B15" s="757" t="s">
        <v>34</v>
      </c>
      <c r="C15" s="734">
        <v>200</v>
      </c>
      <c r="D15" s="617">
        <v>300</v>
      </c>
      <c r="E15" s="617">
        <v>150</v>
      </c>
      <c r="F15" s="741">
        <v>50</v>
      </c>
      <c r="G15" s="748">
        <f t="shared" si="0"/>
        <v>700</v>
      </c>
      <c r="H15" s="243"/>
      <c r="I15" s="414"/>
    </row>
    <row r="16" spans="1:11" s="1" customFormat="1" hidden="1" x14ac:dyDescent="0.2">
      <c r="A16" s="765">
        <v>54106</v>
      </c>
      <c r="B16" s="757" t="s">
        <v>35</v>
      </c>
      <c r="C16" s="734"/>
      <c r="D16" s="617"/>
      <c r="E16" s="617"/>
      <c r="F16" s="741"/>
      <c r="G16" s="748">
        <f t="shared" si="0"/>
        <v>0</v>
      </c>
      <c r="H16" s="243"/>
      <c r="I16" s="417"/>
    </row>
    <row r="17" spans="1:9" x14ac:dyDescent="0.2">
      <c r="A17" s="765">
        <v>54107</v>
      </c>
      <c r="B17" s="757" t="s">
        <v>36</v>
      </c>
      <c r="C17" s="734">
        <v>0</v>
      </c>
      <c r="D17" s="617">
        <v>0</v>
      </c>
      <c r="E17" s="617">
        <v>0</v>
      </c>
      <c r="F17" s="741">
        <f>630*3</f>
        <v>1890</v>
      </c>
      <c r="G17" s="748">
        <f t="shared" si="0"/>
        <v>1890</v>
      </c>
      <c r="H17" s="243"/>
      <c r="I17" s="417"/>
    </row>
    <row r="18" spans="1:9" x14ac:dyDescent="0.2">
      <c r="A18" s="765">
        <v>54108</v>
      </c>
      <c r="B18" s="757" t="s">
        <v>37</v>
      </c>
      <c r="C18" s="734">
        <v>0</v>
      </c>
      <c r="D18" s="617">
        <v>0</v>
      </c>
      <c r="E18" s="617">
        <v>0</v>
      </c>
      <c r="F18" s="741">
        <v>0</v>
      </c>
      <c r="G18" s="748">
        <f t="shared" si="0"/>
        <v>0</v>
      </c>
      <c r="H18" s="243"/>
    </row>
    <row r="19" spans="1:9" x14ac:dyDescent="0.2">
      <c r="A19" s="765">
        <v>54109</v>
      </c>
      <c r="B19" s="757" t="s">
        <v>38</v>
      </c>
      <c r="C19" s="734">
        <v>500</v>
      </c>
      <c r="D19" s="617">
        <v>0</v>
      </c>
      <c r="E19" s="617">
        <v>0</v>
      </c>
      <c r="F19" s="741">
        <v>500</v>
      </c>
      <c r="G19" s="748">
        <f t="shared" si="0"/>
        <v>1000</v>
      </c>
      <c r="H19" s="243"/>
    </row>
    <row r="20" spans="1:9" x14ac:dyDescent="0.2">
      <c r="A20" s="765">
        <v>54110</v>
      </c>
      <c r="B20" s="757" t="s">
        <v>39</v>
      </c>
      <c r="C20" s="734">
        <v>1600</v>
      </c>
      <c r="D20" s="617">
        <v>0</v>
      </c>
      <c r="E20" s="617">
        <v>0</v>
      </c>
      <c r="F20" s="741">
        <v>4500</v>
      </c>
      <c r="G20" s="748">
        <f t="shared" si="0"/>
        <v>6100</v>
      </c>
      <c r="H20" s="243"/>
    </row>
    <row r="21" spans="1:9" x14ac:dyDescent="0.2">
      <c r="A21" s="765">
        <v>54111</v>
      </c>
      <c r="B21" s="757" t="s">
        <v>40</v>
      </c>
      <c r="C21" s="734">
        <v>0</v>
      </c>
      <c r="D21" s="617">
        <v>0</v>
      </c>
      <c r="E21" s="617">
        <v>0</v>
      </c>
      <c r="F21" s="741">
        <v>0</v>
      </c>
      <c r="G21" s="748">
        <f t="shared" si="0"/>
        <v>0</v>
      </c>
      <c r="H21" s="243"/>
    </row>
    <row r="22" spans="1:9" s="1" customFormat="1" x14ac:dyDescent="0.2">
      <c r="A22" s="765">
        <v>54112</v>
      </c>
      <c r="B22" s="757" t="s">
        <v>41</v>
      </c>
      <c r="C22" s="734">
        <v>0</v>
      </c>
      <c r="D22" s="617">
        <v>0</v>
      </c>
      <c r="E22" s="617">
        <v>0</v>
      </c>
      <c r="F22" s="741">
        <v>0</v>
      </c>
      <c r="G22" s="748">
        <f t="shared" si="0"/>
        <v>0</v>
      </c>
      <c r="H22" s="243"/>
      <c r="I22" s="414"/>
    </row>
    <row r="23" spans="1:9" x14ac:dyDescent="0.2">
      <c r="A23" s="765">
        <v>54114</v>
      </c>
      <c r="B23" s="757" t="s">
        <v>42</v>
      </c>
      <c r="C23" s="734">
        <v>100</v>
      </c>
      <c r="D23" s="617">
        <v>200</v>
      </c>
      <c r="E23" s="617">
        <v>100</v>
      </c>
      <c r="F23" s="741">
        <v>100</v>
      </c>
      <c r="G23" s="748">
        <f t="shared" si="0"/>
        <v>500</v>
      </c>
      <c r="H23" s="243"/>
      <c r="I23" s="417"/>
    </row>
    <row r="24" spans="1:9" x14ac:dyDescent="0.2">
      <c r="A24" s="765">
        <v>54115</v>
      </c>
      <c r="B24" s="757" t="s">
        <v>43</v>
      </c>
      <c r="C24" s="734">
        <v>400</v>
      </c>
      <c r="D24" s="617">
        <v>600</v>
      </c>
      <c r="E24" s="617">
        <v>300</v>
      </c>
      <c r="F24" s="741">
        <v>100</v>
      </c>
      <c r="G24" s="748">
        <f t="shared" si="0"/>
        <v>1400</v>
      </c>
      <c r="H24" s="243"/>
    </row>
    <row r="25" spans="1:9" hidden="1" x14ac:dyDescent="0.2">
      <c r="A25" s="765">
        <v>54116</v>
      </c>
      <c r="B25" s="757" t="s">
        <v>44</v>
      </c>
      <c r="C25" s="734"/>
      <c r="D25" s="617"/>
      <c r="E25" s="617"/>
      <c r="F25" s="741"/>
      <c r="G25" s="748">
        <f t="shared" si="0"/>
        <v>0</v>
      </c>
      <c r="H25" s="243"/>
    </row>
    <row r="26" spans="1:9" hidden="1" x14ac:dyDescent="0.2">
      <c r="A26" s="765">
        <v>54117</v>
      </c>
      <c r="B26" s="757" t="s">
        <v>45</v>
      </c>
      <c r="C26" s="734"/>
      <c r="D26" s="617"/>
      <c r="E26" s="617"/>
      <c r="F26" s="741"/>
      <c r="G26" s="748">
        <f t="shared" si="0"/>
        <v>0</v>
      </c>
      <c r="H26" s="243"/>
    </row>
    <row r="27" spans="1:9" x14ac:dyDescent="0.2">
      <c r="A27" s="765">
        <v>54118</v>
      </c>
      <c r="B27" s="757" t="s">
        <v>46</v>
      </c>
      <c r="C27" s="734">
        <v>0</v>
      </c>
      <c r="D27" s="617">
        <v>0</v>
      </c>
      <c r="E27" s="617">
        <v>0</v>
      </c>
      <c r="F27" s="741">
        <v>1000</v>
      </c>
      <c r="G27" s="748">
        <f t="shared" si="0"/>
        <v>1000</v>
      </c>
      <c r="H27" s="243"/>
    </row>
    <row r="28" spans="1:9" x14ac:dyDescent="0.2">
      <c r="A28" s="765">
        <v>54119</v>
      </c>
      <c r="B28" s="757" t="s">
        <v>47</v>
      </c>
      <c r="C28" s="734">
        <v>50</v>
      </c>
      <c r="D28" s="617">
        <v>0</v>
      </c>
      <c r="E28" s="617">
        <v>0</v>
      </c>
      <c r="F28" s="741">
        <v>0</v>
      </c>
      <c r="G28" s="748">
        <f t="shared" si="0"/>
        <v>50</v>
      </c>
      <c r="H28" s="243"/>
    </row>
    <row r="29" spans="1:9" x14ac:dyDescent="0.2">
      <c r="A29" s="765">
        <v>54121</v>
      </c>
      <c r="B29" s="757" t="s">
        <v>48</v>
      </c>
      <c r="C29" s="734">
        <v>0</v>
      </c>
      <c r="D29" s="617">
        <v>400</v>
      </c>
      <c r="E29" s="617">
        <v>0</v>
      </c>
      <c r="F29" s="741">
        <v>0</v>
      </c>
      <c r="G29" s="748">
        <f t="shared" si="0"/>
        <v>400</v>
      </c>
      <c r="H29" s="243"/>
    </row>
    <row r="30" spans="1:9" x14ac:dyDescent="0.2">
      <c r="A30" s="765">
        <v>54199</v>
      </c>
      <c r="B30" s="757" t="s">
        <v>49</v>
      </c>
      <c r="C30" s="734">
        <v>1500</v>
      </c>
      <c r="D30" s="617">
        <v>100</v>
      </c>
      <c r="E30" s="617">
        <v>100</v>
      </c>
      <c r="F30" s="741">
        <v>200</v>
      </c>
      <c r="G30" s="748">
        <f t="shared" si="0"/>
        <v>1900</v>
      </c>
      <c r="H30" s="243"/>
    </row>
    <row r="31" spans="1:9" x14ac:dyDescent="0.2">
      <c r="A31" s="764">
        <v>542</v>
      </c>
      <c r="B31" s="756" t="s">
        <v>50</v>
      </c>
      <c r="C31" s="733">
        <f>SUM(C32:C36)</f>
        <v>7350</v>
      </c>
      <c r="D31" s="616">
        <f>SUM(D32:D36)</f>
        <v>0</v>
      </c>
      <c r="E31" s="616">
        <f>SUM(E32:E36)</f>
        <v>0</v>
      </c>
      <c r="F31" s="740">
        <f>SUM(F32:F36)</f>
        <v>100561.84999999999</v>
      </c>
      <c r="G31" s="747">
        <f t="shared" ref="G31:G36" si="1">SUM(C31:F31)</f>
        <v>107911.84999999999</v>
      </c>
      <c r="H31" s="243"/>
    </row>
    <row r="32" spans="1:9" x14ac:dyDescent="0.2">
      <c r="A32" s="765">
        <v>54201</v>
      </c>
      <c r="B32" s="757" t="s">
        <v>51</v>
      </c>
      <c r="C32" s="734">
        <f>250*6</f>
        <v>1500</v>
      </c>
      <c r="D32" s="617">
        <v>0</v>
      </c>
      <c r="E32" s="617">
        <v>0</v>
      </c>
      <c r="F32" s="741">
        <f>65538.79+24103.06</f>
        <v>89641.849999999991</v>
      </c>
      <c r="G32" s="749">
        <f t="shared" si="1"/>
        <v>91141.849999999991</v>
      </c>
      <c r="H32" s="243"/>
    </row>
    <row r="33" spans="1:10" x14ac:dyDescent="0.2">
      <c r="A33" s="765">
        <v>54202</v>
      </c>
      <c r="B33" s="757" t="s">
        <v>52</v>
      </c>
      <c r="C33" s="734">
        <f>75*6</f>
        <v>450</v>
      </c>
      <c r="D33" s="617">
        <v>0</v>
      </c>
      <c r="E33" s="617">
        <v>0</v>
      </c>
      <c r="F33" s="741">
        <f>10*6</f>
        <v>60</v>
      </c>
      <c r="G33" s="749">
        <f t="shared" si="1"/>
        <v>510</v>
      </c>
      <c r="H33" s="243"/>
    </row>
    <row r="34" spans="1:10" x14ac:dyDescent="0.2">
      <c r="A34" s="765">
        <v>54203</v>
      </c>
      <c r="B34" s="757" t="s">
        <v>53</v>
      </c>
      <c r="C34" s="734">
        <f>900*6</f>
        <v>5400</v>
      </c>
      <c r="D34" s="617">
        <v>0</v>
      </c>
      <c r="E34" s="617">
        <v>0</v>
      </c>
      <c r="F34" s="741">
        <f>110*6</f>
        <v>660</v>
      </c>
      <c r="G34" s="749">
        <f t="shared" si="1"/>
        <v>6060</v>
      </c>
      <c r="H34" s="243"/>
    </row>
    <row r="35" spans="1:10" ht="12.75" hidden="1" customHeight="1" x14ac:dyDescent="0.2">
      <c r="A35" s="765">
        <v>54204</v>
      </c>
      <c r="B35" s="757" t="s">
        <v>54</v>
      </c>
      <c r="C35" s="734"/>
      <c r="D35" s="617"/>
      <c r="E35" s="617"/>
      <c r="F35" s="741"/>
      <c r="G35" s="749">
        <f t="shared" si="1"/>
        <v>0</v>
      </c>
    </row>
    <row r="36" spans="1:10" x14ac:dyDescent="0.2">
      <c r="A36" s="765">
        <v>54205</v>
      </c>
      <c r="B36" s="757" t="s">
        <v>55</v>
      </c>
      <c r="C36" s="734"/>
      <c r="D36" s="617"/>
      <c r="E36" s="617"/>
      <c r="F36" s="741">
        <f>1700*6</f>
        <v>10200</v>
      </c>
      <c r="G36" s="749">
        <f t="shared" si="1"/>
        <v>10200</v>
      </c>
      <c r="H36" s="243"/>
      <c r="J36" s="4"/>
    </row>
    <row r="37" spans="1:10" x14ac:dyDescent="0.2">
      <c r="A37" s="764">
        <v>543</v>
      </c>
      <c r="B37" s="756" t="s">
        <v>56</v>
      </c>
      <c r="C37" s="733">
        <f>SUM(C38:C52)</f>
        <v>7100</v>
      </c>
      <c r="D37" s="616">
        <f>SUM(D38:D52)</f>
        <v>100</v>
      </c>
      <c r="E37" s="616">
        <f>SUM(E38:E52)</f>
        <v>100</v>
      </c>
      <c r="F37" s="740">
        <f>SUM(F38:F52)</f>
        <v>2200</v>
      </c>
      <c r="G37" s="747">
        <f>SUM(G38:G52)</f>
        <v>9500</v>
      </c>
      <c r="H37" s="243"/>
    </row>
    <row r="38" spans="1:10" x14ac:dyDescent="0.2">
      <c r="A38" s="765">
        <v>54301</v>
      </c>
      <c r="B38" s="757" t="s">
        <v>57</v>
      </c>
      <c r="C38" s="734">
        <v>100</v>
      </c>
      <c r="D38" s="617">
        <v>100</v>
      </c>
      <c r="E38" s="617">
        <v>100</v>
      </c>
      <c r="F38" s="741">
        <v>100</v>
      </c>
      <c r="G38" s="749">
        <f>SUM(C38:F38)</f>
        <v>400</v>
      </c>
      <c r="H38" s="243"/>
    </row>
    <row r="39" spans="1:10" x14ac:dyDescent="0.2">
      <c r="A39" s="765">
        <v>54302</v>
      </c>
      <c r="B39" s="757" t="s">
        <v>58</v>
      </c>
      <c r="C39" s="734">
        <v>1000</v>
      </c>
      <c r="D39" s="617">
        <v>0</v>
      </c>
      <c r="E39" s="617">
        <v>0</v>
      </c>
      <c r="F39" s="741">
        <v>1000</v>
      </c>
      <c r="G39" s="749">
        <f t="shared" ref="G39:G52" si="2">SUM(C39:F39)</f>
        <v>2000</v>
      </c>
      <c r="H39" s="243"/>
    </row>
    <row r="40" spans="1:10" x14ac:dyDescent="0.2">
      <c r="A40" s="765">
        <v>54303</v>
      </c>
      <c r="B40" s="757" t="s">
        <v>59</v>
      </c>
      <c r="C40" s="734">
        <v>0</v>
      </c>
      <c r="D40" s="617">
        <v>0</v>
      </c>
      <c r="E40" s="617">
        <v>0</v>
      </c>
      <c r="F40" s="741">
        <v>0</v>
      </c>
      <c r="G40" s="749">
        <f t="shared" si="2"/>
        <v>0</v>
      </c>
      <c r="H40" s="243"/>
    </row>
    <row r="41" spans="1:10" x14ac:dyDescent="0.2">
      <c r="A41" s="765">
        <v>54304</v>
      </c>
      <c r="B41" s="757" t="s">
        <v>60</v>
      </c>
      <c r="C41" s="734">
        <v>1500</v>
      </c>
      <c r="D41" s="617">
        <v>0</v>
      </c>
      <c r="E41" s="617">
        <v>0</v>
      </c>
      <c r="F41" s="741">
        <v>0</v>
      </c>
      <c r="G41" s="749">
        <f>SUM(C41:F41)</f>
        <v>1500</v>
      </c>
      <c r="H41" s="243"/>
    </row>
    <row r="42" spans="1:10" x14ac:dyDescent="0.2">
      <c r="A42" s="765">
        <v>54305</v>
      </c>
      <c r="B42" s="757" t="s">
        <v>61</v>
      </c>
      <c r="C42" s="734">
        <v>0</v>
      </c>
      <c r="D42" s="617">
        <v>0</v>
      </c>
      <c r="E42" s="617">
        <v>0</v>
      </c>
      <c r="F42" s="741">
        <v>0</v>
      </c>
      <c r="G42" s="749">
        <f t="shared" si="2"/>
        <v>0</v>
      </c>
      <c r="H42" s="243"/>
    </row>
    <row r="43" spans="1:10" x14ac:dyDescent="0.2">
      <c r="A43" s="765">
        <v>54306</v>
      </c>
      <c r="B43" s="757" t="s">
        <v>62</v>
      </c>
      <c r="C43" s="734">
        <v>0</v>
      </c>
      <c r="D43" s="617">
        <v>0</v>
      </c>
      <c r="E43" s="617">
        <v>0</v>
      </c>
      <c r="F43" s="741">
        <v>0</v>
      </c>
      <c r="G43" s="749">
        <f t="shared" si="2"/>
        <v>0</v>
      </c>
      <c r="H43" s="243"/>
    </row>
    <row r="44" spans="1:10" x14ac:dyDescent="0.2">
      <c r="A44" s="765">
        <v>54307</v>
      </c>
      <c r="B44" s="757" t="s">
        <v>63</v>
      </c>
      <c r="C44" s="734">
        <v>0</v>
      </c>
      <c r="D44" s="617">
        <v>0</v>
      </c>
      <c r="E44" s="617">
        <v>0</v>
      </c>
      <c r="F44" s="741">
        <v>0</v>
      </c>
      <c r="G44" s="749">
        <f t="shared" si="2"/>
        <v>0</v>
      </c>
      <c r="H44" s="243"/>
    </row>
    <row r="45" spans="1:10" hidden="1" x14ac:dyDescent="0.2">
      <c r="A45" s="765">
        <v>54309</v>
      </c>
      <c r="B45" s="757" t="s">
        <v>64</v>
      </c>
      <c r="C45" s="734"/>
      <c r="D45" s="617">
        <v>0</v>
      </c>
      <c r="E45" s="617">
        <v>0</v>
      </c>
      <c r="F45" s="741">
        <v>0</v>
      </c>
      <c r="G45" s="749">
        <f t="shared" si="2"/>
        <v>0</v>
      </c>
      <c r="H45" s="243"/>
    </row>
    <row r="46" spans="1:10" hidden="1" x14ac:dyDescent="0.2">
      <c r="A46" s="765">
        <v>54310</v>
      </c>
      <c r="B46" s="757" t="s">
        <v>65</v>
      </c>
      <c r="C46" s="734"/>
      <c r="D46" s="617">
        <v>0</v>
      </c>
      <c r="E46" s="617">
        <v>0</v>
      </c>
      <c r="F46" s="741">
        <v>0</v>
      </c>
      <c r="G46" s="749">
        <f t="shared" si="2"/>
        <v>0</v>
      </c>
      <c r="H46" s="243"/>
    </row>
    <row r="47" spans="1:10" hidden="1" x14ac:dyDescent="0.2">
      <c r="A47" s="765">
        <v>54311</v>
      </c>
      <c r="B47" s="757" t="s">
        <v>66</v>
      </c>
      <c r="C47" s="734"/>
      <c r="D47" s="617">
        <v>0</v>
      </c>
      <c r="E47" s="617">
        <v>0</v>
      </c>
      <c r="F47" s="741">
        <v>0</v>
      </c>
      <c r="G47" s="749">
        <f t="shared" si="2"/>
        <v>0</v>
      </c>
      <c r="H47" s="243"/>
    </row>
    <row r="48" spans="1:10" hidden="1" x14ac:dyDescent="0.2">
      <c r="A48" s="765">
        <v>54313</v>
      </c>
      <c r="B48" s="757" t="s">
        <v>67</v>
      </c>
      <c r="C48" s="734"/>
      <c r="D48" s="617">
        <v>0</v>
      </c>
      <c r="E48" s="617">
        <v>0</v>
      </c>
      <c r="F48" s="741">
        <v>0</v>
      </c>
      <c r="G48" s="749">
        <f t="shared" si="2"/>
        <v>0</v>
      </c>
      <c r="H48" s="243"/>
    </row>
    <row r="49" spans="1:8" x14ac:dyDescent="0.2">
      <c r="A49" s="765">
        <v>54314</v>
      </c>
      <c r="B49" s="757" t="s">
        <v>68</v>
      </c>
      <c r="C49" s="734">
        <v>4000</v>
      </c>
      <c r="D49" s="617">
        <v>0</v>
      </c>
      <c r="E49" s="617">
        <v>0</v>
      </c>
      <c r="F49" s="741">
        <v>0</v>
      </c>
      <c r="G49" s="749">
        <f t="shared" si="2"/>
        <v>4000</v>
      </c>
      <c r="H49" s="243"/>
    </row>
    <row r="50" spans="1:8" x14ac:dyDescent="0.2">
      <c r="A50" s="765">
        <v>54316</v>
      </c>
      <c r="B50" s="757" t="s">
        <v>69</v>
      </c>
      <c r="C50" s="734">
        <v>0</v>
      </c>
      <c r="D50" s="617">
        <v>0</v>
      </c>
      <c r="E50" s="617">
        <v>0</v>
      </c>
      <c r="F50" s="741">
        <v>0</v>
      </c>
      <c r="G50" s="749">
        <f t="shared" si="2"/>
        <v>0</v>
      </c>
      <c r="H50" s="243"/>
    </row>
    <row r="51" spans="1:8" x14ac:dyDescent="0.2">
      <c r="A51" s="765">
        <v>54317</v>
      </c>
      <c r="B51" s="757" t="s">
        <v>70</v>
      </c>
      <c r="C51" s="734">
        <v>0</v>
      </c>
      <c r="D51" s="617">
        <v>0</v>
      </c>
      <c r="E51" s="617">
        <v>0</v>
      </c>
      <c r="F51" s="741">
        <f>125*6</f>
        <v>750</v>
      </c>
      <c r="G51" s="749">
        <f t="shared" si="2"/>
        <v>750</v>
      </c>
      <c r="H51" s="243"/>
    </row>
    <row r="52" spans="1:8" x14ac:dyDescent="0.2">
      <c r="A52" s="765">
        <v>54399</v>
      </c>
      <c r="B52" s="757" t="s">
        <v>71</v>
      </c>
      <c r="C52" s="734">
        <v>500</v>
      </c>
      <c r="D52" s="617">
        <v>0</v>
      </c>
      <c r="E52" s="617">
        <v>0</v>
      </c>
      <c r="F52" s="741">
        <v>350</v>
      </c>
      <c r="G52" s="749">
        <f t="shared" si="2"/>
        <v>850</v>
      </c>
      <c r="H52" s="243"/>
    </row>
    <row r="53" spans="1:8" x14ac:dyDescent="0.2">
      <c r="A53" s="764">
        <v>544</v>
      </c>
      <c r="B53" s="756" t="s">
        <v>72</v>
      </c>
      <c r="C53" s="733">
        <f>SUM(C54:C57)</f>
        <v>120</v>
      </c>
      <c r="D53" s="616">
        <f>SUM(D54:D57)</f>
        <v>30</v>
      </c>
      <c r="E53" s="616">
        <f>SUM(E54:E57)</f>
        <v>110</v>
      </c>
      <c r="F53" s="740">
        <f>SUM(F54:F57)</f>
        <v>30</v>
      </c>
      <c r="G53" s="747">
        <f>SUM(G54:G57)</f>
        <v>290</v>
      </c>
      <c r="H53" s="243"/>
    </row>
    <row r="54" spans="1:8" x14ac:dyDescent="0.2">
      <c r="A54" s="765">
        <v>54401</v>
      </c>
      <c r="B54" s="757" t="s">
        <v>73</v>
      </c>
      <c r="C54" s="734">
        <v>100</v>
      </c>
      <c r="D54" s="617">
        <v>20</v>
      </c>
      <c r="E54" s="617">
        <v>100</v>
      </c>
      <c r="F54" s="741">
        <v>20</v>
      </c>
      <c r="G54" s="749">
        <f>SUM(C54:F54)</f>
        <v>240</v>
      </c>
      <c r="H54" s="243"/>
    </row>
    <row r="55" spans="1:8" x14ac:dyDescent="0.2">
      <c r="A55" s="765">
        <v>54402</v>
      </c>
      <c r="B55" s="757" t="s">
        <v>74</v>
      </c>
      <c r="C55" s="734">
        <v>0</v>
      </c>
      <c r="D55" s="617">
        <v>0</v>
      </c>
      <c r="E55" s="617">
        <v>0</v>
      </c>
      <c r="F55" s="741">
        <v>0</v>
      </c>
      <c r="G55" s="749">
        <f t="shared" ref="G55:G65" si="3">+C55+F55</f>
        <v>0</v>
      </c>
      <c r="H55" s="243"/>
    </row>
    <row r="56" spans="1:8" x14ac:dyDescent="0.2">
      <c r="A56" s="765">
        <v>54403</v>
      </c>
      <c r="B56" s="757" t="s">
        <v>75</v>
      </c>
      <c r="C56" s="734">
        <v>20</v>
      </c>
      <c r="D56" s="617">
        <v>10</v>
      </c>
      <c r="E56" s="617">
        <v>10</v>
      </c>
      <c r="F56" s="741">
        <v>10</v>
      </c>
      <c r="G56" s="749">
        <f>SUM(C56:F56)</f>
        <v>50</v>
      </c>
      <c r="H56" s="243"/>
    </row>
    <row r="57" spans="1:8" x14ac:dyDescent="0.2">
      <c r="A57" s="765">
        <v>54404</v>
      </c>
      <c r="B57" s="757" t="s">
        <v>76</v>
      </c>
      <c r="C57" s="734">
        <v>0</v>
      </c>
      <c r="D57" s="617">
        <v>0</v>
      </c>
      <c r="E57" s="617">
        <v>0</v>
      </c>
      <c r="F57" s="741">
        <v>0</v>
      </c>
      <c r="G57" s="749">
        <f t="shared" si="3"/>
        <v>0</v>
      </c>
      <c r="H57" s="243"/>
    </row>
    <row r="58" spans="1:8" x14ac:dyDescent="0.2">
      <c r="A58" s="764">
        <v>545</v>
      </c>
      <c r="B58" s="756" t="s">
        <v>77</v>
      </c>
      <c r="C58" s="733">
        <f>+C60</f>
        <v>700</v>
      </c>
      <c r="D58" s="616">
        <v>0</v>
      </c>
      <c r="E58" s="616">
        <v>0</v>
      </c>
      <c r="F58" s="740">
        <v>0</v>
      </c>
      <c r="G58" s="747">
        <f>+G60</f>
        <v>700</v>
      </c>
      <c r="H58" s="243"/>
    </row>
    <row r="59" spans="1:8" hidden="1" x14ac:dyDescent="0.2">
      <c r="A59" s="765">
        <v>54501</v>
      </c>
      <c r="B59" s="757" t="s">
        <v>78</v>
      </c>
      <c r="C59" s="734"/>
      <c r="D59" s="617">
        <v>0</v>
      </c>
      <c r="E59" s="617">
        <v>0</v>
      </c>
      <c r="F59" s="741">
        <v>0</v>
      </c>
      <c r="G59" s="749">
        <f t="shared" si="3"/>
        <v>0</v>
      </c>
      <c r="H59" s="243"/>
    </row>
    <row r="60" spans="1:8" x14ac:dyDescent="0.2">
      <c r="A60" s="765">
        <v>54503</v>
      </c>
      <c r="B60" s="757" t="s">
        <v>79</v>
      </c>
      <c r="C60" s="734">
        <v>700</v>
      </c>
      <c r="D60" s="617">
        <v>0</v>
      </c>
      <c r="E60" s="617">
        <v>0</v>
      </c>
      <c r="F60" s="741">
        <v>0</v>
      </c>
      <c r="G60" s="749">
        <f t="shared" si="3"/>
        <v>700</v>
      </c>
      <c r="H60" s="243"/>
    </row>
    <row r="61" spans="1:8" hidden="1" x14ac:dyDescent="0.2">
      <c r="A61" s="765">
        <v>54504</v>
      </c>
      <c r="B61" s="757" t="s">
        <v>80</v>
      </c>
      <c r="C61" s="734"/>
      <c r="D61" s="617"/>
      <c r="E61" s="617"/>
      <c r="F61" s="741"/>
      <c r="G61" s="749">
        <f t="shared" si="3"/>
        <v>0</v>
      </c>
      <c r="H61" s="243"/>
    </row>
    <row r="62" spans="1:8" hidden="1" x14ac:dyDescent="0.2">
      <c r="A62" s="765">
        <v>54505</v>
      </c>
      <c r="B62" s="757" t="s">
        <v>81</v>
      </c>
      <c r="C62" s="734"/>
      <c r="D62" s="617"/>
      <c r="E62" s="617"/>
      <c r="F62" s="741"/>
      <c r="G62" s="749">
        <f t="shared" si="3"/>
        <v>0</v>
      </c>
      <c r="H62" s="243"/>
    </row>
    <row r="63" spans="1:8" hidden="1" x14ac:dyDescent="0.2">
      <c r="A63" s="765">
        <v>54507</v>
      </c>
      <c r="B63" s="757" t="s">
        <v>82</v>
      </c>
      <c r="C63" s="734"/>
      <c r="D63" s="617"/>
      <c r="E63" s="617"/>
      <c r="F63" s="741"/>
      <c r="G63" s="749">
        <f t="shared" si="3"/>
        <v>0</v>
      </c>
      <c r="H63" s="243"/>
    </row>
    <row r="64" spans="1:8" hidden="1" x14ac:dyDescent="0.2">
      <c r="A64" s="765">
        <v>54508</v>
      </c>
      <c r="B64" s="757" t="s">
        <v>83</v>
      </c>
      <c r="C64" s="734"/>
      <c r="D64" s="617"/>
      <c r="E64" s="617"/>
      <c r="F64" s="741"/>
      <c r="G64" s="749">
        <f t="shared" si="3"/>
        <v>0</v>
      </c>
      <c r="H64" s="243"/>
    </row>
    <row r="65" spans="1:9" hidden="1" x14ac:dyDescent="0.2">
      <c r="A65" s="765">
        <v>54599</v>
      </c>
      <c r="B65" s="757" t="s">
        <v>84</v>
      </c>
      <c r="C65" s="734"/>
      <c r="D65" s="617"/>
      <c r="E65" s="617"/>
      <c r="F65" s="741"/>
      <c r="G65" s="749">
        <f t="shared" si="3"/>
        <v>0</v>
      </c>
      <c r="H65" s="243"/>
    </row>
    <row r="66" spans="1:9" x14ac:dyDescent="0.2">
      <c r="A66" s="765"/>
      <c r="B66" s="757"/>
      <c r="C66" s="734"/>
      <c r="D66" s="617"/>
      <c r="E66" s="617"/>
      <c r="F66" s="741"/>
      <c r="G66" s="749"/>
      <c r="H66" s="243"/>
    </row>
    <row r="67" spans="1:9" x14ac:dyDescent="0.2">
      <c r="A67" s="764">
        <v>55</v>
      </c>
      <c r="B67" s="756" t="s">
        <v>85</v>
      </c>
      <c r="C67" s="733">
        <f>C72+C74</f>
        <v>28.86</v>
      </c>
      <c r="D67" s="616">
        <f t="shared" ref="D67:F67" si="4">D72+D74</f>
        <v>100</v>
      </c>
      <c r="E67" s="616">
        <f t="shared" si="4"/>
        <v>0</v>
      </c>
      <c r="F67" s="740">
        <f t="shared" si="4"/>
        <v>86.58</v>
      </c>
      <c r="G67" s="747">
        <f>F67+D67+C67</f>
        <v>215.44</v>
      </c>
      <c r="H67" s="380"/>
    </row>
    <row r="68" spans="1:9" hidden="1" x14ac:dyDescent="0.2">
      <c r="A68" s="764">
        <v>553</v>
      </c>
      <c r="B68" s="756" t="s">
        <v>86</v>
      </c>
      <c r="C68" s="734"/>
      <c r="D68" s="617"/>
      <c r="E68" s="617"/>
      <c r="F68" s="741"/>
      <c r="G68" s="747">
        <f>+C68+F68</f>
        <v>0</v>
      </c>
      <c r="H68" s="380"/>
    </row>
    <row r="69" spans="1:9" hidden="1" x14ac:dyDescent="0.2">
      <c r="A69" s="765">
        <v>55303</v>
      </c>
      <c r="B69" s="757" t="s">
        <v>87</v>
      </c>
      <c r="C69" s="734"/>
      <c r="D69" s="617"/>
      <c r="E69" s="617"/>
      <c r="F69" s="741"/>
      <c r="G69" s="749">
        <f>+C69+F69</f>
        <v>0</v>
      </c>
      <c r="H69" s="380"/>
    </row>
    <row r="70" spans="1:9" hidden="1" x14ac:dyDescent="0.2">
      <c r="A70" s="765">
        <v>55304</v>
      </c>
      <c r="B70" s="757" t="s">
        <v>88</v>
      </c>
      <c r="C70" s="734"/>
      <c r="D70" s="617"/>
      <c r="E70" s="617"/>
      <c r="F70" s="741"/>
      <c r="G70" s="749">
        <f>+C70+F70</f>
        <v>0</v>
      </c>
      <c r="H70" s="380"/>
    </row>
    <row r="71" spans="1:9" hidden="1" x14ac:dyDescent="0.2">
      <c r="A71" s="765">
        <v>55308</v>
      </c>
      <c r="B71" s="757" t="s">
        <v>89</v>
      </c>
      <c r="C71" s="734"/>
      <c r="D71" s="617"/>
      <c r="E71" s="617"/>
      <c r="F71" s="741"/>
      <c r="G71" s="749">
        <f>+C71+F71</f>
        <v>0</v>
      </c>
      <c r="H71" s="380"/>
    </row>
    <row r="72" spans="1:9" s="379" customFormat="1" x14ac:dyDescent="0.2">
      <c r="A72" s="764">
        <v>555</v>
      </c>
      <c r="B72" s="756" t="s">
        <v>539</v>
      </c>
      <c r="C72" s="733">
        <f>C73</f>
        <v>28.86</v>
      </c>
      <c r="D72" s="616">
        <f t="shared" ref="D72:F72" si="5">D73</f>
        <v>0</v>
      </c>
      <c r="E72" s="616">
        <f t="shared" si="5"/>
        <v>0</v>
      </c>
      <c r="F72" s="740">
        <f t="shared" si="5"/>
        <v>86.58</v>
      </c>
      <c r="G72" s="747">
        <f>G73</f>
        <v>115.44</v>
      </c>
      <c r="H72" s="614"/>
      <c r="I72" s="418"/>
    </row>
    <row r="73" spans="1:9" x14ac:dyDescent="0.2">
      <c r="A73" s="765">
        <v>5508</v>
      </c>
      <c r="B73" s="758" t="s">
        <v>343</v>
      </c>
      <c r="C73" s="734">
        <v>28.86</v>
      </c>
      <c r="D73" s="617">
        <v>0</v>
      </c>
      <c r="E73" s="617">
        <v>0</v>
      </c>
      <c r="F73" s="741">
        <v>86.58</v>
      </c>
      <c r="G73" s="749">
        <f t="shared" ref="G73" si="6">+C73+F73</f>
        <v>115.44</v>
      </c>
      <c r="H73" s="380"/>
    </row>
    <row r="74" spans="1:9" x14ac:dyDescent="0.2">
      <c r="A74" s="764">
        <v>556</v>
      </c>
      <c r="B74" s="756" t="s">
        <v>90</v>
      </c>
      <c r="C74" s="733">
        <f>SUM(C77)</f>
        <v>0</v>
      </c>
      <c r="D74" s="616">
        <f>SUM(D77)</f>
        <v>100</v>
      </c>
      <c r="E74" s="616">
        <v>0</v>
      </c>
      <c r="F74" s="740">
        <f>SUM(F77)</f>
        <v>0</v>
      </c>
      <c r="G74" s="747">
        <f>C74+D74+F74</f>
        <v>100</v>
      </c>
      <c r="H74" s="380"/>
    </row>
    <row r="75" spans="1:9" hidden="1" x14ac:dyDescent="0.2">
      <c r="A75" s="765">
        <v>55601</v>
      </c>
      <c r="B75" s="757" t="s">
        <v>91</v>
      </c>
      <c r="C75" s="734"/>
      <c r="D75" s="617"/>
      <c r="E75" s="617"/>
      <c r="F75" s="741"/>
      <c r="G75" s="749"/>
      <c r="H75" s="380"/>
    </row>
    <row r="76" spans="1:9" hidden="1" x14ac:dyDescent="0.2">
      <c r="A76" s="765">
        <v>55602</v>
      </c>
      <c r="B76" s="757" t="s">
        <v>92</v>
      </c>
      <c r="C76" s="734"/>
      <c r="D76" s="617"/>
      <c r="E76" s="617"/>
      <c r="F76" s="741"/>
      <c r="G76" s="748"/>
      <c r="H76" s="380"/>
    </row>
    <row r="77" spans="1:9" x14ac:dyDescent="0.2">
      <c r="A77" s="765">
        <v>55603</v>
      </c>
      <c r="B77" s="757" t="s">
        <v>93</v>
      </c>
      <c r="C77" s="734">
        <v>0</v>
      </c>
      <c r="D77" s="617">
        <v>100</v>
      </c>
      <c r="E77" s="617">
        <v>0</v>
      </c>
      <c r="F77" s="741">
        <v>0</v>
      </c>
      <c r="G77" s="749">
        <f>SUM(C77:F77)</f>
        <v>100</v>
      </c>
      <c r="H77" s="380"/>
    </row>
    <row r="78" spans="1:9" hidden="1" x14ac:dyDescent="0.2">
      <c r="A78" s="764">
        <v>557</v>
      </c>
      <c r="B78" s="756" t="s">
        <v>94</v>
      </c>
      <c r="C78" s="733"/>
      <c r="D78" s="616">
        <f>SUM(D79:D81)</f>
        <v>0</v>
      </c>
      <c r="E78" s="616"/>
      <c r="F78" s="740"/>
      <c r="G78" s="747">
        <f>+C78+D78+F78</f>
        <v>0</v>
      </c>
      <c r="H78" s="380"/>
    </row>
    <row r="79" spans="1:9" ht="13.5" hidden="1" thickBot="1" x14ac:dyDescent="0.25">
      <c r="A79" s="766">
        <v>55701</v>
      </c>
      <c r="B79" s="759" t="s">
        <v>95</v>
      </c>
      <c r="C79" s="735"/>
      <c r="D79" s="618"/>
      <c r="E79" s="618"/>
      <c r="F79" s="742"/>
      <c r="G79" s="750"/>
      <c r="H79" s="380"/>
    </row>
    <row r="80" spans="1:9" ht="12.75" hidden="1" customHeight="1" x14ac:dyDescent="0.2">
      <c r="A80" s="767">
        <v>55702</v>
      </c>
      <c r="B80" s="760" t="s">
        <v>96</v>
      </c>
      <c r="C80" s="736"/>
      <c r="D80" s="619"/>
      <c r="E80" s="619"/>
      <c r="F80" s="743"/>
      <c r="G80" s="751"/>
      <c r="H80" s="380"/>
    </row>
    <row r="81" spans="1:10" ht="12.75" hidden="1" customHeight="1" x14ac:dyDescent="0.2">
      <c r="A81" s="767">
        <v>55799</v>
      </c>
      <c r="B81" s="760" t="s">
        <v>97</v>
      </c>
      <c r="C81" s="736"/>
      <c r="D81" s="619"/>
      <c r="E81" s="619"/>
      <c r="F81" s="743"/>
      <c r="G81" s="752"/>
      <c r="H81" s="380"/>
    </row>
    <row r="82" spans="1:10" ht="12.75" hidden="1" customHeight="1" x14ac:dyDescent="0.2">
      <c r="A82" s="768"/>
      <c r="B82" s="761"/>
      <c r="C82" s="737"/>
      <c r="D82" s="620"/>
      <c r="E82" s="620"/>
      <c r="F82" s="744"/>
      <c r="G82" s="753"/>
      <c r="H82" s="380"/>
    </row>
    <row r="83" spans="1:10" ht="12.75" customHeight="1" x14ac:dyDescent="0.2">
      <c r="A83" s="765"/>
      <c r="B83" s="757"/>
      <c r="C83" s="734"/>
      <c r="D83" s="617"/>
      <c r="E83" s="617"/>
      <c r="F83" s="741"/>
      <c r="G83" s="749"/>
      <c r="H83" s="380"/>
    </row>
    <row r="84" spans="1:10" x14ac:dyDescent="0.2">
      <c r="A84" s="769">
        <v>56</v>
      </c>
      <c r="B84" s="762" t="s">
        <v>98</v>
      </c>
      <c r="C84" s="738">
        <f>C85+C88</f>
        <v>15925.9</v>
      </c>
      <c r="D84" s="621">
        <f>D85+D88</f>
        <v>0</v>
      </c>
      <c r="E84" s="621"/>
      <c r="F84" s="745">
        <f>F85+F88</f>
        <v>0</v>
      </c>
      <c r="G84" s="754">
        <f>+C84+F84</f>
        <v>15925.9</v>
      </c>
      <c r="H84" s="380"/>
    </row>
    <row r="85" spans="1:10" x14ac:dyDescent="0.2">
      <c r="A85" s="764">
        <v>562</v>
      </c>
      <c r="B85" s="756" t="s">
        <v>99</v>
      </c>
      <c r="C85" s="733">
        <f>C87</f>
        <v>14925.9</v>
      </c>
      <c r="D85" s="616">
        <f>SUM(D86:D87)</f>
        <v>0</v>
      </c>
      <c r="E85" s="616"/>
      <c r="F85" s="740"/>
      <c r="G85" s="747">
        <f t="shared" ref="G85:G90" si="7">+C85+F85</f>
        <v>14925.9</v>
      </c>
      <c r="H85" s="380"/>
    </row>
    <row r="86" spans="1:10" hidden="1" x14ac:dyDescent="0.2">
      <c r="A86" s="765">
        <v>56201</v>
      </c>
      <c r="B86" s="758" t="s">
        <v>541</v>
      </c>
      <c r="C86" s="734"/>
      <c r="D86" s="617"/>
      <c r="E86" s="617"/>
      <c r="F86" s="741"/>
      <c r="G86" s="749">
        <f t="shared" si="7"/>
        <v>0</v>
      </c>
      <c r="H86" s="380"/>
    </row>
    <row r="87" spans="1:10" x14ac:dyDescent="0.2">
      <c r="A87" s="765">
        <v>56201</v>
      </c>
      <c r="B87" s="758" t="s">
        <v>541</v>
      </c>
      <c r="C87" s="734">
        <f>1058.01*12+221.63*6+75*12</f>
        <v>14925.9</v>
      </c>
      <c r="D87" s="617">
        <v>0</v>
      </c>
      <c r="E87" s="617">
        <v>0</v>
      </c>
      <c r="F87" s="741">
        <v>0</v>
      </c>
      <c r="G87" s="749">
        <f t="shared" si="7"/>
        <v>14925.9</v>
      </c>
      <c r="H87" s="380"/>
    </row>
    <row r="88" spans="1:10" x14ac:dyDescent="0.2">
      <c r="A88" s="764">
        <v>563</v>
      </c>
      <c r="B88" s="756" t="s">
        <v>101</v>
      </c>
      <c r="C88" s="733">
        <f>SUM(C89:C90)</f>
        <v>1000</v>
      </c>
      <c r="D88" s="616">
        <f>SUM(D89:D90)</f>
        <v>0</v>
      </c>
      <c r="E88" s="616"/>
      <c r="F88" s="740"/>
      <c r="G88" s="747">
        <f t="shared" si="7"/>
        <v>1000</v>
      </c>
      <c r="H88" s="380"/>
    </row>
    <row r="89" spans="1:10" hidden="1" x14ac:dyDescent="0.2">
      <c r="A89" s="765">
        <v>56303</v>
      </c>
      <c r="B89" s="757" t="s">
        <v>100</v>
      </c>
      <c r="C89" s="734"/>
      <c r="D89" s="617"/>
      <c r="E89" s="617"/>
      <c r="F89" s="741"/>
      <c r="G89" s="749">
        <f t="shared" si="7"/>
        <v>0</v>
      </c>
      <c r="H89" s="380"/>
    </row>
    <row r="90" spans="1:10" ht="13.5" thickBot="1" x14ac:dyDescent="0.25">
      <c r="A90" s="765">
        <v>56304</v>
      </c>
      <c r="B90" s="757" t="s">
        <v>102</v>
      </c>
      <c r="C90" s="734">
        <v>1000</v>
      </c>
      <c r="D90" s="617">
        <v>0</v>
      </c>
      <c r="E90" s="617">
        <v>0</v>
      </c>
      <c r="F90" s="741">
        <v>0</v>
      </c>
      <c r="G90" s="749">
        <f t="shared" si="7"/>
        <v>1000</v>
      </c>
      <c r="H90" s="380"/>
      <c r="J90" s="4"/>
    </row>
    <row r="91" spans="1:10" hidden="1" x14ac:dyDescent="0.2">
      <c r="A91" s="10" t="s">
        <v>164</v>
      </c>
      <c r="B91" s="729" t="s">
        <v>165</v>
      </c>
      <c r="C91" s="733">
        <f t="shared" ref="C91:G92" si="8">C92</f>
        <v>0</v>
      </c>
      <c r="D91" s="616">
        <f t="shared" si="8"/>
        <v>0</v>
      </c>
      <c r="E91" s="616">
        <f t="shared" si="8"/>
        <v>0</v>
      </c>
      <c r="F91" s="616">
        <f t="shared" si="8"/>
        <v>0</v>
      </c>
      <c r="G91" s="472">
        <f t="shared" si="8"/>
        <v>0</v>
      </c>
      <c r="H91" s="243"/>
    </row>
    <row r="92" spans="1:10" hidden="1" x14ac:dyDescent="0.2">
      <c r="A92" s="10" t="s">
        <v>259</v>
      </c>
      <c r="B92" s="730" t="s">
        <v>202</v>
      </c>
      <c r="C92" s="733">
        <f t="shared" si="8"/>
        <v>0</v>
      </c>
      <c r="D92" s="616">
        <f t="shared" si="8"/>
        <v>0</v>
      </c>
      <c r="E92" s="616">
        <f t="shared" si="8"/>
        <v>0</v>
      </c>
      <c r="F92" s="616">
        <f t="shared" si="8"/>
        <v>0</v>
      </c>
      <c r="G92" s="472">
        <f t="shared" si="8"/>
        <v>0</v>
      </c>
      <c r="H92" s="243"/>
    </row>
    <row r="93" spans="1:10" s="2" customFormat="1" ht="13.5" hidden="1" thickBot="1" x14ac:dyDescent="0.25">
      <c r="A93" s="419" t="s">
        <v>260</v>
      </c>
      <c r="B93" s="731" t="s">
        <v>261</v>
      </c>
      <c r="C93" s="735"/>
      <c r="D93" s="618"/>
      <c r="E93" s="618"/>
      <c r="F93" s="618"/>
      <c r="G93" s="473">
        <f>+C93+F93</f>
        <v>0</v>
      </c>
      <c r="H93" s="243"/>
      <c r="I93" s="415"/>
    </row>
    <row r="94" spans="1:10" ht="13.5" thickBot="1" x14ac:dyDescent="0.25">
      <c r="A94" s="687"/>
      <c r="B94" s="688" t="s">
        <v>27</v>
      </c>
      <c r="C94" s="622">
        <f>C10+C67+C84</f>
        <v>35974.76</v>
      </c>
      <c r="D94" s="622">
        <f>D10+D67+D84</f>
        <v>1830</v>
      </c>
      <c r="E94" s="622">
        <f>E10+E67+E84</f>
        <v>860</v>
      </c>
      <c r="F94" s="622">
        <f>F10+F67+F84</f>
        <v>111218.43</v>
      </c>
      <c r="G94" s="474">
        <f>+G84+G67+G10+G91</f>
        <v>149883.18999999997</v>
      </c>
    </row>
    <row r="95" spans="1:10" x14ac:dyDescent="0.2">
      <c r="A95" s="1"/>
      <c r="B95" s="1"/>
    </row>
    <row r="96" spans="1:10" x14ac:dyDescent="0.2">
      <c r="A96" s="1"/>
      <c r="B96" s="1"/>
    </row>
    <row r="97" spans="1:9" x14ac:dyDescent="0.2">
      <c r="A97" s="1"/>
      <c r="B97" s="1"/>
    </row>
    <row r="98" spans="1:9" x14ac:dyDescent="0.2">
      <c r="A98" s="1"/>
      <c r="B98" s="1"/>
    </row>
    <row r="99" spans="1:9" x14ac:dyDescent="0.2">
      <c r="A99" s="1"/>
      <c r="B99" s="1"/>
    </row>
    <row r="100" spans="1:9" x14ac:dyDescent="0.2">
      <c r="A100" s="1"/>
      <c r="B100" s="1"/>
    </row>
    <row r="101" spans="1:9" x14ac:dyDescent="0.2">
      <c r="A101" s="1"/>
      <c r="B101" s="1"/>
    </row>
    <row r="102" spans="1:9" x14ac:dyDescent="0.2">
      <c r="A102" s="1"/>
      <c r="B102" s="1"/>
    </row>
    <row r="103" spans="1:9" x14ac:dyDescent="0.2">
      <c r="A103" s="1"/>
      <c r="B103" s="1"/>
    </row>
    <row r="104" spans="1:9" x14ac:dyDescent="0.2">
      <c r="A104" s="1"/>
      <c r="B104" s="1"/>
    </row>
    <row r="105" spans="1:9" x14ac:dyDescent="0.2">
      <c r="A105" s="1051" t="s">
        <v>692</v>
      </c>
      <c r="B105" s="1051"/>
      <c r="C105" s="1051"/>
      <c r="D105" s="1051"/>
      <c r="E105" s="1051"/>
      <c r="F105" s="1051"/>
      <c r="G105" s="1051"/>
    </row>
    <row r="106" spans="1:9" x14ac:dyDescent="0.2">
      <c r="A106" s="1065" t="s">
        <v>103</v>
      </c>
      <c r="B106" s="1065"/>
      <c r="C106" s="1065"/>
      <c r="D106" s="1065"/>
      <c r="E106" s="1065"/>
      <c r="F106" s="1065"/>
      <c r="G106" s="1065"/>
    </row>
    <row r="107" spans="1:9" x14ac:dyDescent="0.2">
      <c r="A107" s="1065" t="s">
        <v>104</v>
      </c>
      <c r="B107" s="1065"/>
      <c r="C107" s="1065"/>
      <c r="D107" s="1065"/>
      <c r="E107" s="1065"/>
      <c r="F107" s="1065"/>
      <c r="G107" s="1065"/>
    </row>
    <row r="108" spans="1:9" x14ac:dyDescent="0.2">
      <c r="A108" s="1065" t="s">
        <v>488</v>
      </c>
      <c r="B108" s="1065"/>
      <c r="C108" s="1065"/>
      <c r="D108" s="1065"/>
      <c r="E108" s="1065"/>
      <c r="F108" s="1065"/>
      <c r="G108" s="1065"/>
    </row>
    <row r="109" spans="1:9" x14ac:dyDescent="0.2">
      <c r="A109" s="1065" t="s">
        <v>618</v>
      </c>
      <c r="B109" s="1065"/>
      <c r="C109" s="1065"/>
      <c r="D109" s="1065"/>
      <c r="E109" s="1065"/>
      <c r="F109" s="1065"/>
      <c r="G109" s="1065"/>
    </row>
    <row r="110" spans="1:9" ht="13.5" thickBot="1" x14ac:dyDescent="0.25">
      <c r="A110" s="1"/>
      <c r="B110" s="1"/>
    </row>
    <row r="111" spans="1:9" s="2" customFormat="1" ht="13.5" thickBot="1" x14ac:dyDescent="0.25">
      <c r="A111" s="1068" t="s">
        <v>693</v>
      </c>
      <c r="B111" s="1068" t="s">
        <v>14</v>
      </c>
      <c r="C111" s="1071" t="s">
        <v>694</v>
      </c>
      <c r="D111" s="1072"/>
      <c r="E111" s="1072"/>
      <c r="F111" s="1072"/>
      <c r="G111" s="1073"/>
      <c r="H111" s="246"/>
      <c r="I111" s="415"/>
    </row>
    <row r="112" spans="1:9" s="2" customFormat="1" x14ac:dyDescent="0.2">
      <c r="A112" s="1069"/>
      <c r="B112" s="1069"/>
      <c r="C112" s="1066" t="s">
        <v>107</v>
      </c>
      <c r="D112" s="1066" t="s">
        <v>108</v>
      </c>
      <c r="E112" s="1066" t="s">
        <v>109</v>
      </c>
      <c r="F112" s="1066" t="s">
        <v>188</v>
      </c>
      <c r="G112" s="1066" t="s">
        <v>4</v>
      </c>
      <c r="H112" s="246"/>
      <c r="I112" s="415"/>
    </row>
    <row r="113" spans="1:9" s="2" customFormat="1" ht="38.25" customHeight="1" thickBot="1" x14ac:dyDescent="0.25">
      <c r="A113" s="1070"/>
      <c r="B113" s="1070"/>
      <c r="C113" s="1067"/>
      <c r="D113" s="1067"/>
      <c r="E113" s="1067"/>
      <c r="F113" s="1067"/>
      <c r="G113" s="1067"/>
      <c r="H113" s="246"/>
      <c r="I113" s="415"/>
    </row>
    <row r="114" spans="1:9" x14ac:dyDescent="0.2">
      <c r="A114" s="763">
        <v>54</v>
      </c>
      <c r="B114" s="755" t="s">
        <v>29</v>
      </c>
      <c r="C114" s="732">
        <f>C115+C135+C141+C158+C163</f>
        <v>23700</v>
      </c>
      <c r="D114" s="615">
        <f>D115+D135+D141+D158</f>
        <v>3050</v>
      </c>
      <c r="E114" s="615">
        <f>E115+E135+E141+E158</f>
        <v>1300</v>
      </c>
      <c r="F114" s="778">
        <f>F115+F135+F141+F158</f>
        <v>33631.82</v>
      </c>
      <c r="G114" s="770">
        <f>G115+G135+G141+G158+G163</f>
        <v>61681.82</v>
      </c>
      <c r="H114" s="243"/>
    </row>
    <row r="115" spans="1:9" x14ac:dyDescent="0.2">
      <c r="A115" s="764">
        <v>541</v>
      </c>
      <c r="B115" s="756" t="s">
        <v>30</v>
      </c>
      <c r="C115" s="733">
        <f>SUM(C116:C134)</f>
        <v>6100</v>
      </c>
      <c r="D115" s="616">
        <f>SUM(D116:D134)</f>
        <v>2450</v>
      </c>
      <c r="E115" s="616">
        <f>SUM(E116:E134)</f>
        <v>1200</v>
      </c>
      <c r="F115" s="779">
        <f>SUM(F116:F134)</f>
        <v>8090</v>
      </c>
      <c r="G115" s="771">
        <f>+G116+G118+G119+G121+G123+G124+G127+G128+G131+G132+G134</f>
        <v>17840</v>
      </c>
      <c r="H115" s="243"/>
    </row>
    <row r="116" spans="1:9" x14ac:dyDescent="0.2">
      <c r="A116" s="765">
        <v>54101</v>
      </c>
      <c r="B116" s="757" t="s">
        <v>31</v>
      </c>
      <c r="C116" s="734">
        <v>500</v>
      </c>
      <c r="D116" s="617">
        <v>0</v>
      </c>
      <c r="E116" s="617">
        <v>0</v>
      </c>
      <c r="F116" s="780">
        <v>0</v>
      </c>
      <c r="G116" s="772">
        <f t="shared" ref="G116:G132" si="9">SUM(C116:F116)</f>
        <v>500</v>
      </c>
      <c r="H116" s="243"/>
    </row>
    <row r="117" spans="1:9" hidden="1" x14ac:dyDescent="0.2">
      <c r="A117" s="765">
        <v>54103</v>
      </c>
      <c r="B117" s="757" t="s">
        <v>32</v>
      </c>
      <c r="C117" s="734"/>
      <c r="D117" s="617">
        <v>0</v>
      </c>
      <c r="E117" s="617">
        <v>0</v>
      </c>
      <c r="F117" s="780">
        <v>0</v>
      </c>
      <c r="G117" s="772">
        <f t="shared" si="9"/>
        <v>0</v>
      </c>
      <c r="H117" s="243"/>
    </row>
    <row r="118" spans="1:9" x14ac:dyDescent="0.2">
      <c r="A118" s="765">
        <v>54104</v>
      </c>
      <c r="B118" s="757" t="s">
        <v>33</v>
      </c>
      <c r="C118" s="734">
        <v>350</v>
      </c>
      <c r="D118" s="617">
        <v>900</v>
      </c>
      <c r="E118" s="617">
        <v>400</v>
      </c>
      <c r="F118" s="780">
        <v>0</v>
      </c>
      <c r="G118" s="772">
        <f t="shared" si="9"/>
        <v>1650</v>
      </c>
      <c r="H118" s="243"/>
    </row>
    <row r="119" spans="1:9" x14ac:dyDescent="0.2">
      <c r="A119" s="765">
        <v>54105</v>
      </c>
      <c r="B119" s="757" t="s">
        <v>34</v>
      </c>
      <c r="C119" s="734">
        <v>300</v>
      </c>
      <c r="D119" s="617">
        <v>400</v>
      </c>
      <c r="E119" s="617">
        <v>200</v>
      </c>
      <c r="F119" s="780">
        <v>100</v>
      </c>
      <c r="G119" s="772">
        <f t="shared" si="9"/>
        <v>1000</v>
      </c>
      <c r="H119" s="243"/>
    </row>
    <row r="120" spans="1:9" hidden="1" x14ac:dyDescent="0.2">
      <c r="A120" s="765">
        <v>54106</v>
      </c>
      <c r="B120" s="757" t="s">
        <v>35</v>
      </c>
      <c r="C120" s="734"/>
      <c r="D120" s="617"/>
      <c r="E120" s="617"/>
      <c r="F120" s="780"/>
      <c r="G120" s="772">
        <f t="shared" si="9"/>
        <v>0</v>
      </c>
      <c r="H120" s="243"/>
    </row>
    <row r="121" spans="1:9" x14ac:dyDescent="0.2">
      <c r="A121" s="765">
        <v>54107</v>
      </c>
      <c r="B121" s="757" t="s">
        <v>36</v>
      </c>
      <c r="C121" s="734">
        <v>0</v>
      </c>
      <c r="D121" s="617">
        <v>0</v>
      </c>
      <c r="E121" s="617">
        <v>0</v>
      </c>
      <c r="F121" s="780">
        <f>630*3</f>
        <v>1890</v>
      </c>
      <c r="G121" s="772">
        <f t="shared" si="9"/>
        <v>1890</v>
      </c>
      <c r="H121" s="243"/>
    </row>
    <row r="122" spans="1:9" x14ac:dyDescent="0.2">
      <c r="A122" s="765">
        <v>54108</v>
      </c>
      <c r="B122" s="757" t="s">
        <v>37</v>
      </c>
      <c r="C122" s="734">
        <v>0</v>
      </c>
      <c r="D122" s="617">
        <v>0</v>
      </c>
      <c r="E122" s="617">
        <v>0</v>
      </c>
      <c r="F122" s="780">
        <v>0</v>
      </c>
      <c r="G122" s="772">
        <f t="shared" si="9"/>
        <v>0</v>
      </c>
      <c r="H122" s="243"/>
    </row>
    <row r="123" spans="1:9" x14ac:dyDescent="0.2">
      <c r="A123" s="765">
        <v>54109</v>
      </c>
      <c r="B123" s="757" t="s">
        <v>38</v>
      </c>
      <c r="C123" s="734">
        <v>800</v>
      </c>
      <c r="D123" s="617">
        <v>0</v>
      </c>
      <c r="E123" s="617">
        <v>0</v>
      </c>
      <c r="F123" s="780">
        <v>400</v>
      </c>
      <c r="G123" s="772">
        <f t="shared" si="9"/>
        <v>1200</v>
      </c>
      <c r="H123" s="243"/>
    </row>
    <row r="124" spans="1:9" x14ac:dyDescent="0.2">
      <c r="A124" s="765">
        <v>54110</v>
      </c>
      <c r="B124" s="757" t="s">
        <v>39</v>
      </c>
      <c r="C124" s="734">
        <v>2000</v>
      </c>
      <c r="D124" s="617"/>
      <c r="E124" s="617"/>
      <c r="F124" s="780">
        <v>2500</v>
      </c>
      <c r="G124" s="772">
        <f t="shared" si="9"/>
        <v>4500</v>
      </c>
      <c r="H124" s="243"/>
    </row>
    <row r="125" spans="1:9" x14ac:dyDescent="0.2">
      <c r="A125" s="765">
        <v>54111</v>
      </c>
      <c r="B125" s="757" t="s">
        <v>40</v>
      </c>
      <c r="C125" s="734">
        <v>0</v>
      </c>
      <c r="D125" s="617">
        <v>0</v>
      </c>
      <c r="E125" s="617">
        <v>0</v>
      </c>
      <c r="F125" s="780">
        <v>0</v>
      </c>
      <c r="G125" s="772">
        <f t="shared" si="9"/>
        <v>0</v>
      </c>
      <c r="H125" s="243"/>
    </row>
    <row r="126" spans="1:9" x14ac:dyDescent="0.2">
      <c r="A126" s="765">
        <v>54112</v>
      </c>
      <c r="B126" s="757" t="s">
        <v>41</v>
      </c>
      <c r="C126" s="734">
        <v>0</v>
      </c>
      <c r="D126" s="617">
        <v>0</v>
      </c>
      <c r="E126" s="617">
        <v>0</v>
      </c>
      <c r="F126" s="780">
        <v>0</v>
      </c>
      <c r="G126" s="772">
        <f t="shared" si="9"/>
        <v>0</v>
      </c>
      <c r="H126" s="243"/>
    </row>
    <row r="127" spans="1:9" x14ac:dyDescent="0.2">
      <c r="A127" s="765">
        <v>54114</v>
      </c>
      <c r="B127" s="757" t="s">
        <v>42</v>
      </c>
      <c r="C127" s="734">
        <v>300</v>
      </c>
      <c r="D127" s="617">
        <v>500</v>
      </c>
      <c r="E127" s="617">
        <v>200</v>
      </c>
      <c r="F127" s="780">
        <v>100</v>
      </c>
      <c r="G127" s="772">
        <f t="shared" si="9"/>
        <v>1100</v>
      </c>
      <c r="H127" s="243"/>
    </row>
    <row r="128" spans="1:9" x14ac:dyDescent="0.2">
      <c r="A128" s="765">
        <v>54115</v>
      </c>
      <c r="B128" s="757" t="s">
        <v>43</v>
      </c>
      <c r="C128" s="734">
        <v>200</v>
      </c>
      <c r="D128" s="617">
        <v>600</v>
      </c>
      <c r="E128" s="617">
        <v>200</v>
      </c>
      <c r="F128" s="780">
        <v>100</v>
      </c>
      <c r="G128" s="772">
        <f t="shared" si="9"/>
        <v>1100</v>
      </c>
      <c r="H128" s="243"/>
    </row>
    <row r="129" spans="1:9" hidden="1" x14ac:dyDescent="0.2">
      <c r="A129" s="765">
        <v>54116</v>
      </c>
      <c r="B129" s="757" t="s">
        <v>44</v>
      </c>
      <c r="C129" s="734">
        <v>0</v>
      </c>
      <c r="D129" s="617">
        <v>0</v>
      </c>
      <c r="E129" s="617">
        <v>0</v>
      </c>
      <c r="F129" s="780">
        <v>0</v>
      </c>
      <c r="G129" s="772">
        <f t="shared" si="9"/>
        <v>0</v>
      </c>
      <c r="H129" s="243"/>
    </row>
    <row r="130" spans="1:9" hidden="1" x14ac:dyDescent="0.2">
      <c r="A130" s="765">
        <v>54117</v>
      </c>
      <c r="B130" s="757" t="s">
        <v>45</v>
      </c>
      <c r="C130" s="734">
        <v>0</v>
      </c>
      <c r="D130" s="617">
        <v>0</v>
      </c>
      <c r="E130" s="617">
        <v>0</v>
      </c>
      <c r="F130" s="780">
        <v>0</v>
      </c>
      <c r="G130" s="772">
        <f t="shared" si="9"/>
        <v>0</v>
      </c>
      <c r="H130" s="243"/>
    </row>
    <row r="131" spans="1:9" x14ac:dyDescent="0.2">
      <c r="A131" s="765">
        <v>54118</v>
      </c>
      <c r="B131" s="757" t="s">
        <v>46</v>
      </c>
      <c r="C131" s="734">
        <v>50</v>
      </c>
      <c r="D131" s="617">
        <v>0</v>
      </c>
      <c r="E131" s="617">
        <v>0</v>
      </c>
      <c r="F131" s="780">
        <v>2500</v>
      </c>
      <c r="G131" s="772">
        <f t="shared" si="9"/>
        <v>2550</v>
      </c>
      <c r="H131" s="243"/>
    </row>
    <row r="132" spans="1:9" x14ac:dyDescent="0.2">
      <c r="A132" s="765">
        <v>54119</v>
      </c>
      <c r="B132" s="757" t="s">
        <v>47</v>
      </c>
      <c r="C132" s="734">
        <v>100</v>
      </c>
      <c r="D132" s="617">
        <v>0</v>
      </c>
      <c r="E132" s="617">
        <v>0</v>
      </c>
      <c r="F132" s="780">
        <v>0</v>
      </c>
      <c r="G132" s="772">
        <f t="shared" si="9"/>
        <v>100</v>
      </c>
      <c r="H132" s="243"/>
    </row>
    <row r="133" spans="1:9" x14ac:dyDescent="0.2">
      <c r="A133" s="765">
        <v>54121</v>
      </c>
      <c r="B133" s="757" t="s">
        <v>48</v>
      </c>
      <c r="C133" s="734">
        <v>0</v>
      </c>
      <c r="D133" s="617">
        <v>0</v>
      </c>
      <c r="E133" s="617">
        <v>0</v>
      </c>
      <c r="F133" s="780">
        <v>0</v>
      </c>
      <c r="G133" s="772">
        <f>+C133+D133+F133</f>
        <v>0</v>
      </c>
      <c r="H133" s="243"/>
    </row>
    <row r="134" spans="1:9" x14ac:dyDescent="0.2">
      <c r="A134" s="765">
        <v>54199</v>
      </c>
      <c r="B134" s="757" t="s">
        <v>49</v>
      </c>
      <c r="C134" s="734">
        <v>1500</v>
      </c>
      <c r="D134" s="617">
        <v>50</v>
      </c>
      <c r="E134" s="617">
        <v>200</v>
      </c>
      <c r="F134" s="780">
        <v>500</v>
      </c>
      <c r="G134" s="772">
        <f>SUM(C134:F134)</f>
        <v>2250</v>
      </c>
      <c r="H134" s="243"/>
    </row>
    <row r="135" spans="1:9" x14ac:dyDescent="0.2">
      <c r="A135" s="764">
        <v>542</v>
      </c>
      <c r="B135" s="756" t="s">
        <v>50</v>
      </c>
      <c r="C135" s="733">
        <f>SUM(C136:C140)</f>
        <v>7350</v>
      </c>
      <c r="D135" s="616">
        <f>SUM(D136:D140)</f>
        <v>0</v>
      </c>
      <c r="E135" s="616">
        <f>SUM(E136:E140)</f>
        <v>0</v>
      </c>
      <c r="F135" s="779">
        <f>SUM(F136:F140)</f>
        <v>22161.82</v>
      </c>
      <c r="G135" s="771">
        <f>SUM(G136:G140)</f>
        <v>29511.82</v>
      </c>
      <c r="H135" s="243"/>
    </row>
    <row r="136" spans="1:9" x14ac:dyDescent="0.2">
      <c r="A136" s="765">
        <v>54201</v>
      </c>
      <c r="B136" s="757" t="s">
        <v>51</v>
      </c>
      <c r="C136" s="734">
        <f>250*6</f>
        <v>1500</v>
      </c>
      <c r="D136" s="617">
        <v>0</v>
      </c>
      <c r="E136" s="617">
        <v>0</v>
      </c>
      <c r="F136" s="781">
        <v>11241.820000000002</v>
      </c>
      <c r="G136" s="772">
        <f>SUM(C136:F136)</f>
        <v>12741.820000000002</v>
      </c>
      <c r="H136" s="243"/>
    </row>
    <row r="137" spans="1:9" x14ac:dyDescent="0.2">
      <c r="A137" s="765">
        <v>54202</v>
      </c>
      <c r="B137" s="757" t="s">
        <v>52</v>
      </c>
      <c r="C137" s="734">
        <f>75*6</f>
        <v>450</v>
      </c>
      <c r="D137" s="617">
        <v>0</v>
      </c>
      <c r="E137" s="617">
        <v>0</v>
      </c>
      <c r="F137" s="780">
        <f>10*6</f>
        <v>60</v>
      </c>
      <c r="G137" s="772">
        <f>SUM(C137:F137)</f>
        <v>510</v>
      </c>
      <c r="H137" s="243"/>
    </row>
    <row r="138" spans="1:9" x14ac:dyDescent="0.2">
      <c r="A138" s="765">
        <v>54203</v>
      </c>
      <c r="B138" s="757" t="s">
        <v>53</v>
      </c>
      <c r="C138" s="734">
        <f>900*6</f>
        <v>5400</v>
      </c>
      <c r="D138" s="617">
        <v>0</v>
      </c>
      <c r="E138" s="617">
        <v>0</v>
      </c>
      <c r="F138" s="780">
        <f>110*6</f>
        <v>660</v>
      </c>
      <c r="G138" s="772">
        <f>SUM(C138:F138)</f>
        <v>6060</v>
      </c>
      <c r="H138" s="243"/>
    </row>
    <row r="139" spans="1:9" hidden="1" x14ac:dyDescent="0.2">
      <c r="A139" s="765">
        <v>54204</v>
      </c>
      <c r="B139" s="757" t="s">
        <v>54</v>
      </c>
      <c r="C139" s="734">
        <v>0</v>
      </c>
      <c r="D139" s="617">
        <v>0</v>
      </c>
      <c r="E139" s="617">
        <v>0</v>
      </c>
      <c r="F139" s="780">
        <v>0</v>
      </c>
      <c r="G139" s="772">
        <f>SUM(C139:F139)</f>
        <v>0</v>
      </c>
      <c r="H139" s="243"/>
    </row>
    <row r="140" spans="1:9" x14ac:dyDescent="0.2">
      <c r="A140" s="765">
        <v>54205</v>
      </c>
      <c r="B140" s="757" t="s">
        <v>55</v>
      </c>
      <c r="C140" s="734">
        <v>0</v>
      </c>
      <c r="D140" s="617">
        <v>0</v>
      </c>
      <c r="E140" s="617">
        <v>0</v>
      </c>
      <c r="F140" s="780">
        <f>1700*6</f>
        <v>10200</v>
      </c>
      <c r="G140" s="772">
        <f>SUM(C140:F140)</f>
        <v>10200</v>
      </c>
      <c r="H140" s="243"/>
    </row>
    <row r="141" spans="1:9" x14ac:dyDescent="0.2">
      <c r="A141" s="764">
        <v>543</v>
      </c>
      <c r="B141" s="756" t="s">
        <v>56</v>
      </c>
      <c r="C141" s="733">
        <f>SUM(C142:C157)</f>
        <v>9500</v>
      </c>
      <c r="D141" s="616">
        <f>SUM(D142:D157)</f>
        <v>600</v>
      </c>
      <c r="E141" s="616">
        <f>SUM(E142:E157)</f>
        <v>100</v>
      </c>
      <c r="F141" s="779">
        <f>SUM(F142:F157)</f>
        <v>3350</v>
      </c>
      <c r="G141" s="771">
        <f>SUM(G142:G157)</f>
        <v>13550</v>
      </c>
      <c r="H141" s="243"/>
    </row>
    <row r="142" spans="1:9" s="2" customFormat="1" x14ac:dyDescent="0.2">
      <c r="A142" s="789">
        <v>54301</v>
      </c>
      <c r="B142" s="784" t="s">
        <v>57</v>
      </c>
      <c r="C142" s="734">
        <v>200</v>
      </c>
      <c r="D142" s="617">
        <v>600</v>
      </c>
      <c r="E142" s="617">
        <v>100</v>
      </c>
      <c r="F142" s="780">
        <v>100</v>
      </c>
      <c r="G142" s="773">
        <f>SUM(C142:F142)</f>
        <v>1000</v>
      </c>
      <c r="H142" s="243"/>
      <c r="I142" s="415"/>
    </row>
    <row r="143" spans="1:9" s="2" customFormat="1" x14ac:dyDescent="0.2">
      <c r="A143" s="789">
        <v>54302</v>
      </c>
      <c r="B143" s="784" t="s">
        <v>58</v>
      </c>
      <c r="C143" s="734">
        <v>1500</v>
      </c>
      <c r="D143" s="617">
        <v>0</v>
      </c>
      <c r="E143" s="617">
        <v>0</v>
      </c>
      <c r="F143" s="780">
        <v>2000</v>
      </c>
      <c r="G143" s="773">
        <f t="shared" ref="G143:G157" si="10">SUM(C143:F143)</f>
        <v>3500</v>
      </c>
      <c r="H143" s="243"/>
      <c r="I143" s="415"/>
    </row>
    <row r="144" spans="1:9" s="2" customFormat="1" x14ac:dyDescent="0.2">
      <c r="A144" s="789">
        <v>54303</v>
      </c>
      <c r="B144" s="784" t="s">
        <v>59</v>
      </c>
      <c r="C144" s="734">
        <v>0</v>
      </c>
      <c r="D144" s="617">
        <v>0</v>
      </c>
      <c r="E144" s="617">
        <v>0</v>
      </c>
      <c r="F144" s="780">
        <v>0</v>
      </c>
      <c r="G144" s="773">
        <f t="shared" si="10"/>
        <v>0</v>
      </c>
      <c r="H144" s="243"/>
      <c r="I144" s="415"/>
    </row>
    <row r="145" spans="1:9" s="2" customFormat="1" x14ac:dyDescent="0.2">
      <c r="A145" s="789">
        <v>54304</v>
      </c>
      <c r="B145" s="784" t="s">
        <v>60</v>
      </c>
      <c r="C145" s="734">
        <v>2000</v>
      </c>
      <c r="D145" s="617">
        <v>0</v>
      </c>
      <c r="E145" s="617">
        <v>0</v>
      </c>
      <c r="F145" s="780">
        <v>0</v>
      </c>
      <c r="G145" s="773">
        <f t="shared" si="10"/>
        <v>2000</v>
      </c>
      <c r="H145" s="243"/>
      <c r="I145" s="415"/>
    </row>
    <row r="146" spans="1:9" s="2" customFormat="1" x14ac:dyDescent="0.2">
      <c r="A146" s="789">
        <v>54305</v>
      </c>
      <c r="B146" s="784" t="s">
        <v>61</v>
      </c>
      <c r="C146" s="734">
        <v>200</v>
      </c>
      <c r="D146" s="617">
        <v>0</v>
      </c>
      <c r="E146" s="617">
        <v>0</v>
      </c>
      <c r="F146" s="780">
        <v>0</v>
      </c>
      <c r="G146" s="773">
        <f t="shared" si="10"/>
        <v>200</v>
      </c>
      <c r="H146" s="243"/>
      <c r="I146" s="415"/>
    </row>
    <row r="147" spans="1:9" s="2" customFormat="1" x14ac:dyDescent="0.2">
      <c r="A147" s="789">
        <v>54306</v>
      </c>
      <c r="B147" s="784" t="s">
        <v>62</v>
      </c>
      <c r="C147" s="734">
        <v>0</v>
      </c>
      <c r="D147" s="617">
        <v>0</v>
      </c>
      <c r="E147" s="617">
        <v>0</v>
      </c>
      <c r="F147" s="780">
        <v>0</v>
      </c>
      <c r="G147" s="773">
        <f t="shared" si="10"/>
        <v>0</v>
      </c>
      <c r="H147" s="243"/>
      <c r="I147" s="415"/>
    </row>
    <row r="148" spans="1:9" s="2" customFormat="1" x14ac:dyDescent="0.2">
      <c r="A148" s="789">
        <v>54307</v>
      </c>
      <c r="B148" s="784" t="s">
        <v>63</v>
      </c>
      <c r="C148" s="734">
        <v>0</v>
      </c>
      <c r="D148" s="617">
        <v>0</v>
      </c>
      <c r="E148" s="617">
        <v>0</v>
      </c>
      <c r="F148" s="780">
        <v>0</v>
      </c>
      <c r="G148" s="773">
        <f t="shared" si="10"/>
        <v>0</v>
      </c>
      <c r="H148" s="243"/>
      <c r="I148" s="415"/>
    </row>
    <row r="149" spans="1:9" s="2" customFormat="1" hidden="1" x14ac:dyDescent="0.2">
      <c r="A149" s="789">
        <v>54309</v>
      </c>
      <c r="B149" s="784" t="s">
        <v>64</v>
      </c>
      <c r="C149" s="734">
        <v>0</v>
      </c>
      <c r="D149" s="617">
        <v>0</v>
      </c>
      <c r="E149" s="617">
        <v>0</v>
      </c>
      <c r="F149" s="780">
        <v>0</v>
      </c>
      <c r="G149" s="773">
        <f t="shared" si="10"/>
        <v>0</v>
      </c>
      <c r="H149" s="243"/>
      <c r="I149" s="415"/>
    </row>
    <row r="150" spans="1:9" s="2" customFormat="1" hidden="1" x14ac:dyDescent="0.2">
      <c r="A150" s="789">
        <v>54310</v>
      </c>
      <c r="B150" s="784" t="s">
        <v>65</v>
      </c>
      <c r="C150" s="734">
        <v>0</v>
      </c>
      <c r="D150" s="617">
        <v>0</v>
      </c>
      <c r="E150" s="617">
        <v>0</v>
      </c>
      <c r="F150" s="780">
        <v>0</v>
      </c>
      <c r="G150" s="773">
        <f t="shared" si="10"/>
        <v>0</v>
      </c>
      <c r="H150" s="243"/>
      <c r="I150" s="415"/>
    </row>
    <row r="151" spans="1:9" s="2" customFormat="1" hidden="1" x14ac:dyDescent="0.2">
      <c r="A151" s="789">
        <v>54311</v>
      </c>
      <c r="B151" s="784" t="s">
        <v>66</v>
      </c>
      <c r="C151" s="734">
        <v>0</v>
      </c>
      <c r="D151" s="617">
        <v>0</v>
      </c>
      <c r="E151" s="617">
        <v>0</v>
      </c>
      <c r="F151" s="780">
        <v>0</v>
      </c>
      <c r="G151" s="773">
        <f t="shared" si="10"/>
        <v>0</v>
      </c>
      <c r="H151" s="243"/>
      <c r="I151" s="415"/>
    </row>
    <row r="152" spans="1:9" s="2" customFormat="1" hidden="1" x14ac:dyDescent="0.2">
      <c r="A152" s="789">
        <v>54313</v>
      </c>
      <c r="B152" s="784" t="s">
        <v>67</v>
      </c>
      <c r="C152" s="734">
        <v>0</v>
      </c>
      <c r="D152" s="617">
        <v>0</v>
      </c>
      <c r="E152" s="617">
        <v>0</v>
      </c>
      <c r="F152" s="780">
        <v>0</v>
      </c>
      <c r="G152" s="773">
        <f t="shared" si="10"/>
        <v>0</v>
      </c>
      <c r="H152" s="243"/>
      <c r="I152" s="415"/>
    </row>
    <row r="153" spans="1:9" s="2" customFormat="1" hidden="1" x14ac:dyDescent="0.2">
      <c r="A153" s="789">
        <v>54307</v>
      </c>
      <c r="B153" s="784" t="s">
        <v>63</v>
      </c>
      <c r="C153" s="734">
        <v>0</v>
      </c>
      <c r="D153" s="617">
        <v>0</v>
      </c>
      <c r="E153" s="617">
        <v>0</v>
      </c>
      <c r="F153" s="780">
        <v>0</v>
      </c>
      <c r="G153" s="773">
        <f t="shared" si="10"/>
        <v>0</v>
      </c>
      <c r="H153" s="243"/>
      <c r="I153" s="415"/>
    </row>
    <row r="154" spans="1:9" s="2" customFormat="1" x14ac:dyDescent="0.2">
      <c r="A154" s="789">
        <v>54314</v>
      </c>
      <c r="B154" s="784" t="s">
        <v>68</v>
      </c>
      <c r="C154" s="734">
        <v>5000</v>
      </c>
      <c r="D154" s="617">
        <v>0</v>
      </c>
      <c r="E154" s="617">
        <v>0</v>
      </c>
      <c r="F154" s="780">
        <v>0</v>
      </c>
      <c r="G154" s="773">
        <f t="shared" si="10"/>
        <v>5000</v>
      </c>
      <c r="H154" s="243"/>
      <c r="I154" s="415"/>
    </row>
    <row r="155" spans="1:9" s="2" customFormat="1" x14ac:dyDescent="0.2">
      <c r="A155" s="789">
        <v>54316</v>
      </c>
      <c r="B155" s="784" t="s">
        <v>69</v>
      </c>
      <c r="C155" s="734">
        <v>0</v>
      </c>
      <c r="D155" s="617">
        <v>0</v>
      </c>
      <c r="E155" s="617">
        <v>0</v>
      </c>
      <c r="F155" s="780">
        <v>0</v>
      </c>
      <c r="G155" s="773">
        <f t="shared" si="10"/>
        <v>0</v>
      </c>
      <c r="H155" s="243"/>
      <c r="I155" s="415"/>
    </row>
    <row r="156" spans="1:9" s="2" customFormat="1" x14ac:dyDescent="0.2">
      <c r="A156" s="789">
        <v>54317</v>
      </c>
      <c r="B156" s="784" t="s">
        <v>70</v>
      </c>
      <c r="C156" s="734">
        <v>0</v>
      </c>
      <c r="D156" s="617">
        <v>0</v>
      </c>
      <c r="E156" s="617">
        <v>0</v>
      </c>
      <c r="F156" s="780">
        <f>125*6</f>
        <v>750</v>
      </c>
      <c r="G156" s="773">
        <f t="shared" si="10"/>
        <v>750</v>
      </c>
      <c r="H156" s="243"/>
      <c r="I156" s="415"/>
    </row>
    <row r="157" spans="1:9" s="2" customFormat="1" x14ac:dyDescent="0.2">
      <c r="A157" s="789">
        <v>54399</v>
      </c>
      <c r="B157" s="784" t="s">
        <v>71</v>
      </c>
      <c r="C157" s="734">
        <v>600</v>
      </c>
      <c r="D157" s="617">
        <v>0</v>
      </c>
      <c r="E157" s="617">
        <v>0</v>
      </c>
      <c r="F157" s="780">
        <v>500</v>
      </c>
      <c r="G157" s="773">
        <f t="shared" si="10"/>
        <v>1100</v>
      </c>
      <c r="H157" s="243"/>
      <c r="I157" s="415"/>
    </row>
    <row r="158" spans="1:9" x14ac:dyDescent="0.2">
      <c r="A158" s="764">
        <v>544</v>
      </c>
      <c r="B158" s="756" t="s">
        <v>72</v>
      </c>
      <c r="C158" s="733">
        <f>SUM(C159:C161)</f>
        <v>150</v>
      </c>
      <c r="D158" s="616">
        <f>SUM(D159:D161)</f>
        <v>0</v>
      </c>
      <c r="E158" s="616">
        <f>SUM(E159:E161)</f>
        <v>0</v>
      </c>
      <c r="F158" s="779">
        <f>SUM(F159:F161)</f>
        <v>30</v>
      </c>
      <c r="G158" s="771">
        <f>SUM(C158:F158)</f>
        <v>180</v>
      </c>
      <c r="H158" s="243"/>
    </row>
    <row r="159" spans="1:9" x14ac:dyDescent="0.2">
      <c r="A159" s="765">
        <v>54401</v>
      </c>
      <c r="B159" s="757" t="s">
        <v>73</v>
      </c>
      <c r="C159" s="734">
        <v>100</v>
      </c>
      <c r="D159" s="617">
        <v>0</v>
      </c>
      <c r="E159" s="617">
        <v>0</v>
      </c>
      <c r="F159" s="780">
        <v>30</v>
      </c>
      <c r="G159" s="772">
        <f>SUM(C159:F159)</f>
        <v>130</v>
      </c>
      <c r="H159" s="243"/>
    </row>
    <row r="160" spans="1:9" x14ac:dyDescent="0.2">
      <c r="A160" s="765">
        <v>54402</v>
      </c>
      <c r="B160" s="757" t="s">
        <v>74</v>
      </c>
      <c r="C160" s="734">
        <v>0</v>
      </c>
      <c r="D160" s="617">
        <v>0</v>
      </c>
      <c r="E160" s="617">
        <v>0</v>
      </c>
      <c r="F160" s="780">
        <v>0</v>
      </c>
      <c r="G160" s="772">
        <f t="shared" ref="G160:G181" si="11">+C160+F160</f>
        <v>0</v>
      </c>
      <c r="H160" s="243"/>
    </row>
    <row r="161" spans="1:8" x14ac:dyDescent="0.2">
      <c r="A161" s="765">
        <v>54403</v>
      </c>
      <c r="B161" s="757" t="s">
        <v>75</v>
      </c>
      <c r="C161" s="734">
        <v>50</v>
      </c>
      <c r="D161" s="617">
        <v>0</v>
      </c>
      <c r="E161" s="617">
        <v>0</v>
      </c>
      <c r="F161" s="780">
        <v>0</v>
      </c>
      <c r="G161" s="772">
        <f>SUM(C161:F161)</f>
        <v>50</v>
      </c>
      <c r="H161" s="243"/>
    </row>
    <row r="162" spans="1:8" x14ac:dyDescent="0.2">
      <c r="A162" s="765">
        <v>54404</v>
      </c>
      <c r="B162" s="757" t="s">
        <v>76</v>
      </c>
      <c r="C162" s="734">
        <v>0</v>
      </c>
      <c r="D162" s="617">
        <v>0</v>
      </c>
      <c r="E162" s="617">
        <v>0</v>
      </c>
      <c r="F162" s="780">
        <v>0</v>
      </c>
      <c r="G162" s="772">
        <f t="shared" si="11"/>
        <v>0</v>
      </c>
      <c r="H162" s="243"/>
    </row>
    <row r="163" spans="1:8" x14ac:dyDescent="0.2">
      <c r="A163" s="764">
        <v>545</v>
      </c>
      <c r="B163" s="756" t="s">
        <v>77</v>
      </c>
      <c r="C163" s="733">
        <f>SUM(C164:C170)</f>
        <v>600</v>
      </c>
      <c r="D163" s="616">
        <f>SUM(D164:D170)</f>
        <v>0</v>
      </c>
      <c r="E163" s="616"/>
      <c r="F163" s="779">
        <f>SUM(F164:F170)</f>
        <v>0</v>
      </c>
      <c r="G163" s="771">
        <f t="shared" si="11"/>
        <v>600</v>
      </c>
      <c r="H163" s="243"/>
    </row>
    <row r="164" spans="1:8" hidden="1" x14ac:dyDescent="0.2">
      <c r="A164" s="765">
        <v>54501</v>
      </c>
      <c r="B164" s="757" t="s">
        <v>78</v>
      </c>
      <c r="C164" s="734">
        <v>0</v>
      </c>
      <c r="D164" s="617"/>
      <c r="E164" s="617"/>
      <c r="F164" s="780"/>
      <c r="G164" s="772">
        <f t="shared" si="11"/>
        <v>0</v>
      </c>
      <c r="H164" s="243"/>
    </row>
    <row r="165" spans="1:8" x14ac:dyDescent="0.2">
      <c r="A165" s="765">
        <v>54503</v>
      </c>
      <c r="B165" s="757" t="s">
        <v>79</v>
      </c>
      <c r="C165" s="734">
        <v>600</v>
      </c>
      <c r="D165" s="617">
        <v>0</v>
      </c>
      <c r="E165" s="617">
        <v>0</v>
      </c>
      <c r="F165" s="780">
        <v>0</v>
      </c>
      <c r="G165" s="772">
        <f t="shared" si="11"/>
        <v>600</v>
      </c>
      <c r="H165" s="243"/>
    </row>
    <row r="166" spans="1:8" hidden="1" x14ac:dyDescent="0.2">
      <c r="A166" s="765">
        <v>54504</v>
      </c>
      <c r="B166" s="757" t="s">
        <v>80</v>
      </c>
      <c r="C166" s="734">
        <v>0</v>
      </c>
      <c r="D166" s="617">
        <v>0</v>
      </c>
      <c r="E166" s="617">
        <v>0</v>
      </c>
      <c r="F166" s="780">
        <v>0</v>
      </c>
      <c r="G166" s="772">
        <f t="shared" si="11"/>
        <v>0</v>
      </c>
      <c r="H166" s="243"/>
    </row>
    <row r="167" spans="1:8" hidden="1" x14ac:dyDescent="0.2">
      <c r="A167" s="765">
        <v>54505</v>
      </c>
      <c r="B167" s="757" t="s">
        <v>81</v>
      </c>
      <c r="C167" s="734">
        <v>0</v>
      </c>
      <c r="D167" s="617">
        <v>0</v>
      </c>
      <c r="E167" s="617">
        <v>0</v>
      </c>
      <c r="F167" s="780">
        <v>0</v>
      </c>
      <c r="G167" s="772">
        <f t="shared" si="11"/>
        <v>0</v>
      </c>
      <c r="H167" s="243"/>
    </row>
    <row r="168" spans="1:8" hidden="1" x14ac:dyDescent="0.2">
      <c r="A168" s="765">
        <v>54507</v>
      </c>
      <c r="B168" s="757" t="s">
        <v>82</v>
      </c>
      <c r="C168" s="734">
        <v>0</v>
      </c>
      <c r="D168" s="617">
        <v>0</v>
      </c>
      <c r="E168" s="617">
        <v>0</v>
      </c>
      <c r="F168" s="780">
        <v>0</v>
      </c>
      <c r="G168" s="772">
        <f t="shared" si="11"/>
        <v>0</v>
      </c>
      <c r="H168" s="243"/>
    </row>
    <row r="169" spans="1:8" hidden="1" x14ac:dyDescent="0.2">
      <c r="A169" s="765">
        <v>54508</v>
      </c>
      <c r="B169" s="757" t="s">
        <v>83</v>
      </c>
      <c r="C169" s="734">
        <v>0</v>
      </c>
      <c r="D169" s="617">
        <v>0</v>
      </c>
      <c r="E169" s="617">
        <v>0</v>
      </c>
      <c r="F169" s="780">
        <v>0</v>
      </c>
      <c r="G169" s="772">
        <f t="shared" si="11"/>
        <v>0</v>
      </c>
      <c r="H169" s="243"/>
    </row>
    <row r="170" spans="1:8" hidden="1" x14ac:dyDescent="0.2">
      <c r="A170" s="765">
        <v>54599</v>
      </c>
      <c r="B170" s="757" t="s">
        <v>84</v>
      </c>
      <c r="C170" s="734">
        <v>0</v>
      </c>
      <c r="D170" s="617">
        <v>0</v>
      </c>
      <c r="E170" s="617">
        <v>0</v>
      </c>
      <c r="F170" s="780">
        <v>0</v>
      </c>
      <c r="G170" s="772">
        <f t="shared" si="11"/>
        <v>0</v>
      </c>
      <c r="H170" s="243"/>
    </row>
    <row r="171" spans="1:8" x14ac:dyDescent="0.2">
      <c r="A171" s="790" t="s">
        <v>511</v>
      </c>
      <c r="B171" s="757"/>
      <c r="C171" s="734"/>
      <c r="D171" s="617"/>
      <c r="E171" s="617"/>
      <c r="F171" s="780"/>
      <c r="G171" s="772"/>
      <c r="H171" s="243"/>
    </row>
    <row r="172" spans="1:8" x14ac:dyDescent="0.2">
      <c r="A172" s="764">
        <v>55</v>
      </c>
      <c r="B172" s="756" t="s">
        <v>85</v>
      </c>
      <c r="C172" s="733">
        <f>C173+C177+C179</f>
        <v>0</v>
      </c>
      <c r="D172" s="616">
        <f>D173+D177+D179</f>
        <v>150</v>
      </c>
      <c r="E172" s="616">
        <f>E173+E177+E179</f>
        <v>0</v>
      </c>
      <c r="F172" s="779">
        <f>F173+F177+F179</f>
        <v>0</v>
      </c>
      <c r="G172" s="774">
        <f>G173+G177+G179</f>
        <v>150</v>
      </c>
      <c r="H172" s="243"/>
    </row>
    <row r="173" spans="1:8" hidden="1" x14ac:dyDescent="0.2">
      <c r="A173" s="764">
        <v>553</v>
      </c>
      <c r="B173" s="756" t="s">
        <v>86</v>
      </c>
      <c r="C173" s="734">
        <v>0</v>
      </c>
      <c r="D173" s="617">
        <v>0</v>
      </c>
      <c r="E173" s="617">
        <v>0</v>
      </c>
      <c r="F173" s="780">
        <v>0</v>
      </c>
      <c r="G173" s="771">
        <f t="shared" si="11"/>
        <v>0</v>
      </c>
      <c r="H173" s="243"/>
    </row>
    <row r="174" spans="1:8" hidden="1" x14ac:dyDescent="0.2">
      <c r="A174" s="765">
        <v>55303</v>
      </c>
      <c r="B174" s="757" t="s">
        <v>87</v>
      </c>
      <c r="C174" s="734">
        <v>0</v>
      </c>
      <c r="D174" s="617">
        <v>0</v>
      </c>
      <c r="E174" s="617">
        <v>0</v>
      </c>
      <c r="F174" s="780">
        <v>0</v>
      </c>
      <c r="G174" s="772">
        <f t="shared" si="11"/>
        <v>0</v>
      </c>
      <c r="H174" s="243"/>
    </row>
    <row r="175" spans="1:8" hidden="1" x14ac:dyDescent="0.2">
      <c r="A175" s="765">
        <v>55304</v>
      </c>
      <c r="B175" s="757" t="s">
        <v>88</v>
      </c>
      <c r="C175" s="734">
        <v>0</v>
      </c>
      <c r="D175" s="617">
        <v>0</v>
      </c>
      <c r="E175" s="617">
        <v>0</v>
      </c>
      <c r="F175" s="780">
        <v>0</v>
      </c>
      <c r="G175" s="772">
        <f t="shared" si="11"/>
        <v>0</v>
      </c>
      <c r="H175" s="243"/>
    </row>
    <row r="176" spans="1:8" hidden="1" x14ac:dyDescent="0.2">
      <c r="A176" s="765">
        <v>55308</v>
      </c>
      <c r="B176" s="757" t="s">
        <v>89</v>
      </c>
      <c r="C176" s="734">
        <v>0</v>
      </c>
      <c r="D176" s="617">
        <v>0</v>
      </c>
      <c r="E176" s="617">
        <v>0</v>
      </c>
      <c r="F176" s="780">
        <v>0</v>
      </c>
      <c r="G176" s="772">
        <f t="shared" si="11"/>
        <v>0</v>
      </c>
      <c r="H176" s="243"/>
    </row>
    <row r="177" spans="1:9" s="379" customFormat="1" x14ac:dyDescent="0.2">
      <c r="A177" s="764">
        <v>555</v>
      </c>
      <c r="B177" s="756" t="s">
        <v>539</v>
      </c>
      <c r="C177" s="733">
        <f>C178</f>
        <v>0</v>
      </c>
      <c r="D177" s="616">
        <f>D178</f>
        <v>0</v>
      </c>
      <c r="E177" s="616">
        <f>E178</f>
        <v>0</v>
      </c>
      <c r="F177" s="779">
        <f>F178</f>
        <v>0</v>
      </c>
      <c r="G177" s="771">
        <f>+C177+D177+E177+F177</f>
        <v>0</v>
      </c>
      <c r="H177" s="381"/>
      <c r="I177" s="418"/>
    </row>
    <row r="178" spans="1:9" x14ac:dyDescent="0.2">
      <c r="A178" s="765">
        <v>55508</v>
      </c>
      <c r="B178" s="758" t="s">
        <v>343</v>
      </c>
      <c r="C178" s="734">
        <v>0</v>
      </c>
      <c r="D178" s="617">
        <v>0</v>
      </c>
      <c r="E178" s="617">
        <v>0</v>
      </c>
      <c r="F178" s="780">
        <v>0</v>
      </c>
      <c r="G178" s="775">
        <f>+C178+D178+E178+F178</f>
        <v>0</v>
      </c>
      <c r="H178" s="243"/>
    </row>
    <row r="179" spans="1:9" x14ac:dyDescent="0.2">
      <c r="A179" s="764">
        <v>556</v>
      </c>
      <c r="B179" s="756" t="s">
        <v>90</v>
      </c>
      <c r="C179" s="733">
        <f>SUM(C180:C182)</f>
        <v>0</v>
      </c>
      <c r="D179" s="616">
        <f>SUM(D180:D182)</f>
        <v>150</v>
      </c>
      <c r="E179" s="616">
        <v>0</v>
      </c>
      <c r="F179" s="779">
        <v>0</v>
      </c>
      <c r="G179" s="771">
        <f>+C179+D179+F179</f>
        <v>150</v>
      </c>
      <c r="H179" s="243"/>
    </row>
    <row r="180" spans="1:9" hidden="1" x14ac:dyDescent="0.2">
      <c r="A180" s="765">
        <v>55601</v>
      </c>
      <c r="B180" s="757" t="s">
        <v>91</v>
      </c>
      <c r="C180" s="734">
        <v>0</v>
      </c>
      <c r="D180" s="617">
        <v>0</v>
      </c>
      <c r="E180" s="617">
        <v>0</v>
      </c>
      <c r="F180" s="780">
        <v>0</v>
      </c>
      <c r="G180" s="772">
        <f t="shared" si="11"/>
        <v>0</v>
      </c>
      <c r="H180" s="243"/>
    </row>
    <row r="181" spans="1:9" hidden="1" x14ac:dyDescent="0.2">
      <c r="A181" s="765">
        <v>55602</v>
      </c>
      <c r="B181" s="757" t="s">
        <v>92</v>
      </c>
      <c r="C181" s="734">
        <v>0</v>
      </c>
      <c r="D181" s="617">
        <v>0</v>
      </c>
      <c r="E181" s="617">
        <v>0</v>
      </c>
      <c r="F181" s="780">
        <v>0</v>
      </c>
      <c r="G181" s="772">
        <f t="shared" si="11"/>
        <v>0</v>
      </c>
      <c r="H181" s="243"/>
    </row>
    <row r="182" spans="1:9" x14ac:dyDescent="0.2">
      <c r="A182" s="765">
        <v>55603</v>
      </c>
      <c r="B182" s="757" t="s">
        <v>93</v>
      </c>
      <c r="C182" s="734">
        <v>0</v>
      </c>
      <c r="D182" s="617">
        <v>150</v>
      </c>
      <c r="E182" s="617">
        <v>0</v>
      </c>
      <c r="F182" s="780">
        <v>0</v>
      </c>
      <c r="G182" s="772">
        <f>+C182+D182+F182</f>
        <v>150</v>
      </c>
      <c r="H182" s="243"/>
    </row>
    <row r="183" spans="1:9" hidden="1" x14ac:dyDescent="0.2">
      <c r="A183" s="764">
        <v>557</v>
      </c>
      <c r="B183" s="756" t="s">
        <v>94</v>
      </c>
      <c r="C183" s="733">
        <f>SUM(C184:C186)</f>
        <v>0</v>
      </c>
      <c r="D183" s="616">
        <f>SUM(D184:D186)</f>
        <v>0</v>
      </c>
      <c r="E183" s="616">
        <f>SUM(E184:E186)</f>
        <v>0</v>
      </c>
      <c r="F183" s="779">
        <f>SUM(F184:F186)</f>
        <v>0</v>
      </c>
      <c r="G183" s="771">
        <f t="shared" ref="G183:G194" si="12">+C183+F183</f>
        <v>0</v>
      </c>
      <c r="H183" s="243"/>
    </row>
    <row r="184" spans="1:9" hidden="1" x14ac:dyDescent="0.2">
      <c r="A184" s="765">
        <v>55701</v>
      </c>
      <c r="B184" s="757" t="s">
        <v>95</v>
      </c>
      <c r="C184" s="734">
        <v>0</v>
      </c>
      <c r="D184" s="617">
        <v>0</v>
      </c>
      <c r="E184" s="617">
        <v>0</v>
      </c>
      <c r="F184" s="780">
        <v>0</v>
      </c>
      <c r="G184" s="772">
        <f t="shared" si="12"/>
        <v>0</v>
      </c>
      <c r="H184" s="243"/>
    </row>
    <row r="185" spans="1:9" hidden="1" x14ac:dyDescent="0.2">
      <c r="A185" s="765">
        <v>55702</v>
      </c>
      <c r="B185" s="757" t="s">
        <v>96</v>
      </c>
      <c r="C185" s="734">
        <v>0</v>
      </c>
      <c r="D185" s="617">
        <v>0</v>
      </c>
      <c r="E185" s="617">
        <v>0</v>
      </c>
      <c r="F185" s="780">
        <v>0</v>
      </c>
      <c r="G185" s="772">
        <f t="shared" si="12"/>
        <v>0</v>
      </c>
      <c r="H185" s="243"/>
    </row>
    <row r="186" spans="1:9" hidden="1" x14ac:dyDescent="0.2">
      <c r="A186" s="765">
        <v>55799</v>
      </c>
      <c r="B186" s="757" t="s">
        <v>97</v>
      </c>
      <c r="C186" s="734">
        <v>0</v>
      </c>
      <c r="D186" s="617">
        <v>0</v>
      </c>
      <c r="E186" s="617">
        <v>0</v>
      </c>
      <c r="F186" s="780">
        <v>0</v>
      </c>
      <c r="G186" s="772">
        <f t="shared" si="12"/>
        <v>0</v>
      </c>
      <c r="H186" s="243"/>
    </row>
    <row r="187" spans="1:9" x14ac:dyDescent="0.2">
      <c r="A187" s="790" t="s">
        <v>511</v>
      </c>
      <c r="B187" s="757"/>
      <c r="C187" s="734"/>
      <c r="D187" s="617"/>
      <c r="E187" s="617"/>
      <c r="F187" s="780"/>
      <c r="G187" s="772"/>
      <c r="H187" s="243"/>
    </row>
    <row r="188" spans="1:9" x14ac:dyDescent="0.2">
      <c r="A188" s="764">
        <v>56</v>
      </c>
      <c r="B188" s="756" t="s">
        <v>98</v>
      </c>
      <c r="C188" s="733">
        <f>C189+C192</f>
        <v>3329.7799999999997</v>
      </c>
      <c r="D188" s="616">
        <f>D189+D192</f>
        <v>0</v>
      </c>
      <c r="E188" s="616">
        <v>0</v>
      </c>
      <c r="F188" s="779">
        <v>0</v>
      </c>
      <c r="G188" s="771">
        <f>+C188+F188</f>
        <v>3329.7799999999997</v>
      </c>
      <c r="H188" s="243"/>
    </row>
    <row r="189" spans="1:9" x14ac:dyDescent="0.2">
      <c r="A189" s="764">
        <v>562</v>
      </c>
      <c r="B189" s="756" t="s">
        <v>99</v>
      </c>
      <c r="C189" s="733">
        <f>C191</f>
        <v>1329.78</v>
      </c>
      <c r="D189" s="616">
        <f>SUM(D190:D191)</f>
        <v>0</v>
      </c>
      <c r="E189" s="616">
        <v>0</v>
      </c>
      <c r="F189" s="779">
        <v>0</v>
      </c>
      <c r="G189" s="771">
        <f t="shared" si="12"/>
        <v>1329.78</v>
      </c>
      <c r="H189" s="243"/>
    </row>
    <row r="190" spans="1:9" hidden="1" x14ac:dyDescent="0.2">
      <c r="A190" s="765">
        <v>56201</v>
      </c>
      <c r="B190" s="758" t="s">
        <v>576</v>
      </c>
      <c r="C190" s="734">
        <v>0</v>
      </c>
      <c r="D190" s="617">
        <v>0</v>
      </c>
      <c r="E190" s="617">
        <v>0</v>
      </c>
      <c r="F190" s="780">
        <v>0</v>
      </c>
      <c r="G190" s="772">
        <f t="shared" si="12"/>
        <v>0</v>
      </c>
      <c r="H190" s="243"/>
    </row>
    <row r="191" spans="1:9" x14ac:dyDescent="0.2">
      <c r="A191" s="765">
        <v>56201</v>
      </c>
      <c r="B191" s="758" t="s">
        <v>556</v>
      </c>
      <c r="C191" s="734">
        <f>221.63*6</f>
        <v>1329.78</v>
      </c>
      <c r="D191" s="617">
        <v>0</v>
      </c>
      <c r="E191" s="617">
        <v>0</v>
      </c>
      <c r="F191" s="780">
        <v>0</v>
      </c>
      <c r="G191" s="772">
        <f t="shared" si="12"/>
        <v>1329.78</v>
      </c>
      <c r="H191" s="243"/>
    </row>
    <row r="192" spans="1:9" x14ac:dyDescent="0.2">
      <c r="A192" s="764">
        <v>563</v>
      </c>
      <c r="B192" s="756" t="s">
        <v>101</v>
      </c>
      <c r="C192" s="733">
        <f>SUM(C193:C194)</f>
        <v>2000</v>
      </c>
      <c r="D192" s="616">
        <f>SUM(D193:D194)</f>
        <v>0</v>
      </c>
      <c r="E192" s="616">
        <v>0</v>
      </c>
      <c r="F192" s="779">
        <v>0</v>
      </c>
      <c r="G192" s="771">
        <f t="shared" si="12"/>
        <v>2000</v>
      </c>
      <c r="H192" s="243"/>
    </row>
    <row r="193" spans="1:9" x14ac:dyDescent="0.2">
      <c r="A193" s="765">
        <v>56303</v>
      </c>
      <c r="B193" s="757" t="s">
        <v>100</v>
      </c>
      <c r="C193" s="734">
        <v>0</v>
      </c>
      <c r="D193" s="617">
        <v>0</v>
      </c>
      <c r="E193" s="617">
        <v>0</v>
      </c>
      <c r="F193" s="780">
        <v>0</v>
      </c>
      <c r="G193" s="772">
        <f t="shared" si="12"/>
        <v>0</v>
      </c>
      <c r="H193" s="243"/>
    </row>
    <row r="194" spans="1:9" s="2" customFormat="1" ht="13.5" thickBot="1" x14ac:dyDescent="0.25">
      <c r="A194" s="789">
        <v>56304</v>
      </c>
      <c r="B194" s="784" t="s">
        <v>111</v>
      </c>
      <c r="C194" s="734">
        <v>2000</v>
      </c>
      <c r="D194" s="617">
        <v>0</v>
      </c>
      <c r="E194" s="617">
        <v>0</v>
      </c>
      <c r="F194" s="780">
        <v>0</v>
      </c>
      <c r="G194" s="773">
        <f t="shared" si="12"/>
        <v>2000</v>
      </c>
      <c r="H194" s="243"/>
      <c r="I194" s="415"/>
    </row>
    <row r="195" spans="1:9" hidden="1" x14ac:dyDescent="0.2">
      <c r="A195" s="791" t="s">
        <v>164</v>
      </c>
      <c r="B195" s="785" t="s">
        <v>165</v>
      </c>
      <c r="C195" s="733">
        <f>C196</f>
        <v>0</v>
      </c>
      <c r="D195" s="616">
        <f t="shared" ref="D195:F196" si="13">D196</f>
        <v>0</v>
      </c>
      <c r="E195" s="616">
        <f t="shared" si="13"/>
        <v>0</v>
      </c>
      <c r="F195" s="779">
        <f t="shared" si="13"/>
        <v>0</v>
      </c>
      <c r="G195" s="771">
        <f>G196</f>
        <v>0</v>
      </c>
      <c r="H195" s="243"/>
    </row>
    <row r="196" spans="1:9" hidden="1" x14ac:dyDescent="0.2">
      <c r="A196" s="791" t="s">
        <v>259</v>
      </c>
      <c r="B196" s="786" t="s">
        <v>202</v>
      </c>
      <c r="C196" s="733">
        <f>C197</f>
        <v>0</v>
      </c>
      <c r="D196" s="616">
        <f t="shared" si="13"/>
        <v>0</v>
      </c>
      <c r="E196" s="616">
        <f t="shared" si="13"/>
        <v>0</v>
      </c>
      <c r="F196" s="779">
        <f t="shared" si="13"/>
        <v>0</v>
      </c>
      <c r="G196" s="771">
        <f>G197</f>
        <v>0</v>
      </c>
      <c r="H196" s="243"/>
    </row>
    <row r="197" spans="1:9" s="2" customFormat="1" ht="13.5" hidden="1" thickBot="1" x14ac:dyDescent="0.25">
      <c r="A197" s="792" t="s">
        <v>260</v>
      </c>
      <c r="B197" s="787" t="s">
        <v>261</v>
      </c>
      <c r="C197" s="735">
        <v>0</v>
      </c>
      <c r="D197" s="618">
        <v>0</v>
      </c>
      <c r="E197" s="618">
        <v>0</v>
      </c>
      <c r="F197" s="782">
        <v>0</v>
      </c>
      <c r="G197" s="776">
        <f>+C197+F197</f>
        <v>0</v>
      </c>
      <c r="H197" s="243"/>
      <c r="I197" s="415"/>
    </row>
    <row r="198" spans="1:9" ht="13.5" thickBot="1" x14ac:dyDescent="0.25">
      <c r="A198" s="793"/>
      <c r="B198" s="788" t="s">
        <v>27</v>
      </c>
      <c r="C198" s="622">
        <f>+C188+C172+C114</f>
        <v>27029.78</v>
      </c>
      <c r="D198" s="622">
        <f>+D188+D172+D114</f>
        <v>3200</v>
      </c>
      <c r="E198" s="622">
        <f>+E188+E172+E114</f>
        <v>1300</v>
      </c>
      <c r="F198" s="783">
        <f>+F188+F172+F114</f>
        <v>33631.82</v>
      </c>
      <c r="G198" s="777">
        <f>+G188+G172+G114+G195</f>
        <v>65161.599999999999</v>
      </c>
    </row>
    <row r="199" spans="1:9" x14ac:dyDescent="0.2">
      <c r="A199" s="1"/>
      <c r="B199" s="1"/>
    </row>
    <row r="200" spans="1:9" x14ac:dyDescent="0.2">
      <c r="A200" s="1"/>
      <c r="B200" s="1"/>
      <c r="G200" s="475"/>
    </row>
    <row r="201" spans="1:9" x14ac:dyDescent="0.2">
      <c r="A201" s="1"/>
      <c r="B201" s="1"/>
    </row>
    <row r="202" spans="1:9" x14ac:dyDescent="0.2">
      <c r="A202" s="1"/>
      <c r="B202" s="1"/>
    </row>
    <row r="203" spans="1:9" x14ac:dyDescent="0.2">
      <c r="A203" s="1"/>
      <c r="B203" s="1"/>
    </row>
    <row r="204" spans="1:9" x14ac:dyDescent="0.2">
      <c r="A204" s="1"/>
      <c r="B204" s="1"/>
    </row>
    <row r="205" spans="1:9" x14ac:dyDescent="0.2">
      <c r="A205" s="1"/>
      <c r="B205" s="1"/>
    </row>
    <row r="206" spans="1:9" x14ac:dyDescent="0.2">
      <c r="A206" s="1"/>
      <c r="B206" s="1"/>
    </row>
    <row r="207" spans="1:9" x14ac:dyDescent="0.2">
      <c r="A207" s="1"/>
      <c r="B207" s="1"/>
    </row>
    <row r="208" spans="1:9" x14ac:dyDescent="0.2">
      <c r="A208" s="1"/>
      <c r="B208" s="1"/>
    </row>
    <row r="209" spans="1:2" x14ac:dyDescent="0.2">
      <c r="A209" s="1"/>
      <c r="B209" s="1"/>
    </row>
    <row r="210" spans="1:2" x14ac:dyDescent="0.2">
      <c r="A210" s="1"/>
      <c r="B210" s="1"/>
    </row>
    <row r="211" spans="1:2" x14ac:dyDescent="0.2">
      <c r="A211" s="1"/>
      <c r="B211" s="1"/>
    </row>
    <row r="212" spans="1:2" x14ac:dyDescent="0.2">
      <c r="A212" s="1"/>
      <c r="B212" s="1"/>
    </row>
    <row r="213" spans="1:2" x14ac:dyDescent="0.2">
      <c r="A213" s="1"/>
      <c r="B213" s="1"/>
    </row>
    <row r="214" spans="1:2" x14ac:dyDescent="0.2">
      <c r="A214" s="1"/>
      <c r="B214" s="1"/>
    </row>
    <row r="215" spans="1:2" x14ac:dyDescent="0.2">
      <c r="A215" s="1"/>
      <c r="B215" s="1"/>
    </row>
    <row r="216" spans="1:2" x14ac:dyDescent="0.2">
      <c r="A216" s="1"/>
      <c r="B216" s="1"/>
    </row>
    <row r="217" spans="1:2" x14ac:dyDescent="0.2">
      <c r="A217" s="1"/>
      <c r="B217" s="1"/>
    </row>
    <row r="218" spans="1:2" x14ac:dyDescent="0.2">
      <c r="A218" s="1"/>
      <c r="B218" s="1"/>
    </row>
    <row r="219" spans="1:2" x14ac:dyDescent="0.2">
      <c r="A219" s="1"/>
      <c r="B219" s="1"/>
    </row>
    <row r="220" spans="1:2" x14ac:dyDescent="0.2">
      <c r="A220" s="1"/>
      <c r="B220" s="1"/>
    </row>
    <row r="221" spans="1:2" x14ac:dyDescent="0.2">
      <c r="A221" s="1"/>
      <c r="B221" s="1"/>
    </row>
    <row r="222" spans="1:2" x14ac:dyDescent="0.2">
      <c r="A222" s="1"/>
      <c r="B222" s="1"/>
    </row>
    <row r="223" spans="1:2" x14ac:dyDescent="0.2">
      <c r="A223" s="1"/>
      <c r="B223" s="1"/>
    </row>
    <row r="224" spans="1:2" x14ac:dyDescent="0.2">
      <c r="A224" s="1"/>
      <c r="B224" s="1"/>
    </row>
    <row r="225" spans="1:2" x14ac:dyDescent="0.2">
      <c r="A225" s="1"/>
      <c r="B225" s="1"/>
    </row>
    <row r="226" spans="1:2" x14ac:dyDescent="0.2">
      <c r="A226" s="1"/>
      <c r="B226" s="1"/>
    </row>
    <row r="227" spans="1:2" x14ac:dyDescent="0.2">
      <c r="A227" s="1"/>
      <c r="B227" s="1"/>
    </row>
    <row r="228" spans="1:2" x14ac:dyDescent="0.2">
      <c r="A228" s="1"/>
      <c r="B228" s="1"/>
    </row>
    <row r="229" spans="1:2" x14ac:dyDescent="0.2">
      <c r="A229" s="1"/>
      <c r="B229" s="1"/>
    </row>
    <row r="230" spans="1:2" x14ac:dyDescent="0.2">
      <c r="A230" s="1"/>
      <c r="B230" s="1"/>
    </row>
    <row r="231" spans="1:2" x14ac:dyDescent="0.2">
      <c r="A231" s="1"/>
      <c r="B231" s="1"/>
    </row>
    <row r="232" spans="1:2" x14ac:dyDescent="0.2">
      <c r="A232" s="1"/>
      <c r="B232" s="1"/>
    </row>
    <row r="233" spans="1:2" x14ac:dyDescent="0.2">
      <c r="A233" s="1"/>
      <c r="B233" s="1"/>
    </row>
    <row r="234" spans="1:2" x14ac:dyDescent="0.2">
      <c r="A234" s="1"/>
      <c r="B234" s="1"/>
    </row>
    <row r="235" spans="1:2" x14ac:dyDescent="0.2">
      <c r="A235" s="1"/>
      <c r="B235" s="1"/>
    </row>
    <row r="236" spans="1:2" x14ac:dyDescent="0.2">
      <c r="A236" s="1"/>
      <c r="B236" s="1"/>
    </row>
    <row r="237" spans="1:2" x14ac:dyDescent="0.2">
      <c r="A237" s="1"/>
      <c r="B237" s="1"/>
    </row>
    <row r="238" spans="1:2" x14ac:dyDescent="0.2">
      <c r="A238" s="1"/>
      <c r="B238" s="1"/>
    </row>
    <row r="239" spans="1:2" x14ac:dyDescent="0.2">
      <c r="A239" s="1"/>
      <c r="B239" s="1"/>
    </row>
    <row r="240" spans="1:2" x14ac:dyDescent="0.2">
      <c r="A240" s="1"/>
      <c r="B240" s="1"/>
    </row>
    <row r="241" spans="1:2" x14ac:dyDescent="0.2">
      <c r="A241" s="1"/>
      <c r="B241" s="1"/>
    </row>
    <row r="242" spans="1:2" x14ac:dyDescent="0.2">
      <c r="A242" s="1"/>
      <c r="B242" s="1"/>
    </row>
    <row r="243" spans="1:2" x14ac:dyDescent="0.2">
      <c r="A243" s="1"/>
      <c r="B243" s="1"/>
    </row>
    <row r="244" spans="1:2" x14ac:dyDescent="0.2">
      <c r="A244" s="1"/>
      <c r="B244" s="1"/>
    </row>
    <row r="245" spans="1:2" x14ac:dyDescent="0.2">
      <c r="A245" s="1"/>
      <c r="B245" s="1"/>
    </row>
    <row r="246" spans="1:2" x14ac:dyDescent="0.2">
      <c r="A246" s="1"/>
      <c r="B246" s="1"/>
    </row>
    <row r="247" spans="1:2" x14ac:dyDescent="0.2">
      <c r="A247" s="1"/>
      <c r="B247" s="1"/>
    </row>
    <row r="248" spans="1:2" x14ac:dyDescent="0.2">
      <c r="A248" s="1"/>
      <c r="B248" s="1"/>
    </row>
    <row r="249" spans="1:2" x14ac:dyDescent="0.2">
      <c r="A249" s="1"/>
      <c r="B249" s="1"/>
    </row>
    <row r="250" spans="1:2" x14ac:dyDescent="0.2">
      <c r="A250" s="1"/>
      <c r="B250" s="1"/>
    </row>
    <row r="251" spans="1:2" x14ac:dyDescent="0.2">
      <c r="A251" s="1"/>
      <c r="B251" s="1"/>
    </row>
    <row r="252" spans="1:2" x14ac:dyDescent="0.2">
      <c r="A252" s="1"/>
      <c r="B252" s="1"/>
    </row>
    <row r="253" spans="1:2" x14ac:dyDescent="0.2">
      <c r="A253" s="1"/>
      <c r="B253" s="1"/>
    </row>
    <row r="254" spans="1:2" x14ac:dyDescent="0.2">
      <c r="A254" s="1"/>
      <c r="B254" s="1"/>
    </row>
    <row r="255" spans="1:2" x14ac:dyDescent="0.2">
      <c r="A255" s="1"/>
      <c r="B255" s="1"/>
    </row>
    <row r="256" spans="1:2" x14ac:dyDescent="0.2">
      <c r="A256" s="1"/>
      <c r="B256" s="1"/>
    </row>
    <row r="257" spans="1:2" x14ac:dyDescent="0.2">
      <c r="A257" s="1"/>
      <c r="B257" s="1"/>
    </row>
    <row r="258" spans="1:2" x14ac:dyDescent="0.2">
      <c r="A258" s="1"/>
      <c r="B258" s="1"/>
    </row>
    <row r="259" spans="1:2" x14ac:dyDescent="0.2">
      <c r="A259" s="1"/>
      <c r="B259" s="1"/>
    </row>
    <row r="260" spans="1:2" x14ac:dyDescent="0.2">
      <c r="A260" s="1"/>
      <c r="B260" s="1"/>
    </row>
    <row r="261" spans="1:2" x14ac:dyDescent="0.2">
      <c r="A261" s="1"/>
      <c r="B261" s="1"/>
    </row>
    <row r="262" spans="1:2" x14ac:dyDescent="0.2">
      <c r="A262" s="1"/>
      <c r="B262" s="1"/>
    </row>
    <row r="263" spans="1:2" x14ac:dyDescent="0.2">
      <c r="A263" s="1"/>
      <c r="B263" s="1"/>
    </row>
    <row r="264" spans="1:2" x14ac:dyDescent="0.2">
      <c r="A264" s="1"/>
      <c r="B264" s="1"/>
    </row>
    <row r="265" spans="1:2" x14ac:dyDescent="0.2">
      <c r="A265" s="1"/>
      <c r="B265" s="1"/>
    </row>
    <row r="266" spans="1:2" x14ac:dyDescent="0.2">
      <c r="A266" s="1"/>
      <c r="B266" s="1"/>
    </row>
    <row r="267" spans="1:2" x14ac:dyDescent="0.2">
      <c r="A267" s="1"/>
      <c r="B267" s="1"/>
    </row>
    <row r="268" spans="1:2" x14ac:dyDescent="0.2">
      <c r="A268" s="1"/>
      <c r="B268" s="1"/>
    </row>
    <row r="269" spans="1:2" x14ac:dyDescent="0.2">
      <c r="A269" s="1"/>
      <c r="B269" s="1"/>
    </row>
    <row r="270" spans="1:2" x14ac:dyDescent="0.2">
      <c r="A270" s="1"/>
      <c r="B270" s="1"/>
    </row>
    <row r="271" spans="1:2" x14ac:dyDescent="0.2">
      <c r="A271" s="1"/>
      <c r="B271" s="1"/>
    </row>
    <row r="272" spans="1:2" x14ac:dyDescent="0.2">
      <c r="A272" s="1"/>
      <c r="B272" s="1"/>
    </row>
    <row r="273" spans="1:2" x14ac:dyDescent="0.2">
      <c r="A273" s="1"/>
      <c r="B273" s="1"/>
    </row>
    <row r="274" spans="1:2" x14ac:dyDescent="0.2">
      <c r="A274" s="1"/>
      <c r="B274" s="1"/>
    </row>
    <row r="275" spans="1:2" x14ac:dyDescent="0.2">
      <c r="A275" s="1"/>
      <c r="B275" s="1"/>
    </row>
    <row r="276" spans="1:2" x14ac:dyDescent="0.2">
      <c r="A276" s="1"/>
      <c r="B276" s="1"/>
    </row>
    <row r="277" spans="1:2" x14ac:dyDescent="0.2">
      <c r="A277" s="1"/>
      <c r="B277" s="1"/>
    </row>
    <row r="278" spans="1:2" x14ac:dyDescent="0.2">
      <c r="A278" s="1"/>
      <c r="B278" s="1"/>
    </row>
    <row r="279" spans="1:2" x14ac:dyDescent="0.2">
      <c r="A279" s="1"/>
      <c r="B279" s="1"/>
    </row>
    <row r="280" spans="1:2" x14ac:dyDescent="0.2">
      <c r="A280" s="1"/>
      <c r="B280" s="1"/>
    </row>
    <row r="281" spans="1:2" x14ac:dyDescent="0.2">
      <c r="A281" s="1"/>
      <c r="B281" s="1"/>
    </row>
    <row r="282" spans="1:2" x14ac:dyDescent="0.2">
      <c r="A282" s="1"/>
      <c r="B282" s="1"/>
    </row>
    <row r="283" spans="1:2" x14ac:dyDescent="0.2">
      <c r="A283" s="1"/>
      <c r="B283" s="1"/>
    </row>
    <row r="284" spans="1:2" x14ac:dyDescent="0.2">
      <c r="A284" s="1"/>
      <c r="B284" s="1"/>
    </row>
    <row r="285" spans="1:2" x14ac:dyDescent="0.2">
      <c r="A285" s="1"/>
      <c r="B285" s="1"/>
    </row>
    <row r="286" spans="1:2" x14ac:dyDescent="0.2">
      <c r="A286" s="1"/>
      <c r="B286" s="1"/>
    </row>
    <row r="287" spans="1:2" x14ac:dyDescent="0.2">
      <c r="A287" s="1"/>
      <c r="B287" s="1"/>
    </row>
    <row r="288" spans="1:2" x14ac:dyDescent="0.2">
      <c r="A288" s="1"/>
      <c r="B288" s="1"/>
    </row>
    <row r="289" spans="1:2" x14ac:dyDescent="0.2">
      <c r="A289" s="1"/>
      <c r="B289" s="1"/>
    </row>
    <row r="290" spans="1:2" x14ac:dyDescent="0.2">
      <c r="A290" s="1"/>
      <c r="B290" s="1"/>
    </row>
    <row r="291" spans="1:2" x14ac:dyDescent="0.2">
      <c r="A291" s="1"/>
      <c r="B291" s="1"/>
    </row>
    <row r="292" spans="1:2" x14ac:dyDescent="0.2">
      <c r="A292" s="1"/>
      <c r="B292" s="1"/>
    </row>
    <row r="293" spans="1:2" x14ac:dyDescent="0.2">
      <c r="A293" s="1"/>
      <c r="B293" s="1"/>
    </row>
    <row r="294" spans="1:2" x14ac:dyDescent="0.2">
      <c r="A294" s="1"/>
      <c r="B294" s="1"/>
    </row>
    <row r="295" spans="1:2" x14ac:dyDescent="0.2">
      <c r="A295" s="1"/>
      <c r="B295" s="1"/>
    </row>
    <row r="296" spans="1:2" x14ac:dyDescent="0.2">
      <c r="A296" s="1"/>
      <c r="B296" s="1"/>
    </row>
    <row r="297" spans="1:2" x14ac:dyDescent="0.2">
      <c r="A297" s="1"/>
      <c r="B297" s="1"/>
    </row>
    <row r="298" spans="1:2" x14ac:dyDescent="0.2">
      <c r="A298" s="1"/>
      <c r="B298" s="1"/>
    </row>
    <row r="299" spans="1:2" x14ac:dyDescent="0.2">
      <c r="A299" s="1"/>
      <c r="B299" s="1"/>
    </row>
    <row r="300" spans="1:2" x14ac:dyDescent="0.2">
      <c r="A300" s="1"/>
      <c r="B300" s="1"/>
    </row>
    <row r="301" spans="1:2" x14ac:dyDescent="0.2">
      <c r="A301" s="1"/>
      <c r="B301" s="1"/>
    </row>
    <row r="302" spans="1:2" x14ac:dyDescent="0.2">
      <c r="A302" s="1"/>
      <c r="B302" s="1"/>
    </row>
    <row r="303" spans="1:2" x14ac:dyDescent="0.2">
      <c r="A303" s="1"/>
      <c r="B303" s="1"/>
    </row>
    <row r="304" spans="1:2" x14ac:dyDescent="0.2">
      <c r="A304" s="1"/>
      <c r="B304" s="1"/>
    </row>
    <row r="305" spans="1:2" x14ac:dyDescent="0.2">
      <c r="A305" s="1"/>
      <c r="B305" s="1"/>
    </row>
    <row r="306" spans="1:2" x14ac:dyDescent="0.2">
      <c r="A306" s="1"/>
      <c r="B306" s="1"/>
    </row>
    <row r="307" spans="1:2" x14ac:dyDescent="0.2">
      <c r="A307" s="1"/>
      <c r="B307" s="1"/>
    </row>
    <row r="308" spans="1:2" x14ac:dyDescent="0.2">
      <c r="A308" s="1"/>
      <c r="B308" s="1"/>
    </row>
    <row r="309" spans="1:2" x14ac:dyDescent="0.2">
      <c r="A309" s="1"/>
      <c r="B309" s="1"/>
    </row>
    <row r="310" spans="1:2" x14ac:dyDescent="0.2">
      <c r="A310" s="1"/>
      <c r="B310" s="1"/>
    </row>
    <row r="311" spans="1:2" x14ac:dyDescent="0.2">
      <c r="A311" s="1"/>
      <c r="B311" s="1"/>
    </row>
    <row r="312" spans="1:2" x14ac:dyDescent="0.2">
      <c r="A312" s="1"/>
      <c r="B312" s="1"/>
    </row>
    <row r="313" spans="1:2" x14ac:dyDescent="0.2">
      <c r="A313" s="1"/>
      <c r="B313" s="1"/>
    </row>
    <row r="314" spans="1:2" x14ac:dyDescent="0.2">
      <c r="A314" s="1"/>
      <c r="B314" s="1"/>
    </row>
    <row r="315" spans="1:2" x14ac:dyDescent="0.2">
      <c r="A315" s="1"/>
      <c r="B315" s="1"/>
    </row>
    <row r="316" spans="1:2" x14ac:dyDescent="0.2">
      <c r="A316" s="1"/>
      <c r="B316" s="1"/>
    </row>
    <row r="317" spans="1:2" x14ac:dyDescent="0.2">
      <c r="A317" s="1"/>
      <c r="B317" s="1"/>
    </row>
    <row r="318" spans="1:2" x14ac:dyDescent="0.2">
      <c r="A318" s="1"/>
      <c r="B318" s="1"/>
    </row>
    <row r="319" spans="1:2" x14ac:dyDescent="0.2">
      <c r="A319" s="1"/>
      <c r="B319" s="1"/>
    </row>
    <row r="320" spans="1:2" x14ac:dyDescent="0.2">
      <c r="A320" s="1"/>
      <c r="B320" s="1"/>
    </row>
    <row r="321" spans="1:2" x14ac:dyDescent="0.2">
      <c r="A321" s="1"/>
      <c r="B321" s="1"/>
    </row>
    <row r="322" spans="1:2" x14ac:dyDescent="0.2">
      <c r="A322" s="1"/>
      <c r="B322" s="1"/>
    </row>
    <row r="323" spans="1:2" x14ac:dyDescent="0.2">
      <c r="A323" s="1"/>
      <c r="B323" s="1"/>
    </row>
    <row r="324" spans="1:2" x14ac:dyDescent="0.2">
      <c r="A324" s="1"/>
      <c r="B324" s="1"/>
    </row>
    <row r="325" spans="1:2" x14ac:dyDescent="0.2">
      <c r="A325" s="1"/>
      <c r="B325" s="1"/>
    </row>
    <row r="326" spans="1:2" x14ac:dyDescent="0.2">
      <c r="A326" s="1"/>
      <c r="B326" s="1"/>
    </row>
    <row r="327" spans="1:2" x14ac:dyDescent="0.2">
      <c r="A327" s="1"/>
      <c r="B327" s="1"/>
    </row>
    <row r="328" spans="1:2" x14ac:dyDescent="0.2">
      <c r="A328" s="1"/>
      <c r="B328" s="1"/>
    </row>
    <row r="329" spans="1:2" x14ac:dyDescent="0.2">
      <c r="A329" s="1"/>
      <c r="B329" s="1"/>
    </row>
    <row r="330" spans="1:2" x14ac:dyDescent="0.2">
      <c r="A330" s="1"/>
      <c r="B330" s="1"/>
    </row>
    <row r="331" spans="1:2" x14ac:dyDescent="0.2">
      <c r="A331" s="1"/>
      <c r="B331" s="1"/>
    </row>
    <row r="332" spans="1:2" x14ac:dyDescent="0.2">
      <c r="A332" s="1"/>
      <c r="B332" s="1"/>
    </row>
    <row r="333" spans="1:2" x14ac:dyDescent="0.2">
      <c r="A333" s="1"/>
      <c r="B333" s="1"/>
    </row>
    <row r="334" spans="1:2" x14ac:dyDescent="0.2">
      <c r="A334" s="1"/>
      <c r="B334" s="1"/>
    </row>
    <row r="335" spans="1:2" x14ac:dyDescent="0.2">
      <c r="A335" s="1"/>
      <c r="B335" s="1"/>
    </row>
    <row r="336" spans="1:2" x14ac:dyDescent="0.2">
      <c r="A336" s="1"/>
      <c r="B336" s="1"/>
    </row>
    <row r="337" spans="1:2" x14ac:dyDescent="0.2">
      <c r="A337" s="1"/>
      <c r="B337" s="1"/>
    </row>
    <row r="338" spans="1:2" x14ac:dyDescent="0.2">
      <c r="A338" s="1"/>
      <c r="B338" s="1"/>
    </row>
    <row r="339" spans="1:2" x14ac:dyDescent="0.2">
      <c r="A339" s="1"/>
      <c r="B339" s="1"/>
    </row>
    <row r="340" spans="1:2" x14ac:dyDescent="0.2">
      <c r="A340" s="1"/>
      <c r="B340" s="1"/>
    </row>
    <row r="341" spans="1:2" x14ac:dyDescent="0.2">
      <c r="A341" s="1"/>
      <c r="B341" s="1"/>
    </row>
    <row r="342" spans="1:2" x14ac:dyDescent="0.2">
      <c r="A342" s="1"/>
      <c r="B342" s="1"/>
    </row>
    <row r="343" spans="1:2" x14ac:dyDescent="0.2">
      <c r="A343" s="1"/>
      <c r="B343" s="1"/>
    </row>
    <row r="344" spans="1:2" x14ac:dyDescent="0.2">
      <c r="A344" s="1"/>
      <c r="B344" s="1"/>
    </row>
    <row r="345" spans="1:2" x14ac:dyDescent="0.2">
      <c r="A345" s="1"/>
      <c r="B345" s="1"/>
    </row>
    <row r="346" spans="1:2" x14ac:dyDescent="0.2">
      <c r="A346" s="1"/>
      <c r="B346" s="1"/>
    </row>
    <row r="347" spans="1:2" x14ac:dyDescent="0.2">
      <c r="A347" s="1"/>
      <c r="B347" s="1"/>
    </row>
    <row r="348" spans="1:2" x14ac:dyDescent="0.2">
      <c r="A348" s="1"/>
      <c r="B348" s="1"/>
    </row>
    <row r="349" spans="1:2" x14ac:dyDescent="0.2">
      <c r="A349" s="1"/>
      <c r="B349" s="1"/>
    </row>
    <row r="350" spans="1:2" x14ac:dyDescent="0.2">
      <c r="A350" s="1"/>
      <c r="B350" s="1"/>
    </row>
    <row r="351" spans="1:2" x14ac:dyDescent="0.2">
      <c r="A351" s="1"/>
      <c r="B351" s="1"/>
    </row>
    <row r="352" spans="1:2" x14ac:dyDescent="0.2">
      <c r="A352" s="1"/>
      <c r="B352" s="1"/>
    </row>
    <row r="353" spans="1:2" x14ac:dyDescent="0.2">
      <c r="A353" s="1"/>
      <c r="B353" s="1"/>
    </row>
    <row r="354" spans="1:2" x14ac:dyDescent="0.2">
      <c r="A354" s="1"/>
      <c r="B354" s="1"/>
    </row>
    <row r="355" spans="1:2" x14ac:dyDescent="0.2">
      <c r="A355" s="1"/>
      <c r="B355" s="1"/>
    </row>
    <row r="356" spans="1:2" x14ac:dyDescent="0.2">
      <c r="A356" s="1"/>
      <c r="B356" s="1"/>
    </row>
    <row r="357" spans="1:2" x14ac:dyDescent="0.2">
      <c r="A357" s="1"/>
      <c r="B357" s="1"/>
    </row>
    <row r="358" spans="1:2" x14ac:dyDescent="0.2">
      <c r="A358" s="1"/>
      <c r="B358" s="1"/>
    </row>
    <row r="359" spans="1:2" x14ac:dyDescent="0.2">
      <c r="A359" s="1"/>
      <c r="B359" s="1"/>
    </row>
    <row r="360" spans="1:2" x14ac:dyDescent="0.2">
      <c r="A360" s="1"/>
      <c r="B360" s="1"/>
    </row>
    <row r="361" spans="1:2" x14ac:dyDescent="0.2">
      <c r="A361" s="1"/>
      <c r="B361" s="1"/>
    </row>
    <row r="362" spans="1:2" x14ac:dyDescent="0.2">
      <c r="A362" s="1"/>
      <c r="B362" s="1"/>
    </row>
    <row r="363" spans="1:2" x14ac:dyDescent="0.2">
      <c r="A363" s="1"/>
      <c r="B363" s="1"/>
    </row>
    <row r="364" spans="1:2" x14ac:dyDescent="0.2">
      <c r="A364" s="1"/>
      <c r="B364" s="1"/>
    </row>
    <row r="365" spans="1:2" x14ac:dyDescent="0.2">
      <c r="A365" s="1"/>
      <c r="B365" s="1"/>
    </row>
    <row r="366" spans="1:2" x14ac:dyDescent="0.2">
      <c r="A366" s="1"/>
      <c r="B366" s="1"/>
    </row>
    <row r="367" spans="1:2" x14ac:dyDescent="0.2">
      <c r="A367" s="1"/>
      <c r="B367" s="1"/>
    </row>
    <row r="368" spans="1:2" x14ac:dyDescent="0.2">
      <c r="A368" s="1"/>
      <c r="B368" s="1"/>
    </row>
    <row r="369" spans="1:2" x14ac:dyDescent="0.2">
      <c r="A369" s="1"/>
      <c r="B369" s="1"/>
    </row>
    <row r="370" spans="1:2" x14ac:dyDescent="0.2">
      <c r="A370" s="1"/>
      <c r="B370" s="1"/>
    </row>
    <row r="371" spans="1:2" x14ac:dyDescent="0.2">
      <c r="A371" s="1"/>
      <c r="B371" s="1"/>
    </row>
    <row r="372" spans="1:2" x14ac:dyDescent="0.2">
      <c r="A372" s="1"/>
      <c r="B372" s="1"/>
    </row>
    <row r="373" spans="1:2" x14ac:dyDescent="0.2">
      <c r="A373" s="1"/>
      <c r="B373" s="1"/>
    </row>
    <row r="374" spans="1:2" x14ac:dyDescent="0.2">
      <c r="A374" s="1"/>
      <c r="B374" s="1"/>
    </row>
    <row r="375" spans="1:2" x14ac:dyDescent="0.2">
      <c r="A375" s="1"/>
      <c r="B375" s="1"/>
    </row>
    <row r="376" spans="1:2" x14ac:dyDescent="0.2">
      <c r="A376" s="1"/>
      <c r="B376" s="1"/>
    </row>
    <row r="377" spans="1:2" x14ac:dyDescent="0.2">
      <c r="A377" s="1"/>
      <c r="B377" s="1"/>
    </row>
    <row r="378" spans="1:2" x14ac:dyDescent="0.2">
      <c r="A378" s="1"/>
      <c r="B378" s="1"/>
    </row>
    <row r="379" spans="1:2" x14ac:dyDescent="0.2">
      <c r="A379" s="1"/>
      <c r="B379" s="1"/>
    </row>
    <row r="380" spans="1:2" x14ac:dyDescent="0.2">
      <c r="A380" s="1"/>
      <c r="B380" s="1"/>
    </row>
    <row r="381" spans="1:2" x14ac:dyDescent="0.2">
      <c r="A381" s="1"/>
      <c r="B381" s="1"/>
    </row>
    <row r="382" spans="1:2" x14ac:dyDescent="0.2">
      <c r="A382" s="1"/>
      <c r="B382" s="1"/>
    </row>
    <row r="383" spans="1:2" x14ac:dyDescent="0.2">
      <c r="A383" s="1"/>
      <c r="B383" s="1"/>
    </row>
    <row r="384" spans="1:2" x14ac:dyDescent="0.2">
      <c r="A384" s="1"/>
      <c r="B384" s="1"/>
    </row>
    <row r="385" spans="1:2" x14ac:dyDescent="0.2">
      <c r="A385" s="1"/>
      <c r="B385" s="1"/>
    </row>
    <row r="386" spans="1:2" x14ac:dyDescent="0.2">
      <c r="A386" s="1"/>
      <c r="B386" s="1"/>
    </row>
    <row r="387" spans="1:2" x14ac:dyDescent="0.2">
      <c r="A387" s="1"/>
      <c r="B387" s="1"/>
    </row>
    <row r="388" spans="1:2" x14ac:dyDescent="0.2">
      <c r="A388" s="1"/>
      <c r="B388" s="1"/>
    </row>
    <row r="389" spans="1:2" x14ac:dyDescent="0.2">
      <c r="A389" s="1"/>
      <c r="B389" s="1"/>
    </row>
    <row r="390" spans="1:2" x14ac:dyDescent="0.2">
      <c r="A390" s="1"/>
      <c r="B390" s="1"/>
    </row>
    <row r="391" spans="1:2" x14ac:dyDescent="0.2">
      <c r="A391" s="1"/>
      <c r="B391" s="1"/>
    </row>
    <row r="392" spans="1:2" x14ac:dyDescent="0.2">
      <c r="A392" s="1"/>
      <c r="B392" s="1"/>
    </row>
    <row r="393" spans="1:2" x14ac:dyDescent="0.2">
      <c r="A393" s="1"/>
      <c r="B393" s="1"/>
    </row>
    <row r="394" spans="1:2" x14ac:dyDescent="0.2">
      <c r="A394" s="1"/>
      <c r="B394" s="1"/>
    </row>
    <row r="395" spans="1:2" x14ac:dyDescent="0.2">
      <c r="A395" s="1"/>
      <c r="B395" s="1"/>
    </row>
    <row r="396" spans="1:2" x14ac:dyDescent="0.2">
      <c r="A396" s="1"/>
      <c r="B396" s="1"/>
    </row>
    <row r="397" spans="1:2" x14ac:dyDescent="0.2">
      <c r="A397" s="1"/>
      <c r="B397" s="1"/>
    </row>
    <row r="398" spans="1:2" x14ac:dyDescent="0.2">
      <c r="A398" s="1"/>
      <c r="B398" s="1"/>
    </row>
    <row r="399" spans="1:2" x14ac:dyDescent="0.2">
      <c r="A399" s="1"/>
      <c r="B399" s="1"/>
    </row>
    <row r="400" spans="1:2" x14ac:dyDescent="0.2">
      <c r="A400" s="1"/>
      <c r="B400" s="1"/>
    </row>
    <row r="401" spans="1:2" x14ac:dyDescent="0.2">
      <c r="A401" s="1"/>
      <c r="B401" s="1"/>
    </row>
    <row r="402" spans="1:2" x14ac:dyDescent="0.2">
      <c r="A402" s="1"/>
      <c r="B402" s="1"/>
    </row>
    <row r="403" spans="1:2" x14ac:dyDescent="0.2">
      <c r="A403" s="1"/>
      <c r="B403" s="1"/>
    </row>
    <row r="404" spans="1:2" x14ac:dyDescent="0.2">
      <c r="A404" s="1"/>
      <c r="B404" s="1"/>
    </row>
    <row r="405" spans="1:2" x14ac:dyDescent="0.2">
      <c r="A405" s="1"/>
      <c r="B405" s="1"/>
    </row>
    <row r="406" spans="1:2" x14ac:dyDescent="0.2">
      <c r="A406" s="1"/>
      <c r="B406" s="1"/>
    </row>
    <row r="407" spans="1:2" x14ac:dyDescent="0.2">
      <c r="A407" s="1"/>
      <c r="B407" s="1"/>
    </row>
    <row r="408" spans="1:2" x14ac:dyDescent="0.2">
      <c r="A408" s="1"/>
      <c r="B408" s="1"/>
    </row>
    <row r="409" spans="1:2" x14ac:dyDescent="0.2">
      <c r="A409" s="1"/>
      <c r="B409" s="1"/>
    </row>
    <row r="410" spans="1:2" x14ac:dyDescent="0.2">
      <c r="A410" s="1"/>
      <c r="B410" s="1"/>
    </row>
    <row r="411" spans="1:2" x14ac:dyDescent="0.2">
      <c r="A411" s="1"/>
      <c r="B411" s="1"/>
    </row>
  </sheetData>
  <autoFilter ref="A111:G198">
    <filterColumn colId="2" showButton="0"/>
    <filterColumn colId="3" showButton="0"/>
    <filterColumn colId="4" showButton="0"/>
    <filterColumn colId="5" showButton="0"/>
  </autoFilter>
  <mergeCells count="26">
    <mergeCell ref="A107:G107"/>
    <mergeCell ref="A108:G108"/>
    <mergeCell ref="A111:A113"/>
    <mergeCell ref="B111:B113"/>
    <mergeCell ref="C111:G111"/>
    <mergeCell ref="C112:C113"/>
    <mergeCell ref="D112:D113"/>
    <mergeCell ref="F112:F113"/>
    <mergeCell ref="G112:G113"/>
    <mergeCell ref="E112:E113"/>
    <mergeCell ref="A109:G109"/>
    <mergeCell ref="A105:G105"/>
    <mergeCell ref="A106:G106"/>
    <mergeCell ref="A7:A9"/>
    <mergeCell ref="B7:B9"/>
    <mergeCell ref="C7:G7"/>
    <mergeCell ref="C8:C9"/>
    <mergeCell ref="D8:D9"/>
    <mergeCell ref="F8:F9"/>
    <mergeCell ref="A1:G1"/>
    <mergeCell ref="A2:G2"/>
    <mergeCell ref="A3:G3"/>
    <mergeCell ref="A4:G4"/>
    <mergeCell ref="G8:G9"/>
    <mergeCell ref="E8:E9"/>
    <mergeCell ref="A5:G5"/>
  </mergeCells>
  <phoneticPr fontId="5" type="noConversion"/>
  <printOptions horizontalCentered="1"/>
  <pageMargins left="0.51181102362204722" right="0.11811023622047245" top="0.43307086614173229" bottom="0.51181102362204722" header="0" footer="0"/>
  <pageSetup scale="75" orientation="portrait" horizontalDpi="4294967294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3:L149"/>
  <sheetViews>
    <sheetView showGridLines="0" topLeftCell="A106" workbookViewId="0">
      <selection activeCell="B1" sqref="B1"/>
    </sheetView>
  </sheetViews>
  <sheetFormatPr baseColWidth="10" defaultRowHeight="12.75" x14ac:dyDescent="0.2"/>
  <cols>
    <col min="1" max="1" width="9.5703125" style="2" customWidth="1"/>
    <col min="2" max="2" width="35.5703125" style="2" customWidth="1"/>
    <col min="3" max="3" width="14.140625" style="9" customWidth="1"/>
    <col min="4" max="4" width="13.28515625" style="9" customWidth="1"/>
    <col min="5" max="5" width="12.28515625" style="2" hidden="1" customWidth="1"/>
    <col min="6" max="7" width="0" style="2" hidden="1" customWidth="1"/>
    <col min="8" max="8" width="13.28515625" style="2" customWidth="1"/>
    <col min="9" max="9" width="12.85546875" style="2" bestFit="1" customWidth="1"/>
    <col min="10" max="16384" width="11.42578125" style="2"/>
  </cols>
  <sheetData>
    <row r="3" spans="1:9" x14ac:dyDescent="0.2">
      <c r="A3" s="1074" t="s">
        <v>112</v>
      </c>
      <c r="B3" s="1074"/>
      <c r="C3" s="1074"/>
      <c r="D3" s="1074"/>
      <c r="E3" s="1074"/>
      <c r="F3" s="1074"/>
      <c r="G3" s="1074"/>
      <c r="H3" s="1074"/>
    </row>
    <row r="4" spans="1:9" x14ac:dyDescent="0.2">
      <c r="A4" s="1075" t="s">
        <v>113</v>
      </c>
      <c r="B4" s="1075"/>
      <c r="C4" s="1075"/>
      <c r="D4" s="1075"/>
      <c r="E4" s="1075"/>
      <c r="F4" s="1075"/>
      <c r="G4" s="1075"/>
      <c r="H4" s="1075"/>
    </row>
    <row r="5" spans="1:9" x14ac:dyDescent="0.2">
      <c r="A5" s="1075" t="s">
        <v>695</v>
      </c>
      <c r="B5" s="1075"/>
      <c r="C5" s="1075"/>
      <c r="D5" s="1075"/>
      <c r="E5" s="1075"/>
      <c r="F5" s="1075"/>
      <c r="G5" s="1075"/>
      <c r="H5" s="1075"/>
    </row>
    <row r="6" spans="1:9" x14ac:dyDescent="0.2">
      <c r="A6" s="641"/>
      <c r="B6" s="642"/>
      <c r="C6" s="642"/>
      <c r="D6" s="642"/>
      <c r="E6" s="642"/>
      <c r="F6" s="642"/>
      <c r="G6" s="642"/>
      <c r="H6" s="642"/>
    </row>
    <row r="7" spans="1:9" x14ac:dyDescent="0.2">
      <c r="A7" s="1079" t="s">
        <v>476</v>
      </c>
      <c r="B7" s="1079"/>
      <c r="C7" s="1079"/>
      <c r="D7" s="1079"/>
      <c r="E7" s="1079"/>
      <c r="F7" s="1079"/>
      <c r="G7" s="1079"/>
      <c r="H7" s="1079"/>
    </row>
    <row r="8" spans="1:9" x14ac:dyDescent="0.2">
      <c r="A8" s="1079" t="s">
        <v>605</v>
      </c>
      <c r="B8" s="1079"/>
      <c r="C8" s="1079"/>
      <c r="D8" s="1079"/>
      <c r="E8" s="1079"/>
      <c r="F8" s="1079"/>
      <c r="G8" s="1079"/>
      <c r="H8" s="1079"/>
    </row>
    <row r="9" spans="1:9" x14ac:dyDescent="0.2">
      <c r="A9" s="1079" t="s">
        <v>114</v>
      </c>
      <c r="B9" s="1079"/>
      <c r="C9" s="1079"/>
      <c r="D9" s="1079"/>
      <c r="E9" s="1079"/>
      <c r="F9" s="1079"/>
      <c r="G9" s="1079"/>
      <c r="H9" s="1079"/>
    </row>
    <row r="10" spans="1:9" x14ac:dyDescent="0.2">
      <c r="A10" s="1079" t="s">
        <v>115</v>
      </c>
      <c r="B10" s="1079"/>
      <c r="C10" s="1079"/>
      <c r="D10" s="1079"/>
      <c r="E10" s="1079"/>
      <c r="F10" s="1079"/>
      <c r="G10" s="1079"/>
      <c r="H10" s="1079"/>
    </row>
    <row r="11" spans="1:9" ht="13.5" thickBot="1" x14ac:dyDescent="0.25">
      <c r="A11" s="1079" t="s">
        <v>116</v>
      </c>
      <c r="B11" s="1079"/>
      <c r="C11" s="1079"/>
      <c r="D11" s="1079"/>
      <c r="E11" s="1079"/>
      <c r="F11" s="1079"/>
      <c r="G11" s="1079"/>
      <c r="H11" s="1079"/>
    </row>
    <row r="12" spans="1:9" ht="13.5" thickBot="1" x14ac:dyDescent="0.25">
      <c r="A12" s="1076" t="s">
        <v>117</v>
      </c>
      <c r="B12" s="1076"/>
      <c r="C12" s="989" t="s">
        <v>118</v>
      </c>
      <c r="D12" s="989"/>
      <c r="E12" s="989"/>
      <c r="F12" s="989"/>
      <c r="G12" s="989"/>
      <c r="H12" s="1077" t="s">
        <v>27</v>
      </c>
    </row>
    <row r="13" spans="1:9" ht="23.25" thickBot="1" x14ac:dyDescent="0.25">
      <c r="A13" s="725" t="s">
        <v>119</v>
      </c>
      <c r="B13" s="725" t="s">
        <v>120</v>
      </c>
      <c r="C13" s="825" t="s">
        <v>121</v>
      </c>
      <c r="D13" s="825" t="s">
        <v>122</v>
      </c>
      <c r="E13" s="826" t="s">
        <v>2</v>
      </c>
      <c r="F13" s="826" t="s">
        <v>3</v>
      </c>
      <c r="G13" s="826" t="s">
        <v>123</v>
      </c>
      <c r="H13" s="1078"/>
    </row>
    <row r="14" spans="1:9" x14ac:dyDescent="0.2">
      <c r="A14" s="841">
        <v>51</v>
      </c>
      <c r="B14" s="827" t="s">
        <v>124</v>
      </c>
      <c r="C14" s="815">
        <f>C15+C22+C27+C30+C33+C36+C39+C42+C44</f>
        <v>192125.7023</v>
      </c>
      <c r="D14" s="420">
        <f>D15+D22+D27+D30+D33+D36+D39+D42+D44</f>
        <v>191625.7023</v>
      </c>
      <c r="E14" s="14"/>
      <c r="F14" s="14"/>
      <c r="G14" s="794"/>
      <c r="H14" s="806">
        <f>SUM(C14:G14)</f>
        <v>383751.40460000001</v>
      </c>
      <c r="I14" s="8"/>
    </row>
    <row r="15" spans="1:9" x14ac:dyDescent="0.2">
      <c r="A15" s="842">
        <v>511</v>
      </c>
      <c r="B15" s="828" t="s">
        <v>125</v>
      </c>
      <c r="C15" s="816">
        <f>SUM(C16:C21)</f>
        <v>163827.91500000001</v>
      </c>
      <c r="D15" s="421">
        <f>SUM(D16:D21)</f>
        <v>163827.91500000001</v>
      </c>
      <c r="E15" s="15"/>
      <c r="F15" s="15"/>
      <c r="G15" s="795"/>
      <c r="H15" s="807">
        <f>SUM(C15:G15)</f>
        <v>327655.83</v>
      </c>
      <c r="I15" s="8"/>
    </row>
    <row r="16" spans="1:9" x14ac:dyDescent="0.2">
      <c r="A16" s="843" t="s">
        <v>126</v>
      </c>
      <c r="B16" s="829" t="s">
        <v>127</v>
      </c>
      <c r="C16" s="817">
        <f>('PLLA MUNICIPAL LEY SAL'!H73/2)</f>
        <v>115752.12</v>
      </c>
      <c r="D16" s="422">
        <f>C16</f>
        <v>115752.12</v>
      </c>
      <c r="E16" s="16"/>
      <c r="F16" s="16"/>
      <c r="G16" s="796"/>
      <c r="H16" s="808">
        <f>SUM(C16:G16)</f>
        <v>231504.24</v>
      </c>
      <c r="I16" s="67"/>
    </row>
    <row r="17" spans="1:12" x14ac:dyDescent="0.2">
      <c r="A17" s="789">
        <v>51102</v>
      </c>
      <c r="B17" s="830" t="s">
        <v>128</v>
      </c>
      <c r="C17" s="817">
        <v>0</v>
      </c>
      <c r="D17" s="423">
        <v>0</v>
      </c>
      <c r="E17" s="16"/>
      <c r="F17" s="16"/>
      <c r="G17" s="796"/>
      <c r="H17" s="808">
        <f t="shared" ref="H17:H77" si="0">SUM(C17:G17)</f>
        <v>0</v>
      </c>
      <c r="I17" s="8"/>
    </row>
    <row r="18" spans="1:12" x14ac:dyDescent="0.2">
      <c r="A18" s="789">
        <v>51103</v>
      </c>
      <c r="B18" s="829" t="s">
        <v>129</v>
      </c>
      <c r="C18" s="817">
        <f>'PLLA MUNICIPAL LEY SAL'!I73/2</f>
        <v>9646.01</v>
      </c>
      <c r="D18" s="423">
        <f>C18</f>
        <v>9646.01</v>
      </c>
      <c r="E18" s="17"/>
      <c r="F18" s="17"/>
      <c r="G18" s="797"/>
      <c r="H18" s="808">
        <f t="shared" si="0"/>
        <v>19292.02</v>
      </c>
      <c r="I18" s="8"/>
    </row>
    <row r="19" spans="1:12" hidden="1" x14ac:dyDescent="0.2">
      <c r="A19" s="789">
        <v>51104</v>
      </c>
      <c r="B19" s="829" t="s">
        <v>130</v>
      </c>
      <c r="C19" s="817"/>
      <c r="D19" s="423"/>
      <c r="E19" s="16"/>
      <c r="F19" s="16"/>
      <c r="G19" s="796"/>
      <c r="H19" s="808">
        <f t="shared" si="0"/>
        <v>0</v>
      </c>
    </row>
    <row r="20" spans="1:12" x14ac:dyDescent="0.2">
      <c r="A20" s="843" t="s">
        <v>131</v>
      </c>
      <c r="B20" s="829" t="s">
        <v>132</v>
      </c>
      <c r="C20" s="817">
        <f>+'PLLA DIETAS'!D20/2</f>
        <v>33000</v>
      </c>
      <c r="D20" s="423">
        <f>C20</f>
        <v>33000</v>
      </c>
      <c r="E20" s="16"/>
      <c r="F20" s="16"/>
      <c r="G20" s="796"/>
      <c r="H20" s="808">
        <f t="shared" si="0"/>
        <v>66000</v>
      </c>
      <c r="I20" s="8"/>
    </row>
    <row r="21" spans="1:12" x14ac:dyDescent="0.2">
      <c r="A21" s="843" t="s">
        <v>133</v>
      </c>
      <c r="B21" s="829" t="s">
        <v>134</v>
      </c>
      <c r="C21" s="817">
        <f>('PLLA DIETAS'!E20+'PLLA MUNICIPAL HONORARIOS'!J9+(328.57*4)+(450*2)+(1*334.29)+(6*300)+(55*4))/2</f>
        <v>5429.7849999999999</v>
      </c>
      <c r="D21" s="423">
        <f>C21</f>
        <v>5429.7849999999999</v>
      </c>
      <c r="E21" s="17"/>
      <c r="F21" s="17"/>
      <c r="G21" s="797"/>
      <c r="H21" s="808">
        <f t="shared" si="0"/>
        <v>10859.57</v>
      </c>
      <c r="I21" s="8"/>
      <c r="J21" s="8"/>
    </row>
    <row r="22" spans="1:12" hidden="1" x14ac:dyDescent="0.2">
      <c r="A22" s="791" t="s">
        <v>135</v>
      </c>
      <c r="B22" s="831" t="s">
        <v>136</v>
      </c>
      <c r="C22" s="816">
        <v>0</v>
      </c>
      <c r="D22" s="421">
        <v>0</v>
      </c>
      <c r="E22" s="11"/>
      <c r="F22" s="11"/>
      <c r="G22" s="798"/>
      <c r="H22" s="809">
        <f t="shared" si="0"/>
        <v>0</v>
      </c>
      <c r="I22" s="8"/>
    </row>
    <row r="23" spans="1:12" hidden="1" x14ac:dyDescent="0.2">
      <c r="A23" s="843" t="s">
        <v>137</v>
      </c>
      <c r="B23" s="829" t="s">
        <v>127</v>
      </c>
      <c r="C23" s="817">
        <v>0</v>
      </c>
      <c r="D23" s="422">
        <v>0</v>
      </c>
      <c r="E23" s="11"/>
      <c r="F23" s="11"/>
      <c r="G23" s="798"/>
      <c r="H23" s="808">
        <f t="shared" si="0"/>
        <v>0</v>
      </c>
      <c r="J23" s="8"/>
    </row>
    <row r="24" spans="1:12" hidden="1" x14ac:dyDescent="0.2">
      <c r="A24" s="789">
        <v>51202</v>
      </c>
      <c r="B24" s="830" t="s">
        <v>138</v>
      </c>
      <c r="C24" s="817">
        <v>0</v>
      </c>
      <c r="D24" s="422">
        <v>0</v>
      </c>
      <c r="E24" s="12"/>
      <c r="F24" s="12"/>
      <c r="G24" s="799"/>
      <c r="H24" s="808">
        <f t="shared" si="0"/>
        <v>0</v>
      </c>
    </row>
    <row r="25" spans="1:12" hidden="1" x14ac:dyDescent="0.2">
      <c r="A25" s="843" t="s">
        <v>139</v>
      </c>
      <c r="B25" s="829" t="s">
        <v>129</v>
      </c>
      <c r="C25" s="817"/>
      <c r="D25" s="423"/>
      <c r="E25" s="16"/>
      <c r="F25" s="16"/>
      <c r="G25" s="796"/>
      <c r="H25" s="808">
        <f t="shared" si="0"/>
        <v>0</v>
      </c>
      <c r="L25" s="170"/>
    </row>
    <row r="26" spans="1:12" hidden="1" x14ac:dyDescent="0.2">
      <c r="A26" s="843" t="s">
        <v>140</v>
      </c>
      <c r="B26" s="829" t="s">
        <v>134</v>
      </c>
      <c r="C26" s="817"/>
      <c r="D26" s="422"/>
      <c r="E26" s="17"/>
      <c r="F26" s="17"/>
      <c r="G26" s="797"/>
      <c r="H26" s="808">
        <f t="shared" si="0"/>
        <v>0</v>
      </c>
    </row>
    <row r="27" spans="1:12" x14ac:dyDescent="0.2">
      <c r="A27" s="791" t="s">
        <v>141</v>
      </c>
      <c r="B27" s="832" t="s">
        <v>142</v>
      </c>
      <c r="C27" s="816">
        <f>SUM(C28:C29)</f>
        <v>500</v>
      </c>
      <c r="D27" s="421">
        <f>SUM(D28:D29)</f>
        <v>0</v>
      </c>
      <c r="E27" s="16"/>
      <c r="F27" s="16"/>
      <c r="G27" s="796"/>
      <c r="H27" s="809">
        <f t="shared" si="0"/>
        <v>500</v>
      </c>
      <c r="J27" s="241"/>
    </row>
    <row r="28" spans="1:12" x14ac:dyDescent="0.2">
      <c r="A28" s="789">
        <v>51301</v>
      </c>
      <c r="B28" s="830" t="s">
        <v>143</v>
      </c>
      <c r="C28" s="817">
        <v>500</v>
      </c>
      <c r="D28" s="423">
        <v>0</v>
      </c>
      <c r="E28" s="17"/>
      <c r="F28" s="17"/>
      <c r="G28" s="797"/>
      <c r="H28" s="808">
        <f t="shared" si="0"/>
        <v>500</v>
      </c>
      <c r="J28" s="241"/>
    </row>
    <row r="29" spans="1:12" hidden="1" x14ac:dyDescent="0.2">
      <c r="A29" s="789">
        <v>51302</v>
      </c>
      <c r="B29" s="830" t="s">
        <v>144</v>
      </c>
      <c r="C29" s="817"/>
      <c r="D29" s="423"/>
      <c r="E29" s="11"/>
      <c r="F29" s="11"/>
      <c r="G29" s="798"/>
      <c r="H29" s="808">
        <f t="shared" si="0"/>
        <v>0</v>
      </c>
      <c r="J29" s="241"/>
    </row>
    <row r="30" spans="1:12" ht="22.5" x14ac:dyDescent="0.2">
      <c r="A30" s="842">
        <v>514</v>
      </c>
      <c r="B30" s="832" t="s">
        <v>145</v>
      </c>
      <c r="C30" s="816">
        <f>SUM(C31:C32)</f>
        <v>10984.0905</v>
      </c>
      <c r="D30" s="421">
        <f>SUM(D31:D32)</f>
        <v>10984.0905</v>
      </c>
      <c r="E30" s="11"/>
      <c r="F30" s="11"/>
      <c r="G30" s="798"/>
      <c r="H30" s="809">
        <f t="shared" si="0"/>
        <v>21968.181</v>
      </c>
      <c r="I30" s="8"/>
      <c r="J30" s="241"/>
    </row>
    <row r="31" spans="1:12" x14ac:dyDescent="0.2">
      <c r="A31" s="843" t="s">
        <v>146</v>
      </c>
      <c r="B31" s="829" t="s">
        <v>147</v>
      </c>
      <c r="C31" s="817">
        <f>('PLLA MUNICIPAL LEY SAL'!L73/2)+('PLLA DIETAS'!G20/2)</f>
        <v>10984.0905</v>
      </c>
      <c r="D31" s="423">
        <f>C31</f>
        <v>10984.0905</v>
      </c>
      <c r="E31" s="12"/>
      <c r="F31" s="12"/>
      <c r="G31" s="799"/>
      <c r="H31" s="808">
        <f t="shared" si="0"/>
        <v>21968.181</v>
      </c>
      <c r="I31" s="8"/>
      <c r="J31" s="241"/>
    </row>
    <row r="32" spans="1:12" hidden="1" x14ac:dyDescent="0.2">
      <c r="A32" s="843" t="s">
        <v>148</v>
      </c>
      <c r="B32" s="829" t="s">
        <v>149</v>
      </c>
      <c r="C32" s="817"/>
      <c r="D32" s="423"/>
      <c r="E32" s="11"/>
      <c r="F32" s="11"/>
      <c r="G32" s="798"/>
      <c r="H32" s="808">
        <f t="shared" si="0"/>
        <v>0</v>
      </c>
      <c r="J32" s="241"/>
    </row>
    <row r="33" spans="1:10" ht="22.5" x14ac:dyDescent="0.2">
      <c r="A33" s="842">
        <v>515</v>
      </c>
      <c r="B33" s="832" t="s">
        <v>150</v>
      </c>
      <c r="C33" s="816">
        <f>SUM(C34:C35)</f>
        <v>8467.6967999999997</v>
      </c>
      <c r="D33" s="421">
        <f>SUM(D34:D35)</f>
        <v>8467.6967999999997</v>
      </c>
      <c r="E33" s="11"/>
      <c r="F33" s="11"/>
      <c r="G33" s="798"/>
      <c r="H33" s="810">
        <f t="shared" si="0"/>
        <v>16935.393599999999</v>
      </c>
      <c r="I33" s="8"/>
      <c r="J33" s="241"/>
    </row>
    <row r="34" spans="1:10" x14ac:dyDescent="0.2">
      <c r="A34" s="843" t="s">
        <v>151</v>
      </c>
      <c r="B34" s="829" t="s">
        <v>147</v>
      </c>
      <c r="C34" s="817">
        <f>('PLLA MUNICIPAL LEY SAL'!J73+'PLLA MUNICIPAL LEY SAL'!K73)/2+'PLLA DIETAS'!F20/2</f>
        <v>8467.6967999999997</v>
      </c>
      <c r="D34" s="422">
        <f>C34</f>
        <v>8467.6967999999997</v>
      </c>
      <c r="E34" s="17"/>
      <c r="F34" s="17"/>
      <c r="G34" s="797"/>
      <c r="H34" s="808">
        <f t="shared" si="0"/>
        <v>16935.393599999999</v>
      </c>
      <c r="J34" s="241"/>
    </row>
    <row r="35" spans="1:10" hidden="1" x14ac:dyDescent="0.2">
      <c r="A35" s="843" t="s">
        <v>152</v>
      </c>
      <c r="B35" s="829" t="s">
        <v>149</v>
      </c>
      <c r="C35" s="817"/>
      <c r="D35" s="423"/>
      <c r="E35" s="12"/>
      <c r="F35" s="12"/>
      <c r="G35" s="799"/>
      <c r="H35" s="808">
        <f t="shared" si="0"/>
        <v>0</v>
      </c>
      <c r="J35" s="241"/>
    </row>
    <row r="36" spans="1:10" x14ac:dyDescent="0.2">
      <c r="A36" s="791" t="s">
        <v>153</v>
      </c>
      <c r="B36" s="831" t="s">
        <v>154</v>
      </c>
      <c r="C36" s="816">
        <f>SUM(C37:C38)</f>
        <v>3600</v>
      </c>
      <c r="D36" s="421">
        <f>SUM(D37:D38)</f>
        <v>3600</v>
      </c>
      <c r="E36" s="11"/>
      <c r="F36" s="11"/>
      <c r="G36" s="798"/>
      <c r="H36" s="809">
        <f t="shared" si="0"/>
        <v>7200</v>
      </c>
      <c r="J36" s="241"/>
    </row>
    <row r="37" spans="1:10" x14ac:dyDescent="0.2">
      <c r="A37" s="789">
        <v>51601</v>
      </c>
      <c r="B37" s="830" t="s">
        <v>155</v>
      </c>
      <c r="C37" s="817">
        <f>600*6</f>
        <v>3600</v>
      </c>
      <c r="D37" s="423">
        <f>C37</f>
        <v>3600</v>
      </c>
      <c r="E37" s="11"/>
      <c r="F37" s="11"/>
      <c r="G37" s="798"/>
      <c r="H37" s="808">
        <f t="shared" si="0"/>
        <v>7200</v>
      </c>
      <c r="J37" s="241"/>
    </row>
    <row r="38" spans="1:10" hidden="1" x14ac:dyDescent="0.2">
      <c r="A38" s="789">
        <v>51602</v>
      </c>
      <c r="B38" s="830" t="s">
        <v>156</v>
      </c>
      <c r="C38" s="817"/>
      <c r="D38" s="423"/>
      <c r="E38" s="11"/>
      <c r="F38" s="11"/>
      <c r="G38" s="798"/>
      <c r="H38" s="808">
        <f t="shared" si="0"/>
        <v>0</v>
      </c>
      <c r="J38" s="241"/>
    </row>
    <row r="39" spans="1:10" x14ac:dyDescent="0.2">
      <c r="A39" s="842">
        <v>517</v>
      </c>
      <c r="B39" s="833" t="s">
        <v>157</v>
      </c>
      <c r="C39" s="816">
        <f>SUM(C40:C41)</f>
        <v>0</v>
      </c>
      <c r="D39" s="421">
        <f>SUM(D40:D41)</f>
        <v>0</v>
      </c>
      <c r="E39" s="11"/>
      <c r="F39" s="11"/>
      <c r="G39" s="798"/>
      <c r="H39" s="809">
        <f t="shared" si="0"/>
        <v>0</v>
      </c>
    </row>
    <row r="40" spans="1:10" x14ac:dyDescent="0.2">
      <c r="A40" s="789">
        <v>51701</v>
      </c>
      <c r="B40" s="830" t="s">
        <v>158</v>
      </c>
      <c r="C40" s="817">
        <v>0</v>
      </c>
      <c r="D40" s="423">
        <v>0</v>
      </c>
      <c r="E40" s="11"/>
      <c r="F40" s="11"/>
      <c r="G40" s="798"/>
      <c r="H40" s="808">
        <f t="shared" si="0"/>
        <v>0</v>
      </c>
    </row>
    <row r="41" spans="1:10" hidden="1" x14ac:dyDescent="0.2">
      <c r="A41" s="789">
        <v>51702</v>
      </c>
      <c r="B41" s="830" t="s">
        <v>159</v>
      </c>
      <c r="C41" s="817"/>
      <c r="D41" s="423"/>
      <c r="E41" s="11"/>
      <c r="F41" s="11"/>
      <c r="G41" s="798"/>
      <c r="H41" s="808">
        <f t="shared" si="0"/>
        <v>0</v>
      </c>
    </row>
    <row r="42" spans="1:10" hidden="1" x14ac:dyDescent="0.2">
      <c r="A42" s="842">
        <v>518</v>
      </c>
      <c r="B42" s="832" t="s">
        <v>160</v>
      </c>
      <c r="C42" s="816">
        <f>SUM(C43:C43)</f>
        <v>0</v>
      </c>
      <c r="D42" s="421">
        <f>SUM(D43:D43)</f>
        <v>0</v>
      </c>
      <c r="E42" s="11"/>
      <c r="F42" s="11"/>
      <c r="G42" s="798"/>
      <c r="H42" s="808">
        <f t="shared" si="0"/>
        <v>0</v>
      </c>
    </row>
    <row r="43" spans="1:10" hidden="1" x14ac:dyDescent="0.2">
      <c r="A43" s="789">
        <v>51803</v>
      </c>
      <c r="B43" s="830" t="s">
        <v>161</v>
      </c>
      <c r="C43" s="817"/>
      <c r="D43" s="423"/>
      <c r="E43" s="11"/>
      <c r="F43" s="11"/>
      <c r="G43" s="798"/>
      <c r="H43" s="808">
        <f t="shared" si="0"/>
        <v>0</v>
      </c>
    </row>
    <row r="44" spans="1:10" x14ac:dyDescent="0.2">
      <c r="A44" s="842">
        <v>519</v>
      </c>
      <c r="B44" s="833" t="s">
        <v>162</v>
      </c>
      <c r="C44" s="816">
        <f>SUM(C45:C46)</f>
        <v>4746</v>
      </c>
      <c r="D44" s="421">
        <f>SUM(D45:D46)</f>
        <v>4746</v>
      </c>
      <c r="E44" s="11"/>
      <c r="F44" s="11"/>
      <c r="G44" s="798"/>
      <c r="H44" s="809">
        <f t="shared" si="0"/>
        <v>9492</v>
      </c>
    </row>
    <row r="45" spans="1:10" x14ac:dyDescent="0.2">
      <c r="A45" s="789">
        <v>51901</v>
      </c>
      <c r="B45" s="830" t="s">
        <v>163</v>
      </c>
      <c r="C45" s="817">
        <f>+'PLLA MUNICIPAL HONORARIOS'!I27/2</f>
        <v>4746</v>
      </c>
      <c r="D45" s="423">
        <f>C45</f>
        <v>4746</v>
      </c>
      <c r="E45" s="11"/>
      <c r="F45" s="11"/>
      <c r="G45" s="798"/>
      <c r="H45" s="808">
        <f t="shared" si="0"/>
        <v>9492</v>
      </c>
      <c r="I45" s="8"/>
    </row>
    <row r="46" spans="1:10" x14ac:dyDescent="0.2">
      <c r="A46" s="789">
        <v>51999</v>
      </c>
      <c r="B46" s="830" t="s">
        <v>162</v>
      </c>
      <c r="C46" s="817">
        <v>0</v>
      </c>
      <c r="D46" s="423">
        <v>0</v>
      </c>
      <c r="E46" s="11"/>
      <c r="F46" s="11"/>
      <c r="G46" s="798"/>
      <c r="H46" s="808">
        <f t="shared" si="0"/>
        <v>0</v>
      </c>
      <c r="I46" s="8"/>
    </row>
    <row r="47" spans="1:10" x14ac:dyDescent="0.2">
      <c r="A47" s="842">
        <v>54</v>
      </c>
      <c r="B47" s="834" t="s">
        <v>29</v>
      </c>
      <c r="C47" s="818">
        <f>C48+C66+C72+C88+C93</f>
        <v>133741.84999999998</v>
      </c>
      <c r="D47" s="424">
        <f>D48+D66+D72+D88+D93</f>
        <v>61681.82</v>
      </c>
      <c r="E47" s="11"/>
      <c r="F47" s="11"/>
      <c r="G47" s="798"/>
      <c r="H47" s="809">
        <f t="shared" si="0"/>
        <v>195423.66999999998</v>
      </c>
      <c r="I47" s="8"/>
    </row>
    <row r="48" spans="1:10" x14ac:dyDescent="0.2">
      <c r="A48" s="842">
        <v>541</v>
      </c>
      <c r="B48" s="834" t="s">
        <v>30</v>
      </c>
      <c r="C48" s="818">
        <f>SUM(C49:C65)</f>
        <v>15340</v>
      </c>
      <c r="D48" s="424">
        <f>SUM(D49:D65)</f>
        <v>17840</v>
      </c>
      <c r="E48" s="11"/>
      <c r="F48" s="11"/>
      <c r="G48" s="798"/>
      <c r="H48" s="809">
        <f t="shared" si="0"/>
        <v>33180</v>
      </c>
      <c r="I48" s="8"/>
    </row>
    <row r="49" spans="1:9" x14ac:dyDescent="0.2">
      <c r="A49" s="789">
        <v>54101</v>
      </c>
      <c r="B49" s="784" t="s">
        <v>31</v>
      </c>
      <c r="C49" s="819">
        <f>'egresos 25% y F.P'!G12</f>
        <v>400</v>
      </c>
      <c r="D49" s="425">
        <f>'egresos 25% y F.P'!G116</f>
        <v>500</v>
      </c>
      <c r="E49" s="11"/>
      <c r="F49" s="11"/>
      <c r="G49" s="798"/>
      <c r="H49" s="808">
        <f t="shared" si="0"/>
        <v>900</v>
      </c>
      <c r="I49" s="8"/>
    </row>
    <row r="50" spans="1:9" x14ac:dyDescent="0.2">
      <c r="A50" s="789">
        <v>54104</v>
      </c>
      <c r="B50" s="784" t="s">
        <v>33</v>
      </c>
      <c r="C50" s="819">
        <f>'egresos 25% y F.P'!G14</f>
        <v>0</v>
      </c>
      <c r="D50" s="425">
        <f>'egresos 25% y F.P'!G118</f>
        <v>1650</v>
      </c>
      <c r="E50" s="11"/>
      <c r="F50" s="11"/>
      <c r="G50" s="798"/>
      <c r="H50" s="808">
        <f t="shared" si="0"/>
        <v>1650</v>
      </c>
      <c r="I50" s="8"/>
    </row>
    <row r="51" spans="1:9" x14ac:dyDescent="0.2">
      <c r="A51" s="789">
        <v>54105</v>
      </c>
      <c r="B51" s="784" t="s">
        <v>34</v>
      </c>
      <c r="C51" s="819">
        <f>'egresos 25% y F.P'!G15</f>
        <v>700</v>
      </c>
      <c r="D51" s="425">
        <f>'egresos 25% y F.P'!G119</f>
        <v>1000</v>
      </c>
      <c r="E51" s="11"/>
      <c r="F51" s="11"/>
      <c r="G51" s="798"/>
      <c r="H51" s="808">
        <f t="shared" si="0"/>
        <v>1700</v>
      </c>
      <c r="I51" s="8"/>
    </row>
    <row r="52" spans="1:9" x14ac:dyDescent="0.2">
      <c r="A52" s="789">
        <v>54107</v>
      </c>
      <c r="B52" s="784" t="s">
        <v>36</v>
      </c>
      <c r="C52" s="819">
        <f>'egresos 25% y F.P'!G17</f>
        <v>1890</v>
      </c>
      <c r="D52" s="425">
        <f>'egresos 25% y F.P'!G121</f>
        <v>1890</v>
      </c>
      <c r="E52" s="12"/>
      <c r="F52" s="12"/>
      <c r="G52" s="799"/>
      <c r="H52" s="808">
        <f t="shared" si="0"/>
        <v>3780</v>
      </c>
      <c r="I52" s="18"/>
    </row>
    <row r="53" spans="1:9" x14ac:dyDescent="0.2">
      <c r="A53" s="789">
        <v>54108</v>
      </c>
      <c r="B53" s="784" t="s">
        <v>37</v>
      </c>
      <c r="C53" s="819">
        <v>0</v>
      </c>
      <c r="D53" s="425">
        <v>0</v>
      </c>
      <c r="E53" s="11"/>
      <c r="F53" s="11"/>
      <c r="G53" s="798"/>
      <c r="H53" s="808">
        <f t="shared" si="0"/>
        <v>0</v>
      </c>
    </row>
    <row r="54" spans="1:9" x14ac:dyDescent="0.2">
      <c r="A54" s="789">
        <v>54109</v>
      </c>
      <c r="B54" s="784" t="s">
        <v>38</v>
      </c>
      <c r="C54" s="819">
        <f>'egresos 25% y F.P'!G19</f>
        <v>1000</v>
      </c>
      <c r="D54" s="425">
        <f>'egresos 25% y F.P'!G123</f>
        <v>1200</v>
      </c>
      <c r="E54" s="11"/>
      <c r="F54" s="11"/>
      <c r="G54" s="798"/>
      <c r="H54" s="808">
        <f t="shared" si="0"/>
        <v>2200</v>
      </c>
      <c r="I54" s="18"/>
    </row>
    <row r="55" spans="1:9" x14ac:dyDescent="0.2">
      <c r="A55" s="789">
        <v>54110</v>
      </c>
      <c r="B55" s="784" t="s">
        <v>39</v>
      </c>
      <c r="C55" s="819">
        <f>'egresos 25% y F.P'!G20</f>
        <v>6100</v>
      </c>
      <c r="D55" s="425">
        <f>'egresos 25% y F.P'!G124</f>
        <v>4500</v>
      </c>
      <c r="E55" s="11"/>
      <c r="F55" s="11"/>
      <c r="G55" s="798"/>
      <c r="H55" s="808">
        <f t="shared" si="0"/>
        <v>10600</v>
      </c>
      <c r="I55" s="18"/>
    </row>
    <row r="56" spans="1:9" x14ac:dyDescent="0.2">
      <c r="A56" s="789">
        <v>54111</v>
      </c>
      <c r="B56" s="784" t="s">
        <v>40</v>
      </c>
      <c r="C56" s="819">
        <v>0</v>
      </c>
      <c r="D56" s="425">
        <v>0</v>
      </c>
      <c r="E56" s="11"/>
      <c r="F56" s="11"/>
      <c r="G56" s="798"/>
      <c r="H56" s="808">
        <f t="shared" si="0"/>
        <v>0</v>
      </c>
      <c r="I56" s="18"/>
    </row>
    <row r="57" spans="1:9" x14ac:dyDescent="0.2">
      <c r="A57" s="789">
        <v>54112</v>
      </c>
      <c r="B57" s="784" t="s">
        <v>41</v>
      </c>
      <c r="C57" s="819">
        <v>0</v>
      </c>
      <c r="D57" s="425">
        <v>0</v>
      </c>
      <c r="E57" s="12"/>
      <c r="F57" s="12"/>
      <c r="G57" s="799"/>
      <c r="H57" s="808">
        <f t="shared" si="0"/>
        <v>0</v>
      </c>
    </row>
    <row r="58" spans="1:9" x14ac:dyDescent="0.2">
      <c r="A58" s="789">
        <v>54114</v>
      </c>
      <c r="B58" s="784" t="s">
        <v>42</v>
      </c>
      <c r="C58" s="819">
        <f>'egresos 25% y F.P'!G23</f>
        <v>500</v>
      </c>
      <c r="D58" s="425">
        <f>'egresos 25% y F.P'!G127</f>
        <v>1100</v>
      </c>
      <c r="E58" s="11"/>
      <c r="F58" s="11"/>
      <c r="G58" s="798"/>
      <c r="H58" s="808">
        <f t="shared" si="0"/>
        <v>1600</v>
      </c>
      <c r="I58" s="18"/>
    </row>
    <row r="59" spans="1:9" x14ac:dyDescent="0.2">
      <c r="A59" s="789">
        <v>54115</v>
      </c>
      <c r="B59" s="784" t="s">
        <v>43</v>
      </c>
      <c r="C59" s="819">
        <f>'egresos 25% y F.P'!G24</f>
        <v>1400</v>
      </c>
      <c r="D59" s="425">
        <f>'egresos 25% y F.P'!G128</f>
        <v>1100</v>
      </c>
      <c r="E59" s="11"/>
      <c r="F59" s="11"/>
      <c r="G59" s="798"/>
      <c r="H59" s="808">
        <f t="shared" si="0"/>
        <v>2500</v>
      </c>
      <c r="I59" s="8"/>
    </row>
    <row r="60" spans="1:9" ht="22.5" hidden="1" x14ac:dyDescent="0.2">
      <c r="A60" s="789">
        <v>54116</v>
      </c>
      <c r="B60" s="835" t="s">
        <v>44</v>
      </c>
      <c r="C60" s="819">
        <f>'egresos 25% y F.P'!G25</f>
        <v>0</v>
      </c>
      <c r="D60" s="425">
        <f>'egresos 25% y F.P'!G129</f>
        <v>0</v>
      </c>
      <c r="E60" s="11"/>
      <c r="F60" s="11"/>
      <c r="G60" s="798"/>
      <c r="H60" s="808">
        <f t="shared" si="0"/>
        <v>0</v>
      </c>
      <c r="I60" s="18"/>
    </row>
    <row r="61" spans="1:9" ht="22.5" hidden="1" x14ac:dyDescent="0.2">
      <c r="A61" s="789">
        <v>54117</v>
      </c>
      <c r="B61" s="835" t="s">
        <v>45</v>
      </c>
      <c r="C61" s="819"/>
      <c r="D61" s="425"/>
      <c r="E61" s="11"/>
      <c r="F61" s="11"/>
      <c r="G61" s="798"/>
      <c r="H61" s="808">
        <f t="shared" si="0"/>
        <v>0</v>
      </c>
    </row>
    <row r="62" spans="1:9" x14ac:dyDescent="0.2">
      <c r="A62" s="789">
        <v>54118</v>
      </c>
      <c r="B62" s="784" t="s">
        <v>46</v>
      </c>
      <c r="C62" s="819">
        <f>'egresos 25% y F.P'!G27</f>
        <v>1000</v>
      </c>
      <c r="D62" s="425">
        <f>'egresos 25% y F.P'!G131</f>
        <v>2550</v>
      </c>
      <c r="E62" s="11"/>
      <c r="F62" s="11"/>
      <c r="G62" s="798"/>
      <c r="H62" s="808">
        <f t="shared" si="0"/>
        <v>3550</v>
      </c>
      <c r="I62" s="18"/>
    </row>
    <row r="63" spans="1:9" x14ac:dyDescent="0.2">
      <c r="A63" s="789">
        <v>54119</v>
      </c>
      <c r="B63" s="784" t="s">
        <v>47</v>
      </c>
      <c r="C63" s="819">
        <f>'egresos 25% y F.P'!G28</f>
        <v>50</v>
      </c>
      <c r="D63" s="425">
        <f>'egresos 25% y F.P'!G132</f>
        <v>100</v>
      </c>
      <c r="E63" s="11"/>
      <c r="F63" s="11"/>
      <c r="G63" s="798"/>
      <c r="H63" s="808">
        <f t="shared" si="0"/>
        <v>150</v>
      </c>
      <c r="I63" s="18"/>
    </row>
    <row r="64" spans="1:9" x14ac:dyDescent="0.2">
      <c r="A64" s="789">
        <v>54121</v>
      </c>
      <c r="B64" s="784" t="s">
        <v>48</v>
      </c>
      <c r="C64" s="819">
        <f>'egresos 25% y F.P'!G29</f>
        <v>400</v>
      </c>
      <c r="D64" s="425">
        <v>0</v>
      </c>
      <c r="E64" s="11"/>
      <c r="F64" s="11"/>
      <c r="G64" s="798"/>
      <c r="H64" s="808">
        <f t="shared" si="0"/>
        <v>400</v>
      </c>
      <c r="I64" s="8"/>
    </row>
    <row r="65" spans="1:9" x14ac:dyDescent="0.2">
      <c r="A65" s="789">
        <v>54199</v>
      </c>
      <c r="B65" s="784" t="s">
        <v>49</v>
      </c>
      <c r="C65" s="819">
        <f>'egresos 25% y F.P'!G30</f>
        <v>1900</v>
      </c>
      <c r="D65" s="425">
        <f>'egresos 25% y F.P'!G134</f>
        <v>2250</v>
      </c>
      <c r="E65" s="11"/>
      <c r="F65" s="11"/>
      <c r="G65" s="798"/>
      <c r="H65" s="808">
        <f t="shared" si="0"/>
        <v>4150</v>
      </c>
      <c r="I65" s="18"/>
    </row>
    <row r="66" spans="1:9" x14ac:dyDescent="0.2">
      <c r="A66" s="842">
        <v>542</v>
      </c>
      <c r="B66" s="834" t="s">
        <v>50</v>
      </c>
      <c r="C66" s="818">
        <f>SUM(C67:C71)</f>
        <v>107911.84999999999</v>
      </c>
      <c r="D66" s="424">
        <f>SUM(D67:D71)</f>
        <v>29511.82</v>
      </c>
      <c r="E66" s="11"/>
      <c r="F66" s="11"/>
      <c r="G66" s="798"/>
      <c r="H66" s="809">
        <f t="shared" si="0"/>
        <v>137423.66999999998</v>
      </c>
      <c r="I66" s="19"/>
    </row>
    <row r="67" spans="1:9" x14ac:dyDescent="0.2">
      <c r="A67" s="789">
        <v>54201</v>
      </c>
      <c r="B67" s="784" t="s">
        <v>51</v>
      </c>
      <c r="C67" s="819">
        <f>'egresos 25% y F.P'!G32</f>
        <v>91141.849999999991</v>
      </c>
      <c r="D67" s="425">
        <f>'egresos 25% y F.P'!G136</f>
        <v>12741.820000000002</v>
      </c>
      <c r="E67" s="11"/>
      <c r="F67" s="11"/>
      <c r="G67" s="798"/>
      <c r="H67" s="808">
        <f t="shared" si="0"/>
        <v>103883.67</v>
      </c>
    </row>
    <row r="68" spans="1:9" x14ac:dyDescent="0.2">
      <c r="A68" s="789">
        <v>54202</v>
      </c>
      <c r="B68" s="784" t="s">
        <v>52</v>
      </c>
      <c r="C68" s="819">
        <f>'egresos 25% y F.P'!G33</f>
        <v>510</v>
      </c>
      <c r="D68" s="425">
        <f>'egresos 25% y F.P'!G137</f>
        <v>510</v>
      </c>
      <c r="E68" s="11"/>
      <c r="F68" s="11"/>
      <c r="G68" s="798"/>
      <c r="H68" s="808">
        <f t="shared" si="0"/>
        <v>1020</v>
      </c>
    </row>
    <row r="69" spans="1:9" x14ac:dyDescent="0.2">
      <c r="A69" s="789">
        <v>54203</v>
      </c>
      <c r="B69" s="784" t="s">
        <v>53</v>
      </c>
      <c r="C69" s="819">
        <f>'egresos 25% y F.P'!G34</f>
        <v>6060</v>
      </c>
      <c r="D69" s="425">
        <f>'egresos 25% y F.P'!G138</f>
        <v>6060</v>
      </c>
      <c r="E69" s="11"/>
      <c r="F69" s="11"/>
      <c r="G69" s="798"/>
      <c r="H69" s="808">
        <f t="shared" si="0"/>
        <v>12120</v>
      </c>
    </row>
    <row r="70" spans="1:9" hidden="1" x14ac:dyDescent="0.2">
      <c r="A70" s="789">
        <v>54204</v>
      </c>
      <c r="B70" s="784" t="s">
        <v>54</v>
      </c>
      <c r="C70" s="819"/>
      <c r="D70" s="425"/>
      <c r="E70" s="11"/>
      <c r="F70" s="11"/>
      <c r="G70" s="798"/>
      <c r="H70" s="808">
        <f t="shared" si="0"/>
        <v>0</v>
      </c>
    </row>
    <row r="71" spans="1:9" x14ac:dyDescent="0.2">
      <c r="A71" s="789">
        <v>54205</v>
      </c>
      <c r="B71" s="784" t="s">
        <v>55</v>
      </c>
      <c r="C71" s="819">
        <f>'egresos 25% y F.P'!G36</f>
        <v>10200</v>
      </c>
      <c r="D71" s="425">
        <f>'egresos 25% y F.P'!G140</f>
        <v>10200</v>
      </c>
      <c r="E71" s="12"/>
      <c r="F71" s="12"/>
      <c r="G71" s="799"/>
      <c r="H71" s="808">
        <f>SUM(C71:G71)</f>
        <v>20400</v>
      </c>
      <c r="I71" s="73"/>
    </row>
    <row r="72" spans="1:9" x14ac:dyDescent="0.2">
      <c r="A72" s="844">
        <v>543</v>
      </c>
      <c r="B72" s="836" t="s">
        <v>56</v>
      </c>
      <c r="C72" s="820">
        <f>SUM(C73:C87)</f>
        <v>9500</v>
      </c>
      <c r="D72" s="426">
        <f>D73+D74+D76+D77+D84+D86+D87</f>
        <v>13550</v>
      </c>
      <c r="E72" s="413"/>
      <c r="F72" s="413"/>
      <c r="G72" s="800"/>
      <c r="H72" s="811">
        <f>SUM(C72:G72)</f>
        <v>23050</v>
      </c>
      <c r="I72" s="8"/>
    </row>
    <row r="73" spans="1:9" ht="22.5" x14ac:dyDescent="0.2">
      <c r="A73" s="789">
        <v>54301</v>
      </c>
      <c r="B73" s="835" t="s">
        <v>57</v>
      </c>
      <c r="C73" s="819">
        <f>'egresos 25% y F.P'!G38</f>
        <v>400</v>
      </c>
      <c r="D73" s="425">
        <f>'egresos 25% y F.P'!G142</f>
        <v>1000</v>
      </c>
      <c r="E73" s="11"/>
      <c r="F73" s="11"/>
      <c r="G73" s="798"/>
      <c r="H73" s="808">
        <f t="shared" si="0"/>
        <v>1400</v>
      </c>
    </row>
    <row r="74" spans="1:9" ht="22.5" x14ac:dyDescent="0.2">
      <c r="A74" s="789">
        <v>54302</v>
      </c>
      <c r="B74" s="835" t="s">
        <v>58</v>
      </c>
      <c r="C74" s="819">
        <f>'egresos 25% y F.P'!G39</f>
        <v>2000</v>
      </c>
      <c r="D74" s="425">
        <f>'egresos 25% y F.P'!G143</f>
        <v>3500</v>
      </c>
      <c r="E74" s="11"/>
      <c r="F74" s="11"/>
      <c r="G74" s="798"/>
      <c r="H74" s="808">
        <f t="shared" si="0"/>
        <v>5500</v>
      </c>
    </row>
    <row r="75" spans="1:9" ht="22.5" x14ac:dyDescent="0.2">
      <c r="A75" s="789">
        <v>54303</v>
      </c>
      <c r="B75" s="835" t="s">
        <v>59</v>
      </c>
      <c r="C75" s="819">
        <f>'egresos 25% y F.P'!G40</f>
        <v>0</v>
      </c>
      <c r="D75" s="425">
        <f>'egresos 25% y F.P'!G144</f>
        <v>0</v>
      </c>
      <c r="E75" s="11"/>
      <c r="F75" s="11"/>
      <c r="G75" s="798"/>
      <c r="H75" s="808">
        <f t="shared" si="0"/>
        <v>0</v>
      </c>
    </row>
    <row r="76" spans="1:9" x14ac:dyDescent="0.2">
      <c r="A76" s="789">
        <v>54304</v>
      </c>
      <c r="B76" s="784" t="s">
        <v>60</v>
      </c>
      <c r="C76" s="819">
        <f>'egresos 25% y F.P'!G41</f>
        <v>1500</v>
      </c>
      <c r="D76" s="425">
        <f>'egresos 25% y F.P'!G145</f>
        <v>2000</v>
      </c>
      <c r="E76" s="11"/>
      <c r="F76" s="11"/>
      <c r="G76" s="798"/>
      <c r="H76" s="808">
        <f t="shared" si="0"/>
        <v>3500</v>
      </c>
    </row>
    <row r="77" spans="1:9" x14ac:dyDescent="0.2">
      <c r="A77" s="789">
        <v>54305</v>
      </c>
      <c r="B77" s="784" t="s">
        <v>61</v>
      </c>
      <c r="C77" s="819">
        <f>'egresos 25% y F.P'!G42</f>
        <v>0</v>
      </c>
      <c r="D77" s="425">
        <f>'egresos 25% y F.P'!G146</f>
        <v>200</v>
      </c>
      <c r="E77" s="11"/>
      <c r="F77" s="11"/>
      <c r="G77" s="798"/>
      <c r="H77" s="808">
        <f t="shared" si="0"/>
        <v>200</v>
      </c>
    </row>
    <row r="78" spans="1:9" x14ac:dyDescent="0.2">
      <c r="A78" s="789">
        <v>54306</v>
      </c>
      <c r="B78" s="784" t="s">
        <v>62</v>
      </c>
      <c r="C78" s="819"/>
      <c r="D78" s="425"/>
      <c r="E78" s="11"/>
      <c r="F78" s="11"/>
      <c r="G78" s="798"/>
      <c r="H78" s="808">
        <f t="shared" ref="H78:H143" si="1">SUM(C78:G78)</f>
        <v>0</v>
      </c>
    </row>
    <row r="79" spans="1:9" hidden="1" x14ac:dyDescent="0.2">
      <c r="A79" s="789">
        <v>54307</v>
      </c>
      <c r="B79" s="784" t="s">
        <v>63</v>
      </c>
      <c r="C79" s="819">
        <f>'egresos 25% y F.P'!G44</f>
        <v>0</v>
      </c>
      <c r="D79" s="425">
        <f>'egresos 25% y F.P'!G153</f>
        <v>0</v>
      </c>
      <c r="E79" s="12"/>
      <c r="F79" s="12"/>
      <c r="G79" s="799"/>
      <c r="H79" s="808">
        <f t="shared" si="1"/>
        <v>0</v>
      </c>
      <c r="I79" s="8"/>
    </row>
    <row r="80" spans="1:9" hidden="1" x14ac:dyDescent="0.2">
      <c r="A80" s="789">
        <v>54309</v>
      </c>
      <c r="B80" s="784" t="s">
        <v>64</v>
      </c>
      <c r="C80" s="819"/>
      <c r="D80" s="425">
        <f>'egresos 25% y F.P'!G149</f>
        <v>0</v>
      </c>
      <c r="E80" s="12"/>
      <c r="F80" s="12"/>
      <c r="G80" s="799"/>
      <c r="H80" s="808">
        <f t="shared" si="1"/>
        <v>0</v>
      </c>
    </row>
    <row r="81" spans="1:9" hidden="1" x14ac:dyDescent="0.2">
      <c r="A81" s="789">
        <v>54310</v>
      </c>
      <c r="B81" s="784" t="s">
        <v>65</v>
      </c>
      <c r="C81" s="819"/>
      <c r="D81" s="425">
        <f>'egresos 25% y F.P'!G150</f>
        <v>0</v>
      </c>
      <c r="E81" s="11"/>
      <c r="F81" s="11"/>
      <c r="G81" s="798"/>
      <c r="H81" s="808">
        <f t="shared" si="1"/>
        <v>0</v>
      </c>
    </row>
    <row r="82" spans="1:9" hidden="1" x14ac:dyDescent="0.2">
      <c r="A82" s="789">
        <v>54311</v>
      </c>
      <c r="B82" s="784" t="s">
        <v>66</v>
      </c>
      <c r="C82" s="819"/>
      <c r="D82" s="425">
        <f>'egresos 25% y F.P'!G151</f>
        <v>0</v>
      </c>
      <c r="E82" s="11"/>
      <c r="F82" s="11"/>
      <c r="G82" s="798"/>
      <c r="H82" s="808">
        <f t="shared" si="1"/>
        <v>0</v>
      </c>
    </row>
    <row r="83" spans="1:9" ht="22.5" hidden="1" x14ac:dyDescent="0.2">
      <c r="A83" s="789">
        <v>54313</v>
      </c>
      <c r="B83" s="835" t="s">
        <v>67</v>
      </c>
      <c r="C83" s="819"/>
      <c r="D83" s="425">
        <f>'egresos 25% y F.P'!G152</f>
        <v>0</v>
      </c>
      <c r="E83" s="12"/>
      <c r="F83" s="12"/>
      <c r="G83" s="799"/>
      <c r="H83" s="808">
        <f t="shared" si="1"/>
        <v>0</v>
      </c>
    </row>
    <row r="84" spans="1:9" x14ac:dyDescent="0.2">
      <c r="A84" s="789">
        <v>54314</v>
      </c>
      <c r="B84" s="784" t="s">
        <v>68</v>
      </c>
      <c r="C84" s="819">
        <f>'egresos 25% y F.P'!G49</f>
        <v>4000</v>
      </c>
      <c r="D84" s="425">
        <f>'egresos 25% y F.P'!G154</f>
        <v>5000</v>
      </c>
      <c r="E84" s="11"/>
      <c r="F84" s="11"/>
      <c r="G84" s="798"/>
      <c r="H84" s="808">
        <f>+C84+D84</f>
        <v>9000</v>
      </c>
      <c r="I84" s="8"/>
    </row>
    <row r="85" spans="1:9" x14ac:dyDescent="0.2">
      <c r="A85" s="789">
        <v>54316</v>
      </c>
      <c r="B85" s="784" t="s">
        <v>69</v>
      </c>
      <c r="C85" s="819">
        <f>'egresos 25% y F.P'!G50</f>
        <v>0</v>
      </c>
      <c r="D85" s="425"/>
      <c r="E85" s="11"/>
      <c r="F85" s="11"/>
      <c r="G85" s="798"/>
      <c r="H85" s="808">
        <f t="shared" si="1"/>
        <v>0</v>
      </c>
    </row>
    <row r="86" spans="1:9" x14ac:dyDescent="0.2">
      <c r="A86" s="789">
        <v>54317</v>
      </c>
      <c r="B86" s="784" t="s">
        <v>70</v>
      </c>
      <c r="C86" s="819">
        <f>'egresos 25% y F.P'!G51</f>
        <v>750</v>
      </c>
      <c r="D86" s="425">
        <f>'egresos 25% y F.P'!F156</f>
        <v>750</v>
      </c>
      <c r="E86" s="12"/>
      <c r="F86" s="12"/>
      <c r="G86" s="799"/>
      <c r="H86" s="808">
        <f t="shared" si="1"/>
        <v>1500</v>
      </c>
    </row>
    <row r="87" spans="1:9" ht="22.5" x14ac:dyDescent="0.2">
      <c r="A87" s="789">
        <v>54399</v>
      </c>
      <c r="B87" s="835" t="s">
        <v>71</v>
      </c>
      <c r="C87" s="819">
        <f>'egresos 25% y F.P'!G52</f>
        <v>850</v>
      </c>
      <c r="D87" s="425">
        <f>'egresos 25% y F.P'!G157</f>
        <v>1100</v>
      </c>
      <c r="E87" s="12"/>
      <c r="F87" s="12"/>
      <c r="G87" s="799"/>
      <c r="H87" s="808">
        <f t="shared" si="1"/>
        <v>1950</v>
      </c>
    </row>
    <row r="88" spans="1:9" x14ac:dyDescent="0.2">
      <c r="A88" s="842">
        <v>544</v>
      </c>
      <c r="B88" s="834" t="s">
        <v>72</v>
      </c>
      <c r="C88" s="818">
        <f>SUM(C89:C92)</f>
        <v>290</v>
      </c>
      <c r="D88" s="424">
        <f>SUM(D89:D92)</f>
        <v>180</v>
      </c>
      <c r="E88" s="11"/>
      <c r="F88" s="11"/>
      <c r="G88" s="798"/>
      <c r="H88" s="809">
        <f t="shared" si="1"/>
        <v>470</v>
      </c>
      <c r="I88" s="8"/>
    </row>
    <row r="89" spans="1:9" x14ac:dyDescent="0.2">
      <c r="A89" s="789">
        <v>54401</v>
      </c>
      <c r="B89" s="784" t="s">
        <v>73</v>
      </c>
      <c r="C89" s="819">
        <f>'egresos 25% y F.P'!G54</f>
        <v>240</v>
      </c>
      <c r="D89" s="425">
        <f>'egresos 25% y F.P'!G159</f>
        <v>130</v>
      </c>
      <c r="E89" s="11"/>
      <c r="F89" s="11"/>
      <c r="G89" s="798"/>
      <c r="H89" s="808">
        <f t="shared" si="1"/>
        <v>370</v>
      </c>
    </row>
    <row r="90" spans="1:9" x14ac:dyDescent="0.2">
      <c r="A90" s="789">
        <v>54402</v>
      </c>
      <c r="B90" s="784" t="s">
        <v>74</v>
      </c>
      <c r="C90" s="819">
        <f>'egresos 25% y F.P'!G55</f>
        <v>0</v>
      </c>
      <c r="D90" s="425">
        <f>'egresos 25% y F.P'!G160</f>
        <v>0</v>
      </c>
      <c r="E90" s="11"/>
      <c r="F90" s="11"/>
      <c r="G90" s="798"/>
      <c r="H90" s="808">
        <f t="shared" si="1"/>
        <v>0</v>
      </c>
    </row>
    <row r="91" spans="1:9" x14ac:dyDescent="0.2">
      <c r="A91" s="789">
        <v>54403</v>
      </c>
      <c r="B91" s="784" t="s">
        <v>75</v>
      </c>
      <c r="C91" s="819">
        <f>'egresos 25% y F.P'!G56</f>
        <v>50</v>
      </c>
      <c r="D91" s="425">
        <f>'egresos 25% y F.P'!G161</f>
        <v>50</v>
      </c>
      <c r="E91" s="11"/>
      <c r="F91" s="11"/>
      <c r="G91" s="798"/>
      <c r="H91" s="808">
        <f t="shared" si="1"/>
        <v>100</v>
      </c>
    </row>
    <row r="92" spans="1:9" x14ac:dyDescent="0.2">
      <c r="A92" s="789">
        <v>54404</v>
      </c>
      <c r="B92" s="784" t="s">
        <v>76</v>
      </c>
      <c r="C92" s="819">
        <f>'egresos 25% y F.P'!G57</f>
        <v>0</v>
      </c>
      <c r="D92" s="425">
        <f>'egresos 25% y F.P'!G162</f>
        <v>0</v>
      </c>
      <c r="E92" s="11"/>
      <c r="F92" s="11"/>
      <c r="G92" s="798"/>
      <c r="H92" s="808">
        <f t="shared" si="1"/>
        <v>0</v>
      </c>
    </row>
    <row r="93" spans="1:9" ht="22.5" x14ac:dyDescent="0.2">
      <c r="A93" s="842">
        <v>545</v>
      </c>
      <c r="B93" s="832" t="s">
        <v>77</v>
      </c>
      <c r="C93" s="818">
        <f>SUM(C94:C100)</f>
        <v>700</v>
      </c>
      <c r="D93" s="424">
        <f>SUM(D94:D100)</f>
        <v>600</v>
      </c>
      <c r="E93" s="12"/>
      <c r="F93" s="12"/>
      <c r="G93" s="799"/>
      <c r="H93" s="809">
        <f t="shared" si="1"/>
        <v>1300</v>
      </c>
    </row>
    <row r="94" spans="1:9" hidden="1" x14ac:dyDescent="0.2">
      <c r="A94" s="789">
        <v>54501</v>
      </c>
      <c r="B94" s="784" t="s">
        <v>78</v>
      </c>
      <c r="C94" s="819"/>
      <c r="D94" s="425"/>
      <c r="E94" s="12"/>
      <c r="F94" s="12"/>
      <c r="G94" s="799"/>
      <c r="H94" s="808">
        <f t="shared" si="1"/>
        <v>0</v>
      </c>
    </row>
    <row r="95" spans="1:9" x14ac:dyDescent="0.2">
      <c r="A95" s="789">
        <v>54503</v>
      </c>
      <c r="B95" s="784" t="s">
        <v>79</v>
      </c>
      <c r="C95" s="819">
        <f>+'egresos 25% y F.P'!C60</f>
        <v>700</v>
      </c>
      <c r="D95" s="425">
        <f>+'egresos 25% y F.P'!G165</f>
        <v>600</v>
      </c>
      <c r="E95" s="11"/>
      <c r="F95" s="11"/>
      <c r="G95" s="798"/>
      <c r="H95" s="808">
        <f t="shared" si="1"/>
        <v>1300</v>
      </c>
    </row>
    <row r="96" spans="1:9" hidden="1" x14ac:dyDescent="0.2">
      <c r="A96" s="789">
        <v>54504</v>
      </c>
      <c r="B96" s="784" t="s">
        <v>80</v>
      </c>
      <c r="C96" s="819"/>
      <c r="D96" s="425"/>
      <c r="E96" s="11"/>
      <c r="F96" s="11"/>
      <c r="G96" s="798"/>
      <c r="H96" s="808">
        <f t="shared" si="1"/>
        <v>0</v>
      </c>
    </row>
    <row r="97" spans="1:9" hidden="1" x14ac:dyDescent="0.2">
      <c r="A97" s="789">
        <v>54505</v>
      </c>
      <c r="B97" s="784" t="s">
        <v>81</v>
      </c>
      <c r="C97" s="819"/>
      <c r="D97" s="425"/>
      <c r="E97" s="12"/>
      <c r="F97" s="12"/>
      <c r="G97" s="799"/>
      <c r="H97" s="808">
        <f t="shared" si="1"/>
        <v>0</v>
      </c>
    </row>
    <row r="98" spans="1:9" hidden="1" x14ac:dyDescent="0.2">
      <c r="A98" s="789">
        <v>54507</v>
      </c>
      <c r="B98" s="784" t="s">
        <v>82</v>
      </c>
      <c r="C98" s="819"/>
      <c r="D98" s="425"/>
      <c r="E98" s="12"/>
      <c r="F98" s="12"/>
      <c r="G98" s="799"/>
      <c r="H98" s="808">
        <f t="shared" si="1"/>
        <v>0</v>
      </c>
    </row>
    <row r="99" spans="1:9" hidden="1" x14ac:dyDescent="0.2">
      <c r="A99" s="789">
        <v>54508</v>
      </c>
      <c r="B99" s="784" t="s">
        <v>83</v>
      </c>
      <c r="C99" s="819"/>
      <c r="D99" s="425"/>
      <c r="E99" s="11"/>
      <c r="F99" s="11"/>
      <c r="G99" s="798"/>
      <c r="H99" s="808">
        <f t="shared" si="1"/>
        <v>0</v>
      </c>
    </row>
    <row r="100" spans="1:9" ht="22.5" x14ac:dyDescent="0.2">
      <c r="A100" s="789">
        <v>54599</v>
      </c>
      <c r="B100" s="835" t="s">
        <v>84</v>
      </c>
      <c r="C100" s="819"/>
      <c r="D100" s="425"/>
      <c r="E100" s="20"/>
      <c r="F100" s="20"/>
      <c r="G100" s="801"/>
      <c r="H100" s="808">
        <f t="shared" si="1"/>
        <v>0</v>
      </c>
    </row>
    <row r="101" spans="1:9" x14ac:dyDescent="0.2">
      <c r="A101" s="842">
        <v>55</v>
      </c>
      <c r="B101" s="834" t="s">
        <v>85</v>
      </c>
      <c r="C101" s="818">
        <f>C108</f>
        <v>100</v>
      </c>
      <c r="D101" s="424">
        <f>D106+D108</f>
        <v>150</v>
      </c>
      <c r="E101" s="13"/>
      <c r="F101" s="13"/>
      <c r="G101" s="802"/>
      <c r="H101" s="809">
        <f>SUM(C101:G101)</f>
        <v>250</v>
      </c>
      <c r="I101" s="21"/>
    </row>
    <row r="102" spans="1:9" ht="22.5" hidden="1" x14ac:dyDescent="0.2">
      <c r="A102" s="842">
        <v>553</v>
      </c>
      <c r="B102" s="832" t="s">
        <v>86</v>
      </c>
      <c r="C102" s="818">
        <f>SUM(C103:C105)</f>
        <v>0</v>
      </c>
      <c r="D102" s="424">
        <f>SUM(D103:D105)</f>
        <v>0</v>
      </c>
      <c r="E102" s="13"/>
      <c r="F102" s="13"/>
      <c r="G102" s="802"/>
      <c r="H102" s="809">
        <f t="shared" si="1"/>
        <v>0</v>
      </c>
    </row>
    <row r="103" spans="1:9" hidden="1" x14ac:dyDescent="0.2">
      <c r="A103" s="789">
        <v>55303</v>
      </c>
      <c r="B103" s="784" t="s">
        <v>87</v>
      </c>
      <c r="C103" s="819"/>
      <c r="D103" s="425"/>
      <c r="E103" s="13"/>
      <c r="F103" s="13"/>
      <c r="G103" s="802"/>
      <c r="H103" s="808">
        <f t="shared" si="1"/>
        <v>0</v>
      </c>
    </row>
    <row r="104" spans="1:9" hidden="1" x14ac:dyDescent="0.2">
      <c r="A104" s="789">
        <v>55304</v>
      </c>
      <c r="B104" s="784" t="s">
        <v>88</v>
      </c>
      <c r="C104" s="819"/>
      <c r="D104" s="425"/>
      <c r="E104" s="13"/>
      <c r="F104" s="13"/>
      <c r="G104" s="802"/>
      <c r="H104" s="808">
        <f t="shared" si="1"/>
        <v>0</v>
      </c>
    </row>
    <row r="105" spans="1:9" hidden="1" x14ac:dyDescent="0.2">
      <c r="A105" s="789">
        <v>55308</v>
      </c>
      <c r="B105" s="784" t="s">
        <v>89</v>
      </c>
      <c r="C105" s="819"/>
      <c r="D105" s="425"/>
      <c r="E105" s="13"/>
      <c r="F105" s="13"/>
      <c r="G105" s="802"/>
      <c r="H105" s="808">
        <f t="shared" si="1"/>
        <v>0</v>
      </c>
    </row>
    <row r="106" spans="1:9" s="379" customFormat="1" x14ac:dyDescent="0.2">
      <c r="A106" s="842">
        <v>555</v>
      </c>
      <c r="B106" s="834" t="s">
        <v>539</v>
      </c>
      <c r="C106" s="818">
        <v>0</v>
      </c>
      <c r="D106" s="424">
        <f>+'egresos 25% y F.P'!G177</f>
        <v>0</v>
      </c>
      <c r="E106" s="13">
        <f>E107</f>
        <v>0</v>
      </c>
      <c r="F106" s="13">
        <f>F107</f>
        <v>0</v>
      </c>
      <c r="G106" s="802">
        <f>+C106+D106+E106+F106</f>
        <v>0</v>
      </c>
      <c r="H106" s="809">
        <f>SUM(C106:D106)</f>
        <v>0</v>
      </c>
    </row>
    <row r="107" spans="1:9" customFormat="1" x14ac:dyDescent="0.2">
      <c r="A107" s="789">
        <v>55508</v>
      </c>
      <c r="B107" s="784" t="s">
        <v>343</v>
      </c>
      <c r="C107" s="819">
        <v>0</v>
      </c>
      <c r="D107" s="427">
        <f>+'egresos 25% y F.P'!G178</f>
        <v>0</v>
      </c>
      <c r="E107" s="13"/>
      <c r="F107" s="13"/>
      <c r="G107" s="802">
        <f>+C107+D107+E107+F107</f>
        <v>0</v>
      </c>
      <c r="H107" s="808">
        <f>SUM(C107:D107)</f>
        <v>0</v>
      </c>
    </row>
    <row r="108" spans="1:9" x14ac:dyDescent="0.2">
      <c r="A108" s="842">
        <v>556</v>
      </c>
      <c r="B108" s="834" t="s">
        <v>90</v>
      </c>
      <c r="C108" s="818">
        <f>SUM(C109:C111)</f>
        <v>100</v>
      </c>
      <c r="D108" s="424">
        <f>SUM(D109:D111)</f>
        <v>150</v>
      </c>
      <c r="E108" s="13"/>
      <c r="F108" s="13"/>
      <c r="G108" s="802"/>
      <c r="H108" s="809">
        <f t="shared" si="1"/>
        <v>250</v>
      </c>
    </row>
    <row r="109" spans="1:9" hidden="1" x14ac:dyDescent="0.2">
      <c r="A109" s="789">
        <v>55601</v>
      </c>
      <c r="B109" s="784" t="s">
        <v>91</v>
      </c>
      <c r="C109" s="819">
        <v>0</v>
      </c>
      <c r="D109" s="425">
        <v>0</v>
      </c>
      <c r="E109" s="13"/>
      <c r="F109" s="13"/>
      <c r="G109" s="802"/>
      <c r="H109" s="808">
        <f t="shared" si="1"/>
        <v>0</v>
      </c>
    </row>
    <row r="110" spans="1:9" hidden="1" x14ac:dyDescent="0.2">
      <c r="A110" s="789">
        <v>55602</v>
      </c>
      <c r="B110" s="784" t="s">
        <v>92</v>
      </c>
      <c r="C110" s="819">
        <v>0</v>
      </c>
      <c r="D110" s="425">
        <v>0</v>
      </c>
      <c r="E110" s="13"/>
      <c r="F110" s="13"/>
      <c r="G110" s="802"/>
      <c r="H110" s="808">
        <f t="shared" si="1"/>
        <v>0</v>
      </c>
      <c r="I110" s="8"/>
    </row>
    <row r="111" spans="1:9" x14ac:dyDescent="0.2">
      <c r="A111" s="789">
        <v>55603</v>
      </c>
      <c r="B111" s="784" t="s">
        <v>93</v>
      </c>
      <c r="C111" s="819">
        <f>+'egresos 25% y F.P'!G77</f>
        <v>100</v>
      </c>
      <c r="D111" s="425">
        <f>'egresos 25% y F.P'!G182</f>
        <v>150</v>
      </c>
      <c r="E111" s="13"/>
      <c r="F111" s="13"/>
      <c r="G111" s="802"/>
      <c r="H111" s="808">
        <f t="shared" si="1"/>
        <v>250</v>
      </c>
      <c r="I111" s="8"/>
    </row>
    <row r="112" spans="1:9" hidden="1" x14ac:dyDescent="0.2">
      <c r="A112" s="842">
        <v>557</v>
      </c>
      <c r="B112" s="834" t="s">
        <v>94</v>
      </c>
      <c r="C112" s="818">
        <f>SUM(C113:C115)</f>
        <v>0</v>
      </c>
      <c r="D112" s="424">
        <f>SUM(D113:D115)</f>
        <v>0</v>
      </c>
      <c r="E112" s="13"/>
      <c r="F112" s="13"/>
      <c r="G112" s="802"/>
      <c r="H112" s="809">
        <f t="shared" si="1"/>
        <v>0</v>
      </c>
    </row>
    <row r="113" spans="1:9" hidden="1" x14ac:dyDescent="0.2">
      <c r="A113" s="789">
        <v>55701</v>
      </c>
      <c r="B113" s="784" t="s">
        <v>95</v>
      </c>
      <c r="C113" s="819">
        <v>0</v>
      </c>
      <c r="D113" s="425">
        <v>0</v>
      </c>
      <c r="E113" s="13"/>
      <c r="F113" s="13"/>
      <c r="G113" s="802"/>
      <c r="H113" s="808">
        <f t="shared" si="1"/>
        <v>0</v>
      </c>
    </row>
    <row r="114" spans="1:9" hidden="1" x14ac:dyDescent="0.2">
      <c r="A114" s="789">
        <v>55702</v>
      </c>
      <c r="B114" s="784" t="s">
        <v>96</v>
      </c>
      <c r="C114" s="819">
        <v>0</v>
      </c>
      <c r="D114" s="425">
        <v>0</v>
      </c>
      <c r="E114" s="13"/>
      <c r="F114" s="13"/>
      <c r="G114" s="802"/>
      <c r="H114" s="808">
        <f t="shared" si="1"/>
        <v>0</v>
      </c>
    </row>
    <row r="115" spans="1:9" hidden="1" x14ac:dyDescent="0.2">
      <c r="A115" s="789">
        <v>55799</v>
      </c>
      <c r="B115" s="784" t="s">
        <v>97</v>
      </c>
      <c r="C115" s="819">
        <v>0</v>
      </c>
      <c r="D115" s="425">
        <v>0</v>
      </c>
      <c r="E115" s="13"/>
      <c r="F115" s="13"/>
      <c r="G115" s="802"/>
      <c r="H115" s="808">
        <f t="shared" si="1"/>
        <v>0</v>
      </c>
      <c r="I115" s="8"/>
    </row>
    <row r="116" spans="1:9" hidden="1" x14ac:dyDescent="0.2">
      <c r="A116" s="789"/>
      <c r="B116" s="784"/>
      <c r="C116" s="819"/>
      <c r="D116" s="425"/>
      <c r="E116" s="13"/>
      <c r="F116" s="13"/>
      <c r="G116" s="802"/>
      <c r="H116" s="808"/>
    </row>
    <row r="117" spans="1:9" x14ac:dyDescent="0.2">
      <c r="A117" s="842">
        <v>56</v>
      </c>
      <c r="B117" s="834" t="s">
        <v>98</v>
      </c>
      <c r="C117" s="818">
        <f>C118+C121</f>
        <v>15925.9</v>
      </c>
      <c r="D117" s="424">
        <f>D118+D121</f>
        <v>3329.7799999999997</v>
      </c>
      <c r="E117" s="13"/>
      <c r="F117" s="13"/>
      <c r="G117" s="802"/>
      <c r="H117" s="809">
        <f t="shared" si="1"/>
        <v>19255.68</v>
      </c>
      <c r="I117" s="8"/>
    </row>
    <row r="118" spans="1:9" ht="22.5" x14ac:dyDescent="0.2">
      <c r="A118" s="842">
        <v>562</v>
      </c>
      <c r="B118" s="832" t="s">
        <v>99</v>
      </c>
      <c r="C118" s="818">
        <f>SUM(C119:C120)</f>
        <v>14925.9</v>
      </c>
      <c r="D118" s="424">
        <f>SUM(D119:D120)</f>
        <v>1329.78</v>
      </c>
      <c r="E118" s="13"/>
      <c r="F118" s="13"/>
      <c r="G118" s="802"/>
      <c r="H118" s="809">
        <f t="shared" si="1"/>
        <v>16255.68</v>
      </c>
    </row>
    <row r="119" spans="1:9" x14ac:dyDescent="0.2">
      <c r="A119" s="789">
        <v>56201</v>
      </c>
      <c r="B119" s="784" t="s">
        <v>576</v>
      </c>
      <c r="C119" s="819">
        <v>0</v>
      </c>
      <c r="D119" s="425">
        <v>0</v>
      </c>
      <c r="E119" s="13"/>
      <c r="F119" s="13"/>
      <c r="G119" s="802"/>
      <c r="H119" s="808">
        <f t="shared" si="1"/>
        <v>0</v>
      </c>
    </row>
    <row r="120" spans="1:9" ht="22.5" x14ac:dyDescent="0.2">
      <c r="A120" s="789">
        <v>56201937</v>
      </c>
      <c r="B120" s="837" t="s">
        <v>541</v>
      </c>
      <c r="C120" s="819">
        <f>'egresos 25% y F.P'!G87</f>
        <v>14925.9</v>
      </c>
      <c r="D120" s="425">
        <f>+'egresos 25% y F.P'!C191</f>
        <v>1329.78</v>
      </c>
      <c r="E120" s="13"/>
      <c r="F120" s="13"/>
      <c r="G120" s="802"/>
      <c r="H120" s="808">
        <f t="shared" si="1"/>
        <v>16255.68</v>
      </c>
    </row>
    <row r="121" spans="1:9" ht="22.5" x14ac:dyDescent="0.2">
      <c r="A121" s="842">
        <v>563</v>
      </c>
      <c r="B121" s="832" t="s">
        <v>101</v>
      </c>
      <c r="C121" s="818">
        <f>SUM(C122:C123)</f>
        <v>1000</v>
      </c>
      <c r="D121" s="424">
        <f>SUM(D122:D123)</f>
        <v>2000</v>
      </c>
      <c r="E121" s="13"/>
      <c r="F121" s="13"/>
      <c r="G121" s="802"/>
      <c r="H121" s="809">
        <f t="shared" si="1"/>
        <v>3000</v>
      </c>
    </row>
    <row r="122" spans="1:9" x14ac:dyDescent="0.2">
      <c r="A122" s="789">
        <v>56303</v>
      </c>
      <c r="B122" s="784" t="s">
        <v>100</v>
      </c>
      <c r="C122" s="819">
        <v>0</v>
      </c>
      <c r="D122" s="425">
        <v>0</v>
      </c>
      <c r="E122" s="13"/>
      <c r="F122" s="13"/>
      <c r="G122" s="802"/>
      <c r="H122" s="808">
        <f t="shared" si="1"/>
        <v>0</v>
      </c>
    </row>
    <row r="123" spans="1:9" ht="13.5" thickBot="1" x14ac:dyDescent="0.25">
      <c r="A123" s="789">
        <v>56304</v>
      </c>
      <c r="B123" s="784" t="s">
        <v>102</v>
      </c>
      <c r="C123" s="819">
        <f>'egresos 25% y F.P'!G90</f>
        <v>1000</v>
      </c>
      <c r="D123" s="425">
        <f>'egresos 25% y F.P'!G194</f>
        <v>2000</v>
      </c>
      <c r="E123" s="13"/>
      <c r="F123" s="13"/>
      <c r="G123" s="802"/>
      <c r="H123" s="808">
        <f t="shared" si="1"/>
        <v>3000</v>
      </c>
    </row>
    <row r="124" spans="1:9" hidden="1" x14ac:dyDescent="0.2">
      <c r="A124" s="791" t="s">
        <v>164</v>
      </c>
      <c r="B124" s="785" t="s">
        <v>165</v>
      </c>
      <c r="C124" s="818">
        <f>C125</f>
        <v>0</v>
      </c>
      <c r="D124" s="424">
        <f>D125</f>
        <v>0</v>
      </c>
      <c r="E124" s="13"/>
      <c r="F124" s="13"/>
      <c r="G124" s="802"/>
      <c r="H124" s="809">
        <f t="shared" si="1"/>
        <v>0</v>
      </c>
    </row>
    <row r="125" spans="1:9" hidden="1" x14ac:dyDescent="0.2">
      <c r="A125" s="791" t="s">
        <v>259</v>
      </c>
      <c r="B125" s="838" t="s">
        <v>202</v>
      </c>
      <c r="C125" s="818">
        <f>C126</f>
        <v>0</v>
      </c>
      <c r="D125" s="424">
        <f>D126</f>
        <v>0</v>
      </c>
      <c r="E125" s="13"/>
      <c r="F125" s="13"/>
      <c r="G125" s="802"/>
      <c r="H125" s="809">
        <f>H126</f>
        <v>0</v>
      </c>
    </row>
    <row r="126" spans="1:9" ht="23.25" hidden="1" thickBot="1" x14ac:dyDescent="0.25">
      <c r="A126" s="843" t="s">
        <v>260</v>
      </c>
      <c r="B126" s="835" t="s">
        <v>261</v>
      </c>
      <c r="C126" s="819">
        <f>'egresos 25% y F.P'!G93</f>
        <v>0</v>
      </c>
      <c r="D126" s="427">
        <f>'egresos 25% y F.P'!G197</f>
        <v>0</v>
      </c>
      <c r="E126" s="68"/>
      <c r="F126" s="68"/>
      <c r="G126" s="803"/>
      <c r="H126" s="812">
        <f>SUM(C126:D126)</f>
        <v>0</v>
      </c>
    </row>
    <row r="127" spans="1:9" hidden="1" x14ac:dyDescent="0.2">
      <c r="A127" s="791"/>
      <c r="B127" s="839"/>
      <c r="C127" s="821"/>
      <c r="D127" s="427"/>
      <c r="E127" s="68"/>
      <c r="F127" s="68"/>
      <c r="G127" s="803"/>
      <c r="H127" s="812"/>
    </row>
    <row r="128" spans="1:9" ht="12.75" hidden="1" customHeight="1" x14ac:dyDescent="0.2">
      <c r="A128" s="791" t="s">
        <v>166</v>
      </c>
      <c r="B128" s="785" t="s">
        <v>167</v>
      </c>
      <c r="C128" s="818"/>
      <c r="D128" s="424"/>
      <c r="E128" s="13"/>
      <c r="F128" s="13"/>
      <c r="G128" s="802"/>
      <c r="H128" s="809">
        <f t="shared" si="1"/>
        <v>0</v>
      </c>
    </row>
    <row r="129" spans="1:8" ht="12.75" hidden="1" customHeight="1" x14ac:dyDescent="0.2">
      <c r="A129" s="843" t="s">
        <v>168</v>
      </c>
      <c r="B129" s="839" t="s">
        <v>169</v>
      </c>
      <c r="C129" s="819"/>
      <c r="D129" s="425"/>
      <c r="E129" s="13"/>
      <c r="F129" s="13"/>
      <c r="G129" s="802"/>
      <c r="H129" s="808">
        <f t="shared" si="1"/>
        <v>0</v>
      </c>
    </row>
    <row r="130" spans="1:8" ht="12.75" hidden="1" customHeight="1" x14ac:dyDescent="0.2">
      <c r="A130" s="843" t="s">
        <v>170</v>
      </c>
      <c r="B130" s="839" t="s">
        <v>171</v>
      </c>
      <c r="C130" s="819"/>
      <c r="D130" s="425"/>
      <c r="E130" s="13"/>
      <c r="F130" s="13"/>
      <c r="G130" s="802"/>
      <c r="H130" s="808">
        <f t="shared" si="1"/>
        <v>0</v>
      </c>
    </row>
    <row r="131" spans="1:8" ht="12.75" hidden="1" customHeight="1" x14ac:dyDescent="0.2">
      <c r="A131" s="843" t="s">
        <v>172</v>
      </c>
      <c r="B131" s="839" t="s">
        <v>173</v>
      </c>
      <c r="C131" s="819"/>
      <c r="D131" s="425"/>
      <c r="E131" s="13"/>
      <c r="F131" s="13"/>
      <c r="G131" s="802"/>
      <c r="H131" s="808">
        <f t="shared" si="1"/>
        <v>0</v>
      </c>
    </row>
    <row r="132" spans="1:8" ht="12.75" hidden="1" customHeight="1" x14ac:dyDescent="0.2">
      <c r="A132" s="843" t="s">
        <v>174</v>
      </c>
      <c r="B132" s="839" t="s">
        <v>175</v>
      </c>
      <c r="C132" s="819"/>
      <c r="D132" s="425"/>
      <c r="E132" s="13"/>
      <c r="F132" s="13"/>
      <c r="G132" s="802"/>
      <c r="H132" s="808">
        <f t="shared" si="1"/>
        <v>0</v>
      </c>
    </row>
    <row r="133" spans="1:8" ht="12.75" hidden="1" customHeight="1" x14ac:dyDescent="0.2">
      <c r="A133" s="843" t="s">
        <v>176</v>
      </c>
      <c r="B133" s="839" t="s">
        <v>177</v>
      </c>
      <c r="C133" s="819"/>
      <c r="D133" s="425"/>
      <c r="E133" s="13"/>
      <c r="F133" s="13"/>
      <c r="G133" s="802"/>
      <c r="H133" s="808">
        <f t="shared" si="1"/>
        <v>0</v>
      </c>
    </row>
    <row r="134" spans="1:8" ht="12.75" hidden="1" customHeight="1" x14ac:dyDescent="0.2">
      <c r="A134" s="843" t="s">
        <v>178</v>
      </c>
      <c r="B134" s="839" t="s">
        <v>179</v>
      </c>
      <c r="C134" s="819"/>
      <c r="D134" s="425"/>
      <c r="E134" s="13"/>
      <c r="F134" s="13"/>
      <c r="G134" s="802"/>
      <c r="H134" s="808">
        <f t="shared" si="1"/>
        <v>0</v>
      </c>
    </row>
    <row r="135" spans="1:8" ht="12.75" hidden="1" customHeight="1" x14ac:dyDescent="0.2">
      <c r="A135" s="843" t="s">
        <v>180</v>
      </c>
      <c r="B135" s="839" t="s">
        <v>181</v>
      </c>
      <c r="C135" s="819"/>
      <c r="D135" s="425"/>
      <c r="E135" s="13"/>
      <c r="F135" s="13"/>
      <c r="G135" s="802"/>
      <c r="H135" s="808">
        <f t="shared" si="1"/>
        <v>0</v>
      </c>
    </row>
    <row r="136" spans="1:8" ht="12.75" hidden="1" customHeight="1" x14ac:dyDescent="0.2">
      <c r="A136" s="843" t="s">
        <v>182</v>
      </c>
      <c r="B136" s="839" t="s">
        <v>183</v>
      </c>
      <c r="C136" s="819"/>
      <c r="D136" s="425"/>
      <c r="E136" s="13"/>
      <c r="F136" s="13"/>
      <c r="G136" s="802"/>
      <c r="H136" s="808">
        <f t="shared" si="1"/>
        <v>0</v>
      </c>
    </row>
    <row r="137" spans="1:8" ht="12.75" hidden="1" customHeight="1" x14ac:dyDescent="0.2">
      <c r="A137" s="842">
        <v>72</v>
      </c>
      <c r="B137" s="834" t="s">
        <v>13</v>
      </c>
      <c r="C137" s="818"/>
      <c r="D137" s="424"/>
      <c r="E137" s="13"/>
      <c r="F137" s="13"/>
      <c r="G137" s="802"/>
      <c r="H137" s="809">
        <f t="shared" si="1"/>
        <v>0</v>
      </c>
    </row>
    <row r="138" spans="1:8" ht="22.5" hidden="1" customHeight="1" x14ac:dyDescent="0.2">
      <c r="A138" s="842">
        <v>721</v>
      </c>
      <c r="B138" s="832" t="s">
        <v>184</v>
      </c>
      <c r="C138" s="818"/>
      <c r="D138" s="424"/>
      <c r="E138" s="13"/>
      <c r="F138" s="13"/>
      <c r="G138" s="802"/>
      <c r="H138" s="809">
        <f t="shared" si="1"/>
        <v>0</v>
      </c>
    </row>
    <row r="139" spans="1:8" ht="22.5" hidden="1" customHeight="1" x14ac:dyDescent="0.2">
      <c r="A139" s="789">
        <v>72101</v>
      </c>
      <c r="B139" s="835" t="s">
        <v>184</v>
      </c>
      <c r="C139" s="819"/>
      <c r="D139" s="425"/>
      <c r="E139" s="13"/>
      <c r="F139" s="13"/>
      <c r="G139" s="802"/>
      <c r="H139" s="808">
        <f t="shared" si="1"/>
        <v>0</v>
      </c>
    </row>
    <row r="140" spans="1:8" hidden="1" x14ac:dyDescent="0.2">
      <c r="A140" s="789"/>
      <c r="B140" s="784"/>
      <c r="C140" s="819"/>
      <c r="D140" s="425"/>
      <c r="E140" s="13"/>
      <c r="F140" s="13"/>
      <c r="G140" s="802"/>
      <c r="H140" s="808"/>
    </row>
    <row r="141" spans="1:8" hidden="1" x14ac:dyDescent="0.2">
      <c r="A141" s="842">
        <v>99</v>
      </c>
      <c r="B141" s="834" t="s">
        <v>185</v>
      </c>
      <c r="C141" s="818"/>
      <c r="D141" s="424"/>
      <c r="E141" s="13"/>
      <c r="F141" s="13"/>
      <c r="G141" s="802"/>
      <c r="H141" s="809">
        <f t="shared" si="1"/>
        <v>0</v>
      </c>
    </row>
    <row r="142" spans="1:8" ht="22.5" hidden="1" x14ac:dyDescent="0.2">
      <c r="A142" s="842">
        <v>991</v>
      </c>
      <c r="B142" s="832" t="s">
        <v>186</v>
      </c>
      <c r="C142" s="822"/>
      <c r="D142" s="424"/>
      <c r="E142" s="13"/>
      <c r="F142" s="13"/>
      <c r="G142" s="802"/>
      <c r="H142" s="809">
        <f t="shared" si="1"/>
        <v>0</v>
      </c>
    </row>
    <row r="143" spans="1:8" ht="23.25" hidden="1" thickBot="1" x14ac:dyDescent="0.25">
      <c r="A143" s="845">
        <v>99101</v>
      </c>
      <c r="B143" s="840" t="s">
        <v>186</v>
      </c>
      <c r="C143" s="823"/>
      <c r="D143" s="428"/>
      <c r="E143" s="100"/>
      <c r="F143" s="100"/>
      <c r="G143" s="804"/>
      <c r="H143" s="813">
        <f t="shared" si="1"/>
        <v>0</v>
      </c>
    </row>
    <row r="144" spans="1:8" ht="13.5" thickBot="1" x14ac:dyDescent="0.25">
      <c r="A144" s="846"/>
      <c r="B144" s="726" t="s">
        <v>187</v>
      </c>
      <c r="C144" s="824">
        <f t="shared" ref="C144:G144" si="2">+C141+C137+C124+C117+C101+C47+C14</f>
        <v>341893.4523</v>
      </c>
      <c r="D144" s="429">
        <f t="shared" si="2"/>
        <v>256787.30230000001</v>
      </c>
      <c r="E144" s="101">
        <f t="shared" si="2"/>
        <v>0</v>
      </c>
      <c r="F144" s="101">
        <f t="shared" si="2"/>
        <v>0</v>
      </c>
      <c r="G144" s="805">
        <f t="shared" si="2"/>
        <v>0</v>
      </c>
      <c r="H144" s="814">
        <f>+H141+H137+H124+H117+H101+H47+H14</f>
        <v>598680.75459999999</v>
      </c>
    </row>
    <row r="146" spans="2:8" x14ac:dyDescent="0.2">
      <c r="B146" s="649" t="s">
        <v>602</v>
      </c>
      <c r="C146" s="650">
        <f>'ING. REALES'!C71</f>
        <v>341893.45</v>
      </c>
      <c r="D146" s="973"/>
      <c r="E146" s="651"/>
      <c r="F146" s="651"/>
      <c r="G146" s="651"/>
      <c r="H146" s="650">
        <f>SUM(C146:D146)</f>
        <v>341893.45</v>
      </c>
    </row>
    <row r="147" spans="2:8" x14ac:dyDescent="0.2">
      <c r="B147" s="651"/>
      <c r="C147" s="650"/>
      <c r="D147" s="650"/>
      <c r="E147" s="651"/>
      <c r="F147" s="651"/>
      <c r="G147" s="651"/>
      <c r="H147" s="651"/>
    </row>
    <row r="148" spans="2:8" x14ac:dyDescent="0.2">
      <c r="B148" s="651"/>
      <c r="C148" s="650">
        <f>C146-C144</f>
        <v>-2.2999999928288162E-3</v>
      </c>
      <c r="D148" s="650">
        <f>D146-D144</f>
        <v>-256787.30230000001</v>
      </c>
      <c r="E148" s="651"/>
      <c r="F148" s="651"/>
      <c r="G148" s="651"/>
      <c r="H148" s="651"/>
    </row>
    <row r="149" spans="2:8" x14ac:dyDescent="0.2">
      <c r="B149" s="651"/>
      <c r="C149" s="650"/>
      <c r="D149" s="650"/>
      <c r="E149" s="651"/>
      <c r="F149" s="651"/>
      <c r="G149" s="651"/>
      <c r="H149" s="651"/>
    </row>
  </sheetData>
  <mergeCells count="11">
    <mergeCell ref="A3:H3"/>
    <mergeCell ref="A4:H4"/>
    <mergeCell ref="A5:H5"/>
    <mergeCell ref="A12:B12"/>
    <mergeCell ref="C12:G12"/>
    <mergeCell ref="H12:H13"/>
    <mergeCell ref="A7:H7"/>
    <mergeCell ref="A8:H8"/>
    <mergeCell ref="A9:H9"/>
    <mergeCell ref="A10:H10"/>
    <mergeCell ref="A11:H11"/>
  </mergeCells>
  <phoneticPr fontId="5" type="noConversion"/>
  <printOptions horizontalCentered="1"/>
  <pageMargins left="0.74803149606299213" right="0.74803149606299213" top="0.35433070866141736" bottom="0.35433070866141736" header="0" footer="0"/>
  <pageSetup scale="90" orientation="portrait" horizontalDpi="4294967294" verticalDpi="18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22"/>
  </sheetPr>
  <dimension ref="A3:L68"/>
  <sheetViews>
    <sheetView showGridLines="0" topLeftCell="A65" zoomScale="115" zoomScaleNormal="115" workbookViewId="0">
      <selection activeCell="A6" sqref="A6:J6"/>
    </sheetView>
  </sheetViews>
  <sheetFormatPr baseColWidth="10" defaultRowHeight="12.75" x14ac:dyDescent="0.2"/>
  <cols>
    <col min="1" max="1" width="8.28515625" style="405" customWidth="1"/>
    <col min="2" max="2" width="10.7109375" style="406" customWidth="1"/>
    <col min="3" max="3" width="52.5703125" style="288" customWidth="1"/>
    <col min="4" max="4" width="15.140625" style="246" customWidth="1"/>
    <col min="5" max="6" width="18.42578125" style="246" hidden="1" customWidth="1"/>
    <col min="7" max="9" width="15.85546875" style="246" customWidth="1"/>
    <col min="10" max="10" width="17.5703125" customWidth="1"/>
  </cols>
  <sheetData>
    <row r="3" spans="1:10" ht="15.75" x14ac:dyDescent="0.25">
      <c r="A3" s="1092" t="s">
        <v>189</v>
      </c>
      <c r="B3" s="1093"/>
      <c r="C3" s="1093"/>
      <c r="D3" s="1093"/>
      <c r="E3" s="1093"/>
      <c r="F3" s="1093"/>
      <c r="G3" s="1093"/>
      <c r="H3" s="1093"/>
      <c r="I3" s="1093"/>
      <c r="J3" s="1093"/>
    </row>
    <row r="4" spans="1:10" x14ac:dyDescent="0.2">
      <c r="A4" s="1094" t="s">
        <v>695</v>
      </c>
      <c r="B4" s="1095"/>
      <c r="C4" s="1095"/>
      <c r="D4" s="1095"/>
      <c r="E4" s="1095"/>
      <c r="F4" s="1095"/>
      <c r="G4" s="1095"/>
      <c r="H4" s="1095"/>
      <c r="I4" s="1095"/>
      <c r="J4" s="1095"/>
    </row>
    <row r="5" spans="1:10" ht="15" x14ac:dyDescent="0.3">
      <c r="A5" s="447"/>
      <c r="B5" s="448"/>
      <c r="C5" s="448"/>
      <c r="D5" s="448"/>
      <c r="E5" s="448"/>
      <c r="F5" s="448"/>
      <c r="G5" s="448"/>
      <c r="H5" s="448"/>
      <c r="I5" s="448"/>
      <c r="J5" s="448"/>
    </row>
    <row r="6" spans="1:10" ht="18" customHeight="1" x14ac:dyDescent="0.3">
      <c r="A6" s="1080" t="s">
        <v>477</v>
      </c>
      <c r="B6" s="1081"/>
      <c r="C6" s="1081"/>
      <c r="D6" s="1081"/>
      <c r="E6" s="1081"/>
      <c r="F6" s="1081"/>
      <c r="G6" s="1081"/>
      <c r="H6" s="1081"/>
      <c r="I6" s="1081"/>
      <c r="J6" s="1081"/>
    </row>
    <row r="7" spans="1:10" ht="18" customHeight="1" x14ac:dyDescent="0.3">
      <c r="A7" s="1080" t="s">
        <v>699</v>
      </c>
      <c r="B7" s="1081"/>
      <c r="C7" s="1081"/>
      <c r="D7" s="1081"/>
      <c r="E7" s="1081"/>
      <c r="F7" s="1081"/>
      <c r="G7" s="1081"/>
      <c r="H7" s="1081"/>
      <c r="I7" s="1081"/>
      <c r="J7" s="1081"/>
    </row>
    <row r="8" spans="1:10" ht="18" customHeight="1" x14ac:dyDescent="0.3">
      <c r="A8" s="1080" t="s">
        <v>331</v>
      </c>
      <c r="B8" s="1081"/>
      <c r="C8" s="1081"/>
      <c r="D8" s="1081"/>
      <c r="E8" s="1081"/>
      <c r="F8" s="1081"/>
      <c r="G8" s="1081"/>
      <c r="H8" s="1081"/>
      <c r="I8" s="1081"/>
      <c r="J8" s="1081"/>
    </row>
    <row r="9" spans="1:10" ht="18" customHeight="1" x14ac:dyDescent="0.3">
      <c r="A9" s="1080" t="s">
        <v>332</v>
      </c>
      <c r="B9" s="1081"/>
      <c r="C9" s="1081"/>
      <c r="D9" s="1081"/>
      <c r="E9" s="1081"/>
      <c r="F9" s="1081"/>
      <c r="G9" s="1081"/>
      <c r="H9" s="1081"/>
      <c r="I9" s="1081"/>
      <c r="J9" s="1081"/>
    </row>
    <row r="10" spans="1:10" ht="18" customHeight="1" x14ac:dyDescent="0.3">
      <c r="A10" s="1080" t="s">
        <v>333</v>
      </c>
      <c r="B10" s="1081"/>
      <c r="C10" s="1081"/>
      <c r="D10" s="1081"/>
      <c r="E10" s="1081"/>
      <c r="F10" s="1081"/>
      <c r="G10" s="1081"/>
      <c r="H10" s="1081"/>
      <c r="I10" s="1081"/>
      <c r="J10" s="1081"/>
    </row>
    <row r="11" spans="1:10" ht="10.5" customHeight="1" thickBot="1" x14ac:dyDescent="0.35">
      <c r="A11" s="445"/>
      <c r="B11" s="446"/>
      <c r="C11" s="446"/>
      <c r="D11" s="446"/>
      <c r="E11" s="446"/>
      <c r="F11" s="446"/>
      <c r="G11" s="446"/>
      <c r="H11" s="446"/>
      <c r="I11" s="446"/>
      <c r="J11" s="446"/>
    </row>
    <row r="12" spans="1:10" ht="13.5" customHeight="1" thickBot="1" x14ac:dyDescent="0.25">
      <c r="A12" s="1082" t="s">
        <v>663</v>
      </c>
      <c r="B12" s="1084" t="s">
        <v>664</v>
      </c>
      <c r="C12" s="1086" t="s">
        <v>696</v>
      </c>
      <c r="D12" s="1089" t="s">
        <v>697</v>
      </c>
      <c r="E12" s="1090"/>
      <c r="F12" s="1090"/>
      <c r="G12" s="1090"/>
      <c r="H12" s="1090"/>
      <c r="I12" s="1091"/>
      <c r="J12" s="1087" t="s">
        <v>698</v>
      </c>
    </row>
    <row r="13" spans="1:10" ht="24.75" thickBot="1" x14ac:dyDescent="0.25">
      <c r="A13" s="1083"/>
      <c r="B13" s="1085"/>
      <c r="C13" s="1083"/>
      <c r="D13" s="654" t="s">
        <v>194</v>
      </c>
      <c r="E13" s="655" t="s">
        <v>1</v>
      </c>
      <c r="F13" s="655" t="s">
        <v>2</v>
      </c>
      <c r="G13" s="655" t="s">
        <v>464</v>
      </c>
      <c r="H13" s="656" t="s">
        <v>123</v>
      </c>
      <c r="I13" s="656" t="s">
        <v>3</v>
      </c>
      <c r="J13" s="1088"/>
    </row>
    <row r="14" spans="1:10" x14ac:dyDescent="0.2">
      <c r="A14" s="596" t="s">
        <v>511</v>
      </c>
      <c r="B14" s="863"/>
      <c r="C14" s="251"/>
      <c r="D14" s="849"/>
      <c r="E14" s="402"/>
      <c r="F14" s="402"/>
      <c r="G14" s="402"/>
      <c r="H14" s="402"/>
      <c r="I14" s="850"/>
      <c r="J14" s="250"/>
    </row>
    <row r="15" spans="1:10" x14ac:dyDescent="0.2">
      <c r="A15" s="403">
        <v>61</v>
      </c>
      <c r="B15" s="864"/>
      <c r="C15" s="399" t="s">
        <v>557</v>
      </c>
      <c r="D15" s="851">
        <f>+D16+D21+D25+D31</f>
        <v>569523.96000000008</v>
      </c>
      <c r="E15" s="287"/>
      <c r="F15" s="287"/>
      <c r="G15" s="400">
        <v>0</v>
      </c>
      <c r="H15" s="400">
        <v>0</v>
      </c>
      <c r="I15" s="852">
        <f>+I31</f>
        <v>581.32000000000005</v>
      </c>
      <c r="J15" s="26">
        <f>SUM(D15:I15)</f>
        <v>570105.28</v>
      </c>
    </row>
    <row r="16" spans="1:10" x14ac:dyDescent="0.2">
      <c r="A16" s="403">
        <v>611</v>
      </c>
      <c r="B16" s="865"/>
      <c r="C16" s="644" t="s">
        <v>568</v>
      </c>
      <c r="D16" s="853">
        <f>D17+D18+D19</f>
        <v>8322.01</v>
      </c>
      <c r="E16" s="400" t="e">
        <f>SUM(#REF!)</f>
        <v>#REF!</v>
      </c>
      <c r="F16" s="400" t="e">
        <f>SUM(#REF!)</f>
        <v>#REF!</v>
      </c>
      <c r="G16" s="287">
        <v>0</v>
      </c>
      <c r="H16" s="287">
        <v>0</v>
      </c>
      <c r="I16" s="854">
        <v>0</v>
      </c>
      <c r="J16" s="382">
        <f>D16</f>
        <v>8322.01</v>
      </c>
    </row>
    <row r="17" spans="1:10" x14ac:dyDescent="0.2">
      <c r="A17" s="401">
        <v>61104</v>
      </c>
      <c r="B17" s="865"/>
      <c r="C17" s="645" t="s">
        <v>506</v>
      </c>
      <c r="D17" s="855">
        <v>8322.01</v>
      </c>
      <c r="E17" s="287"/>
      <c r="F17" s="287"/>
      <c r="G17" s="287">
        <v>0</v>
      </c>
      <c r="H17" s="287">
        <v>0</v>
      </c>
      <c r="I17" s="854">
        <v>0</v>
      </c>
      <c r="J17" s="250">
        <f>SUM(D17:H17)</f>
        <v>8322.01</v>
      </c>
    </row>
    <row r="18" spans="1:10" hidden="1" x14ac:dyDescent="0.2">
      <c r="A18" s="401">
        <v>61105</v>
      </c>
      <c r="B18" s="866"/>
      <c r="C18" s="645"/>
      <c r="D18" s="855"/>
      <c r="E18" s="287"/>
      <c r="F18" s="287"/>
      <c r="G18" s="287">
        <v>0</v>
      </c>
      <c r="H18" s="287">
        <v>0</v>
      </c>
      <c r="I18" s="854">
        <v>0</v>
      </c>
      <c r="J18" s="250">
        <f>SUM(D18:I18)</f>
        <v>0</v>
      </c>
    </row>
    <row r="19" spans="1:10" hidden="1" x14ac:dyDescent="0.2">
      <c r="A19" s="401">
        <v>61199</v>
      </c>
      <c r="B19" s="865"/>
      <c r="C19" s="645"/>
      <c r="D19" s="855"/>
      <c r="E19" s="287"/>
      <c r="F19" s="287"/>
      <c r="G19" s="287">
        <v>0</v>
      </c>
      <c r="H19" s="287">
        <v>0</v>
      </c>
      <c r="I19" s="854">
        <v>0</v>
      </c>
      <c r="J19" s="250">
        <f>SUM(D19:H19)</f>
        <v>0</v>
      </c>
    </row>
    <row r="20" spans="1:10" x14ac:dyDescent="0.2">
      <c r="A20" s="596" t="s">
        <v>511</v>
      </c>
      <c r="B20" s="865"/>
      <c r="C20" s="645"/>
      <c r="D20" s="855"/>
      <c r="E20" s="287"/>
      <c r="F20" s="287"/>
      <c r="G20" s="287"/>
      <c r="H20" s="287"/>
      <c r="I20" s="854"/>
      <c r="J20" s="250"/>
    </row>
    <row r="21" spans="1:10" x14ac:dyDescent="0.2">
      <c r="A21" s="403">
        <v>612</v>
      </c>
      <c r="B21" s="865"/>
      <c r="C21" s="646" t="s">
        <v>566</v>
      </c>
      <c r="D21" s="853">
        <f>+D23</f>
        <v>7223.64</v>
      </c>
      <c r="E21" s="287"/>
      <c r="F21" s="287"/>
      <c r="G21" s="400">
        <v>0</v>
      </c>
      <c r="H21" s="400">
        <v>0</v>
      </c>
      <c r="I21" s="852">
        <v>0</v>
      </c>
      <c r="J21" s="26">
        <f>SUM(D21:H21)</f>
        <v>7223.64</v>
      </c>
    </row>
    <row r="22" spans="1:10" x14ac:dyDescent="0.2">
      <c r="A22" s="403">
        <v>61202</v>
      </c>
      <c r="B22" s="867"/>
      <c r="C22" s="646" t="s">
        <v>196</v>
      </c>
      <c r="D22" s="853">
        <f>+D23</f>
        <v>7223.64</v>
      </c>
      <c r="E22" s="287"/>
      <c r="F22" s="287"/>
      <c r="G22" s="400">
        <v>0</v>
      </c>
      <c r="H22" s="400">
        <v>0</v>
      </c>
      <c r="I22" s="852">
        <v>0</v>
      </c>
      <c r="J22" s="26">
        <f>SUM(D22:H22)</f>
        <v>7223.64</v>
      </c>
    </row>
    <row r="23" spans="1:10" x14ac:dyDescent="0.2">
      <c r="A23" s="596" t="s">
        <v>511</v>
      </c>
      <c r="B23" s="868" t="s">
        <v>501</v>
      </c>
      <c r="C23" s="645" t="s">
        <v>546</v>
      </c>
      <c r="D23" s="855">
        <v>7223.64</v>
      </c>
      <c r="E23" s="287"/>
      <c r="F23" s="287"/>
      <c r="G23" s="287">
        <v>0</v>
      </c>
      <c r="H23" s="287">
        <v>0</v>
      </c>
      <c r="I23" s="854">
        <v>0</v>
      </c>
      <c r="J23" s="250">
        <f>+D23</f>
        <v>7223.64</v>
      </c>
    </row>
    <row r="24" spans="1:10" x14ac:dyDescent="0.2">
      <c r="A24" s="596" t="s">
        <v>511</v>
      </c>
      <c r="B24" s="865"/>
      <c r="C24" s="645"/>
      <c r="D24" s="855"/>
      <c r="E24" s="287"/>
      <c r="F24" s="287"/>
      <c r="G24" s="287"/>
      <c r="H24" s="287"/>
      <c r="I24" s="854"/>
      <c r="J24" s="250"/>
    </row>
    <row r="25" spans="1:10" x14ac:dyDescent="0.2">
      <c r="A25" s="404">
        <v>615</v>
      </c>
      <c r="B25" s="865"/>
      <c r="C25" s="644" t="s">
        <v>558</v>
      </c>
      <c r="D25" s="856">
        <f>+D29</f>
        <v>51610.65</v>
      </c>
      <c r="E25" s="384">
        <f t="shared" ref="E25:J25" si="0">SUM(E26:E29)</f>
        <v>0</v>
      </c>
      <c r="F25" s="384">
        <f t="shared" si="0"/>
        <v>0</v>
      </c>
      <c r="G25" s="384">
        <f t="shared" si="0"/>
        <v>0</v>
      </c>
      <c r="H25" s="384">
        <f t="shared" si="0"/>
        <v>0</v>
      </c>
      <c r="I25" s="857">
        <f t="shared" si="0"/>
        <v>0</v>
      </c>
      <c r="J25" s="26">
        <f t="shared" si="0"/>
        <v>51610.65</v>
      </c>
    </row>
    <row r="26" spans="1:10" x14ac:dyDescent="0.2">
      <c r="A26" s="861">
        <v>61501</v>
      </c>
      <c r="B26" s="869"/>
      <c r="C26" s="847" t="s">
        <v>559</v>
      </c>
      <c r="D26" s="858">
        <v>0</v>
      </c>
      <c r="E26" s="385">
        <v>0</v>
      </c>
      <c r="F26" s="385">
        <v>0</v>
      </c>
      <c r="G26" s="385">
        <v>0</v>
      </c>
      <c r="H26" s="385">
        <v>0</v>
      </c>
      <c r="I26" s="859">
        <v>0</v>
      </c>
      <c r="J26" s="250">
        <f>SUM(D26:H26)</f>
        <v>0</v>
      </c>
    </row>
    <row r="27" spans="1:10" hidden="1" x14ac:dyDescent="0.2">
      <c r="A27" s="861">
        <v>61502</v>
      </c>
      <c r="B27" s="869"/>
      <c r="C27" s="847" t="s">
        <v>560</v>
      </c>
      <c r="D27" s="858">
        <v>0</v>
      </c>
      <c r="E27" s="385">
        <v>0</v>
      </c>
      <c r="F27" s="385">
        <v>0</v>
      </c>
      <c r="G27" s="385">
        <v>0</v>
      </c>
      <c r="H27" s="385">
        <v>0</v>
      </c>
      <c r="I27" s="859">
        <v>0</v>
      </c>
      <c r="J27" s="250">
        <f>SUM(D27:H27)</f>
        <v>0</v>
      </c>
    </row>
    <row r="28" spans="1:10" hidden="1" x14ac:dyDescent="0.2">
      <c r="A28" s="861">
        <v>61503</v>
      </c>
      <c r="B28" s="869"/>
      <c r="C28" s="847" t="s">
        <v>561</v>
      </c>
      <c r="D28" s="858">
        <v>0</v>
      </c>
      <c r="E28" s="385">
        <v>0</v>
      </c>
      <c r="F28" s="385">
        <v>0</v>
      </c>
      <c r="G28" s="385">
        <v>0</v>
      </c>
      <c r="H28" s="385">
        <v>0</v>
      </c>
      <c r="I28" s="859">
        <v>0</v>
      </c>
      <c r="J28" s="250">
        <f>SUM(D28:H28)</f>
        <v>0</v>
      </c>
    </row>
    <row r="29" spans="1:10" x14ac:dyDescent="0.2">
      <c r="A29" s="861">
        <v>61599</v>
      </c>
      <c r="B29" s="866" t="s">
        <v>499</v>
      </c>
      <c r="C29" s="647" t="s">
        <v>562</v>
      </c>
      <c r="D29" s="858">
        <v>51610.65</v>
      </c>
      <c r="E29" s="385">
        <v>0</v>
      </c>
      <c r="F29" s="385">
        <v>0</v>
      </c>
      <c r="G29" s="385">
        <v>0</v>
      </c>
      <c r="H29" s="385">
        <v>0</v>
      </c>
      <c r="I29" s="859">
        <v>0</v>
      </c>
      <c r="J29" s="250">
        <f>SUM(D29:H29)</f>
        <v>51610.65</v>
      </c>
    </row>
    <row r="30" spans="1:10" x14ac:dyDescent="0.2">
      <c r="A30" s="596" t="s">
        <v>511</v>
      </c>
      <c r="B30" s="865"/>
      <c r="C30" s="645"/>
      <c r="D30" s="855"/>
      <c r="E30" s="287"/>
      <c r="F30" s="287"/>
      <c r="G30" s="287"/>
      <c r="H30" s="287"/>
      <c r="I30" s="854"/>
      <c r="J30" s="250"/>
    </row>
    <row r="31" spans="1:10" x14ac:dyDescent="0.2">
      <c r="A31" s="403">
        <v>616</v>
      </c>
      <c r="B31" s="867"/>
      <c r="C31" s="646" t="s">
        <v>554</v>
      </c>
      <c r="D31" s="853">
        <f>+D33+D34+D35+D36+D37+D38+D39+D40+D43+D46+D47+D48+D49+D50+D51+D55+D58+D61</f>
        <v>502367.66000000003</v>
      </c>
      <c r="E31" s="287"/>
      <c r="F31" s="287"/>
      <c r="G31" s="400">
        <v>0</v>
      </c>
      <c r="H31" s="400">
        <v>0</v>
      </c>
      <c r="I31" s="852">
        <f>+I52</f>
        <v>581.32000000000005</v>
      </c>
      <c r="J31" s="26">
        <f>+J32+J42+J54+J57+J60</f>
        <v>502948.9800000001</v>
      </c>
    </row>
    <row r="32" spans="1:10" x14ac:dyDescent="0.2">
      <c r="A32" s="403">
        <v>61602</v>
      </c>
      <c r="B32" s="867"/>
      <c r="C32" s="646" t="s">
        <v>505</v>
      </c>
      <c r="D32" s="853">
        <f>+D33+D34+D35+D36+D37+D38+D39+D40</f>
        <v>119355.28000000001</v>
      </c>
      <c r="E32" s="287"/>
      <c r="F32" s="287"/>
      <c r="G32" s="400">
        <v>0</v>
      </c>
      <c r="H32" s="400">
        <v>0</v>
      </c>
      <c r="I32" s="852">
        <v>0</v>
      </c>
      <c r="J32" s="26">
        <f>SUM(J33:J40)</f>
        <v>119355.28000000001</v>
      </c>
    </row>
    <row r="33" spans="1:12" x14ac:dyDescent="0.2">
      <c r="A33" s="596" t="s">
        <v>511</v>
      </c>
      <c r="B33" s="868" t="s">
        <v>548</v>
      </c>
      <c r="C33" s="645" t="s">
        <v>500</v>
      </c>
      <c r="D33" s="855">
        <v>12506.61</v>
      </c>
      <c r="E33" s="287"/>
      <c r="F33" s="287"/>
      <c r="G33" s="287">
        <v>0</v>
      </c>
      <c r="H33" s="287">
        <v>0</v>
      </c>
      <c r="I33" s="854">
        <v>0</v>
      </c>
      <c r="J33" s="250">
        <f t="shared" ref="J33:J39" si="1">SUM(D33:I33)</f>
        <v>12506.61</v>
      </c>
    </row>
    <row r="34" spans="1:12" x14ac:dyDescent="0.2">
      <c r="A34" s="596" t="s">
        <v>511</v>
      </c>
      <c r="B34" s="868" t="s">
        <v>551</v>
      </c>
      <c r="C34" s="645" t="s">
        <v>552</v>
      </c>
      <c r="D34" s="855">
        <v>10080.1</v>
      </c>
      <c r="E34" s="287"/>
      <c r="F34" s="287"/>
      <c r="G34" s="287">
        <v>0</v>
      </c>
      <c r="H34" s="287">
        <v>0</v>
      </c>
      <c r="I34" s="854">
        <v>0</v>
      </c>
      <c r="J34" s="250">
        <f t="shared" si="1"/>
        <v>10080.1</v>
      </c>
    </row>
    <row r="35" spans="1:12" ht="12.75" customHeight="1" x14ac:dyDescent="0.2">
      <c r="A35" s="596" t="s">
        <v>511</v>
      </c>
      <c r="B35" s="868" t="s">
        <v>508</v>
      </c>
      <c r="C35" s="645" t="s">
        <v>549</v>
      </c>
      <c r="D35" s="855">
        <v>9336.15</v>
      </c>
      <c r="E35" s="287"/>
      <c r="F35" s="287"/>
      <c r="G35" s="287">
        <v>0</v>
      </c>
      <c r="H35" s="287">
        <v>0</v>
      </c>
      <c r="I35" s="854">
        <v>0</v>
      </c>
      <c r="J35" s="250">
        <f t="shared" si="1"/>
        <v>9336.15</v>
      </c>
    </row>
    <row r="36" spans="1:12" ht="25.5" x14ac:dyDescent="0.2">
      <c r="A36" s="596" t="s">
        <v>511</v>
      </c>
      <c r="B36" s="868" t="s">
        <v>499</v>
      </c>
      <c r="C36" s="645" t="s">
        <v>587</v>
      </c>
      <c r="D36" s="855">
        <v>20000</v>
      </c>
      <c r="E36" s="287"/>
      <c r="F36" s="287"/>
      <c r="G36" s="287">
        <v>0</v>
      </c>
      <c r="H36" s="287">
        <v>0</v>
      </c>
      <c r="I36" s="854">
        <v>0</v>
      </c>
      <c r="J36" s="250">
        <f t="shared" si="1"/>
        <v>20000</v>
      </c>
    </row>
    <row r="37" spans="1:12" ht="38.25" x14ac:dyDescent="0.2">
      <c r="A37" s="596" t="s">
        <v>511</v>
      </c>
      <c r="B37" s="868" t="s">
        <v>499</v>
      </c>
      <c r="C37" s="648" t="s">
        <v>609</v>
      </c>
      <c r="D37" s="855">
        <v>15938.1</v>
      </c>
      <c r="E37" s="287"/>
      <c r="F37" s="287"/>
      <c r="G37" s="287">
        <v>0</v>
      </c>
      <c r="H37" s="287">
        <v>0</v>
      </c>
      <c r="I37" s="854">
        <v>0</v>
      </c>
      <c r="J37" s="250">
        <f t="shared" ref="J37" si="2">SUM(D37:I37)</f>
        <v>15938.1</v>
      </c>
    </row>
    <row r="38" spans="1:12" x14ac:dyDescent="0.2">
      <c r="A38" s="596" t="s">
        <v>511</v>
      </c>
      <c r="B38" s="868" t="s">
        <v>499</v>
      </c>
      <c r="C38" s="648" t="s">
        <v>667</v>
      </c>
      <c r="D38" s="855">
        <v>40000</v>
      </c>
      <c r="E38" s="287"/>
      <c r="F38" s="287"/>
      <c r="G38" s="287">
        <v>0</v>
      </c>
      <c r="H38" s="287">
        <v>0</v>
      </c>
      <c r="I38" s="854">
        <v>0</v>
      </c>
      <c r="J38" s="250">
        <f t="shared" si="1"/>
        <v>40000</v>
      </c>
    </row>
    <row r="39" spans="1:12" x14ac:dyDescent="0.2">
      <c r="A39" s="596" t="s">
        <v>511</v>
      </c>
      <c r="B39" s="868" t="s">
        <v>499</v>
      </c>
      <c r="C39" s="645" t="s">
        <v>577</v>
      </c>
      <c r="D39" s="855">
        <v>9068.58</v>
      </c>
      <c r="E39" s="287"/>
      <c r="F39" s="287"/>
      <c r="G39" s="287">
        <v>0</v>
      </c>
      <c r="H39" s="287">
        <v>0</v>
      </c>
      <c r="I39" s="854">
        <v>0</v>
      </c>
      <c r="J39" s="250">
        <f t="shared" si="1"/>
        <v>9068.58</v>
      </c>
    </row>
    <row r="40" spans="1:12" x14ac:dyDescent="0.2">
      <c r="A40" s="596" t="s">
        <v>511</v>
      </c>
      <c r="B40" s="868" t="s">
        <v>499</v>
      </c>
      <c r="C40" s="648" t="s">
        <v>666</v>
      </c>
      <c r="D40" s="855">
        <v>2425.7399999999998</v>
      </c>
      <c r="E40" s="287"/>
      <c r="F40" s="287"/>
      <c r="G40" s="287">
        <v>0</v>
      </c>
      <c r="H40" s="287">
        <v>0</v>
      </c>
      <c r="I40" s="854">
        <v>0</v>
      </c>
      <c r="J40" s="250">
        <f t="shared" ref="J40" si="3">SUM(D40:I40)</f>
        <v>2425.7399999999998</v>
      </c>
    </row>
    <row r="41" spans="1:12" x14ac:dyDescent="0.2">
      <c r="A41" s="596" t="s">
        <v>511</v>
      </c>
      <c r="B41" s="865"/>
      <c r="C41" s="645"/>
      <c r="D41" s="855"/>
      <c r="E41" s="287"/>
      <c r="F41" s="287"/>
      <c r="G41" s="287"/>
      <c r="H41" s="287"/>
      <c r="I41" s="854"/>
      <c r="J41" s="250"/>
    </row>
    <row r="42" spans="1:12" x14ac:dyDescent="0.2">
      <c r="A42" s="403">
        <v>61603</v>
      </c>
      <c r="B42" s="867"/>
      <c r="C42" s="646" t="s">
        <v>496</v>
      </c>
      <c r="D42" s="853">
        <f>+D43+D46+D47+D48+D49+D50+D51</f>
        <v>183371.84000000003</v>
      </c>
      <c r="E42" s="287"/>
      <c r="F42" s="287"/>
      <c r="G42" s="287">
        <v>0</v>
      </c>
      <c r="H42" s="287">
        <v>0</v>
      </c>
      <c r="I42" s="852">
        <f>+I52</f>
        <v>581.32000000000005</v>
      </c>
      <c r="J42" s="26">
        <f>SUM(D42:I42)</f>
        <v>183953.16000000003</v>
      </c>
      <c r="L42" s="3"/>
    </row>
    <row r="43" spans="1:12" x14ac:dyDescent="0.2">
      <c r="A43" s="596" t="s">
        <v>511</v>
      </c>
      <c r="B43" s="870" t="s">
        <v>504</v>
      </c>
      <c r="C43" s="648" t="s">
        <v>665</v>
      </c>
      <c r="D43" s="855">
        <v>45000</v>
      </c>
      <c r="E43" s="287"/>
      <c r="F43" s="287"/>
      <c r="G43" s="287">
        <v>0</v>
      </c>
      <c r="H43" s="287">
        <v>0</v>
      </c>
      <c r="I43" s="854">
        <v>0</v>
      </c>
      <c r="J43" s="250">
        <f>SUM(D43:I43)</f>
        <v>45000</v>
      </c>
    </row>
    <row r="44" spans="1:12" x14ac:dyDescent="0.2">
      <c r="A44" s="879"/>
      <c r="B44" s="880"/>
      <c r="C44" s="881"/>
      <c r="D44" s="882"/>
      <c r="E44" s="883"/>
      <c r="F44" s="883"/>
      <c r="G44" s="883"/>
      <c r="H44" s="883"/>
      <c r="I44" s="884"/>
      <c r="J44" s="885"/>
    </row>
    <row r="45" spans="1:12" ht="25.5" x14ac:dyDescent="0.2">
      <c r="A45" s="596" t="s">
        <v>511</v>
      </c>
      <c r="B45" s="871"/>
      <c r="C45" s="646" t="s">
        <v>575</v>
      </c>
      <c r="D45" s="853"/>
      <c r="E45" s="287"/>
      <c r="F45" s="287"/>
      <c r="G45" s="400"/>
      <c r="H45" s="400"/>
      <c r="I45" s="852"/>
      <c r="J45" s="26"/>
    </row>
    <row r="46" spans="1:12" ht="25.5" x14ac:dyDescent="0.2">
      <c r="A46" s="596" t="s">
        <v>511</v>
      </c>
      <c r="B46" s="870" t="s">
        <v>542</v>
      </c>
      <c r="C46" s="645" t="s">
        <v>543</v>
      </c>
      <c r="D46" s="855">
        <v>102338.52</v>
      </c>
      <c r="E46" s="287"/>
      <c r="F46" s="287"/>
      <c r="G46" s="287">
        <v>0</v>
      </c>
      <c r="H46" s="287">
        <v>0</v>
      </c>
      <c r="I46" s="854">
        <v>0</v>
      </c>
      <c r="J46" s="250">
        <f>SUM(D46:I46)</f>
        <v>102338.52</v>
      </c>
    </row>
    <row r="47" spans="1:12" x14ac:dyDescent="0.2">
      <c r="A47" s="596" t="s">
        <v>511</v>
      </c>
      <c r="B47" s="870" t="s">
        <v>544</v>
      </c>
      <c r="C47" s="645" t="s">
        <v>545</v>
      </c>
      <c r="D47" s="855">
        <v>10379.31</v>
      </c>
      <c r="E47" s="287"/>
      <c r="F47" s="287"/>
      <c r="G47" s="287">
        <v>0</v>
      </c>
      <c r="H47" s="287">
        <v>0</v>
      </c>
      <c r="I47" s="854">
        <v>0</v>
      </c>
      <c r="J47" s="250">
        <f t="shared" ref="J47:J52" si="4">SUM(D47:I47)</f>
        <v>10379.31</v>
      </c>
    </row>
    <row r="48" spans="1:12" x14ac:dyDescent="0.2">
      <c r="A48" s="596" t="s">
        <v>511</v>
      </c>
      <c r="B48" s="870" t="s">
        <v>499</v>
      </c>
      <c r="C48" s="646" t="s">
        <v>610</v>
      </c>
      <c r="D48" s="855">
        <v>11000</v>
      </c>
      <c r="E48" s="287"/>
      <c r="F48" s="287"/>
      <c r="G48" s="287">
        <v>0</v>
      </c>
      <c r="H48" s="287">
        <v>0</v>
      </c>
      <c r="I48" s="854">
        <v>0</v>
      </c>
      <c r="J48" s="250">
        <f t="shared" ref="J48" si="5">SUM(D48:I48)</f>
        <v>11000</v>
      </c>
    </row>
    <row r="49" spans="1:12" x14ac:dyDescent="0.2">
      <c r="A49" s="596" t="s">
        <v>511</v>
      </c>
      <c r="B49" s="868" t="s">
        <v>497</v>
      </c>
      <c r="C49" s="645" t="s">
        <v>498</v>
      </c>
      <c r="D49" s="855">
        <v>7154.01</v>
      </c>
      <c r="E49" s="287"/>
      <c r="F49" s="287"/>
      <c r="G49" s="287">
        <v>0</v>
      </c>
      <c r="H49" s="287">
        <v>0</v>
      </c>
      <c r="I49" s="854">
        <v>0</v>
      </c>
      <c r="J49" s="250">
        <f t="shared" si="4"/>
        <v>7154.01</v>
      </c>
    </row>
    <row r="50" spans="1:12" ht="25.5" x14ac:dyDescent="0.2">
      <c r="A50" s="596" t="s">
        <v>511</v>
      </c>
      <c r="B50" s="868" t="s">
        <v>499</v>
      </c>
      <c r="C50" s="648" t="s">
        <v>611</v>
      </c>
      <c r="D50" s="855">
        <v>5000</v>
      </c>
      <c r="E50" s="287"/>
      <c r="F50" s="287"/>
      <c r="G50" s="287">
        <v>0</v>
      </c>
      <c r="H50" s="287">
        <v>0</v>
      </c>
      <c r="I50" s="854">
        <v>0</v>
      </c>
      <c r="J50" s="250">
        <f t="shared" si="4"/>
        <v>5000</v>
      </c>
    </row>
    <row r="51" spans="1:12" ht="18" customHeight="1" x14ac:dyDescent="0.2">
      <c r="A51" s="596" t="s">
        <v>511</v>
      </c>
      <c r="B51" s="868" t="s">
        <v>499</v>
      </c>
      <c r="C51" s="648" t="s">
        <v>612</v>
      </c>
      <c r="D51" s="855">
        <v>2500</v>
      </c>
      <c r="E51" s="287"/>
      <c r="F51" s="287"/>
      <c r="G51" s="287">
        <v>0</v>
      </c>
      <c r="H51" s="287">
        <v>0</v>
      </c>
      <c r="I51" s="854">
        <v>0</v>
      </c>
      <c r="J51" s="250">
        <f t="shared" si="4"/>
        <v>2500</v>
      </c>
    </row>
    <row r="52" spans="1:12" x14ac:dyDescent="0.2">
      <c r="A52" s="596" t="s">
        <v>511</v>
      </c>
      <c r="B52" s="868" t="s">
        <v>579</v>
      </c>
      <c r="C52" s="645" t="s">
        <v>509</v>
      </c>
      <c r="D52" s="855">
        <v>0</v>
      </c>
      <c r="E52" s="287">
        <v>0</v>
      </c>
      <c r="F52" s="287">
        <v>0</v>
      </c>
      <c r="G52" s="287">
        <v>0</v>
      </c>
      <c r="H52" s="287">
        <v>0</v>
      </c>
      <c r="I52" s="854">
        <f>580.32+1</f>
        <v>581.32000000000005</v>
      </c>
      <c r="J52" s="250">
        <f t="shared" si="4"/>
        <v>581.32000000000005</v>
      </c>
    </row>
    <row r="53" spans="1:12" x14ac:dyDescent="0.2">
      <c r="A53" s="596"/>
      <c r="B53" s="866"/>
      <c r="C53" s="646"/>
      <c r="D53" s="855"/>
      <c r="E53" s="287"/>
      <c r="F53" s="287"/>
      <c r="G53" s="287"/>
      <c r="H53" s="287"/>
      <c r="I53" s="852"/>
      <c r="J53" s="26"/>
    </row>
    <row r="54" spans="1:12" x14ac:dyDescent="0.2">
      <c r="A54" s="403">
        <v>61604</v>
      </c>
      <c r="B54" s="865"/>
      <c r="C54" s="646" t="s">
        <v>503</v>
      </c>
      <c r="D54" s="853">
        <f>+D55</f>
        <v>39711.879999999997</v>
      </c>
      <c r="E54" s="287"/>
      <c r="F54" s="287"/>
      <c r="G54" s="400">
        <v>0</v>
      </c>
      <c r="H54" s="400">
        <v>0</v>
      </c>
      <c r="I54" s="852">
        <v>0</v>
      </c>
      <c r="J54" s="26">
        <f>SUM(D54:I54)</f>
        <v>39711.879999999997</v>
      </c>
    </row>
    <row r="55" spans="1:12" ht="25.5" x14ac:dyDescent="0.2">
      <c r="A55" s="596" t="s">
        <v>511</v>
      </c>
      <c r="B55" s="868" t="s">
        <v>502</v>
      </c>
      <c r="C55" s="645" t="s">
        <v>547</v>
      </c>
      <c r="D55" s="855">
        <v>39711.879999999997</v>
      </c>
      <c r="E55" s="287"/>
      <c r="F55" s="287"/>
      <c r="G55" s="287">
        <v>0</v>
      </c>
      <c r="H55" s="287">
        <v>0</v>
      </c>
      <c r="I55" s="854">
        <v>0</v>
      </c>
      <c r="J55" s="250">
        <f>SUM(D55:I55)</f>
        <v>39711.879999999997</v>
      </c>
    </row>
    <row r="56" spans="1:12" s="2" customFormat="1" x14ac:dyDescent="0.2">
      <c r="A56" s="596" t="s">
        <v>511</v>
      </c>
      <c r="B56" s="865"/>
      <c r="C56" s="645"/>
      <c r="D56" s="855"/>
      <c r="E56" s="287"/>
      <c r="F56" s="287"/>
      <c r="G56" s="287"/>
      <c r="H56" s="287"/>
      <c r="I56" s="854"/>
      <c r="J56" s="848"/>
    </row>
    <row r="57" spans="1:12" x14ac:dyDescent="0.2">
      <c r="A57" s="403">
        <v>61606</v>
      </c>
      <c r="B57" s="867"/>
      <c r="C57" s="646" t="s">
        <v>507</v>
      </c>
      <c r="D57" s="853">
        <f>+D58</f>
        <v>20000</v>
      </c>
      <c r="E57" s="287"/>
      <c r="F57" s="287"/>
      <c r="G57" s="400">
        <v>0</v>
      </c>
      <c r="H57" s="400">
        <v>0</v>
      </c>
      <c r="I57" s="852">
        <v>0</v>
      </c>
      <c r="J57" s="26">
        <f>SUM(D57:I57)</f>
        <v>20000</v>
      </c>
      <c r="L57" s="3"/>
    </row>
    <row r="58" spans="1:12" ht="25.5" x14ac:dyDescent="0.2">
      <c r="A58" s="596" t="s">
        <v>511</v>
      </c>
      <c r="B58" s="868" t="s">
        <v>499</v>
      </c>
      <c r="C58" s="648" t="s">
        <v>608</v>
      </c>
      <c r="D58" s="855">
        <v>20000</v>
      </c>
      <c r="E58" s="287"/>
      <c r="F58" s="287"/>
      <c r="G58" s="287">
        <v>0</v>
      </c>
      <c r="H58" s="287">
        <v>0</v>
      </c>
      <c r="I58" s="854">
        <v>0</v>
      </c>
      <c r="J58" s="250">
        <f>SUM(D58:I58)</f>
        <v>20000</v>
      </c>
    </row>
    <row r="59" spans="1:12" x14ac:dyDescent="0.2">
      <c r="A59" s="596" t="s">
        <v>511</v>
      </c>
      <c r="B59" s="865"/>
      <c r="C59" s="645"/>
      <c r="D59" s="855"/>
      <c r="E59" s="287"/>
      <c r="F59" s="287"/>
      <c r="G59" s="287"/>
      <c r="H59" s="287"/>
      <c r="I59" s="854"/>
      <c r="J59" s="250"/>
    </row>
    <row r="60" spans="1:12" x14ac:dyDescent="0.2">
      <c r="A60" s="403">
        <v>61699</v>
      </c>
      <c r="B60" s="867"/>
      <c r="C60" s="646" t="s">
        <v>510</v>
      </c>
      <c r="D60" s="856">
        <f>+D61</f>
        <v>139928.66</v>
      </c>
      <c r="E60" s="287"/>
      <c r="F60" s="287"/>
      <c r="G60" s="400">
        <v>0</v>
      </c>
      <c r="H60" s="400">
        <v>0</v>
      </c>
      <c r="I60" s="852">
        <v>0</v>
      </c>
      <c r="J60" s="26">
        <f>SUM(D60:I60)</f>
        <v>139928.66</v>
      </c>
      <c r="K60" s="4"/>
    </row>
    <row r="61" spans="1:12" x14ac:dyDescent="0.2">
      <c r="A61" s="862" t="s">
        <v>511</v>
      </c>
      <c r="B61" s="868" t="s">
        <v>499</v>
      </c>
      <c r="C61" s="85" t="s">
        <v>463</v>
      </c>
      <c r="D61" s="858">
        <f>116429.3+23499.36</f>
        <v>139928.66</v>
      </c>
      <c r="E61" s="385">
        <v>0</v>
      </c>
      <c r="F61" s="385">
        <v>0</v>
      </c>
      <c r="G61" s="385">
        <v>0</v>
      </c>
      <c r="H61" s="385">
        <v>0</v>
      </c>
      <c r="I61" s="859"/>
      <c r="J61" s="250">
        <f>SUM(D61:I61)</f>
        <v>139928.66</v>
      </c>
    </row>
    <row r="62" spans="1:12" ht="13.5" thickBot="1" x14ac:dyDescent="0.25">
      <c r="A62" s="401"/>
      <c r="B62" s="864"/>
      <c r="C62" s="251"/>
      <c r="D62" s="860"/>
      <c r="E62" s="287"/>
      <c r="F62" s="287"/>
      <c r="G62" s="287"/>
      <c r="H62" s="287"/>
      <c r="I62" s="854"/>
      <c r="J62" s="250"/>
    </row>
    <row r="63" spans="1:12" s="1" customFormat="1" ht="13.5" thickBot="1" x14ac:dyDescent="0.25">
      <c r="A63" s="872"/>
      <c r="B63" s="873"/>
      <c r="C63" s="874" t="s">
        <v>700</v>
      </c>
      <c r="D63" s="875">
        <f>+D16+D25+D21+D31</f>
        <v>569523.96000000008</v>
      </c>
      <c r="E63" s="876" t="e">
        <f>SUM(E16:E62)</f>
        <v>#REF!</v>
      </c>
      <c r="F63" s="876" t="e">
        <f>SUM(F16:F62)</f>
        <v>#REF!</v>
      </c>
      <c r="G63" s="876">
        <v>0</v>
      </c>
      <c r="H63" s="876">
        <v>0</v>
      </c>
      <c r="I63" s="877">
        <f>+I31</f>
        <v>581.32000000000005</v>
      </c>
      <c r="J63" s="878">
        <f>J16+J21+J25+J31</f>
        <v>570105.28000000014</v>
      </c>
    </row>
    <row r="64" spans="1:12" x14ac:dyDescent="0.2">
      <c r="D64" s="260"/>
      <c r="H64" s="260"/>
    </row>
    <row r="65" spans="4:9" x14ac:dyDescent="0.2">
      <c r="G65" s="243"/>
      <c r="H65" s="260"/>
      <c r="I65" s="260"/>
    </row>
    <row r="66" spans="4:9" x14ac:dyDescent="0.2">
      <c r="D66" s="243"/>
      <c r="G66" s="260"/>
      <c r="H66" s="260"/>
    </row>
    <row r="67" spans="4:9" x14ac:dyDescent="0.2">
      <c r="G67" s="260"/>
      <c r="H67" s="260"/>
    </row>
    <row r="68" spans="4:9" x14ac:dyDescent="0.2">
      <c r="G68" s="243"/>
      <c r="H68" s="260"/>
    </row>
  </sheetData>
  <autoFilter ref="A12:J63">
    <filterColumn colId="3" showButton="0"/>
    <filterColumn colId="4" showButton="0"/>
    <filterColumn colId="5" showButton="0"/>
    <filterColumn colId="6" showButton="0"/>
    <filterColumn colId="7" showButton="0"/>
  </autoFilter>
  <mergeCells count="12">
    <mergeCell ref="A3:J3"/>
    <mergeCell ref="A4:J4"/>
    <mergeCell ref="A6:J6"/>
    <mergeCell ref="A7:J7"/>
    <mergeCell ref="A8:J8"/>
    <mergeCell ref="A9:J9"/>
    <mergeCell ref="A10:J10"/>
    <mergeCell ref="A12:A13"/>
    <mergeCell ref="B12:B13"/>
    <mergeCell ref="C12:C13"/>
    <mergeCell ref="J12:J13"/>
    <mergeCell ref="D12:I12"/>
  </mergeCells>
  <phoneticPr fontId="5" type="noConversion"/>
  <pageMargins left="0.27559055118110237" right="0.23622047244094491" top="0.82677165354330717" bottom="0.82677165354330717" header="0" footer="0"/>
  <pageSetup scale="85" orientation="landscape" horizontalDpi="4294967294" verticalDpi="18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</sheetPr>
  <dimension ref="A1:J50"/>
  <sheetViews>
    <sheetView showGridLines="0" topLeftCell="A56" zoomScale="115" zoomScaleNormal="115" workbookViewId="0">
      <selection activeCell="G48" sqref="G48"/>
    </sheetView>
  </sheetViews>
  <sheetFormatPr baseColWidth="10" defaultRowHeight="12.75" x14ac:dyDescent="0.2"/>
  <cols>
    <col min="1" max="1" width="8.28515625" style="22" customWidth="1"/>
    <col min="2" max="2" width="9.42578125" style="22" customWidth="1"/>
    <col min="3" max="3" width="52.5703125" style="34" customWidth="1"/>
    <col min="4" max="4" width="18.28515625" style="2" customWidth="1"/>
    <col min="5" max="5" width="16.7109375" hidden="1" customWidth="1"/>
    <col min="6" max="7" width="18.42578125" customWidth="1"/>
    <col min="8" max="8" width="18.140625" hidden="1" customWidth="1"/>
    <col min="9" max="9" width="19.42578125" customWidth="1"/>
    <col min="10" max="10" width="12.28515625" bestFit="1" customWidth="1"/>
  </cols>
  <sheetData>
    <row r="1" spans="1:9" ht="15.75" x14ac:dyDescent="0.25">
      <c r="A1" s="1093" t="s">
        <v>211</v>
      </c>
      <c r="B1" s="1093"/>
      <c r="C1" s="1093"/>
      <c r="D1" s="1093"/>
      <c r="E1" s="1093"/>
      <c r="F1" s="1093"/>
      <c r="G1" s="1093"/>
      <c r="H1" s="1093"/>
      <c r="I1" s="1093"/>
    </row>
    <row r="2" spans="1:9" x14ac:dyDescent="0.2">
      <c r="A2" s="1095" t="s">
        <v>695</v>
      </c>
      <c r="B2" s="1095"/>
      <c r="C2" s="1095"/>
      <c r="D2" s="1095"/>
      <c r="E2" s="1095"/>
      <c r="F2" s="1095"/>
      <c r="G2" s="1095"/>
      <c r="H2" s="1095"/>
      <c r="I2" s="1095"/>
    </row>
    <row r="3" spans="1:9" ht="7.5" customHeight="1" x14ac:dyDescent="0.3">
      <c r="A3" s="448"/>
      <c r="B3" s="448"/>
      <c r="C3" s="448"/>
      <c r="D3" s="448"/>
      <c r="E3" s="448"/>
      <c r="F3" s="448"/>
      <c r="G3" s="448"/>
      <c r="H3" s="448"/>
      <c r="I3" s="448"/>
    </row>
    <row r="4" spans="1:9" ht="18" customHeight="1" x14ac:dyDescent="0.3">
      <c r="A4" s="1081" t="s">
        <v>478</v>
      </c>
      <c r="B4" s="1081"/>
      <c r="C4" s="1081"/>
      <c r="D4" s="1081"/>
      <c r="E4" s="1081"/>
      <c r="F4" s="1081"/>
      <c r="G4" s="1081"/>
      <c r="H4" s="1081"/>
      <c r="I4" s="1081"/>
    </row>
    <row r="5" spans="1:9" ht="18" customHeight="1" x14ac:dyDescent="0.3">
      <c r="A5" s="1081" t="s">
        <v>668</v>
      </c>
      <c r="B5" s="1081"/>
      <c r="C5" s="1081"/>
      <c r="D5" s="1081"/>
      <c r="E5" s="1081"/>
      <c r="F5" s="1081"/>
      <c r="G5" s="1081"/>
      <c r="H5" s="1081"/>
      <c r="I5" s="1081"/>
    </row>
    <row r="6" spans="1:9" ht="18" customHeight="1" x14ac:dyDescent="0.3">
      <c r="A6" s="1081" t="s">
        <v>334</v>
      </c>
      <c r="B6" s="1081"/>
      <c r="C6" s="1081"/>
      <c r="D6" s="1081"/>
      <c r="E6" s="1081"/>
      <c r="F6" s="1081"/>
      <c r="G6" s="1081"/>
      <c r="H6" s="1081"/>
      <c r="I6" s="1081"/>
    </row>
    <row r="7" spans="1:9" ht="18" customHeight="1" x14ac:dyDescent="0.3">
      <c r="A7" s="1081" t="s">
        <v>335</v>
      </c>
      <c r="B7" s="1081"/>
      <c r="C7" s="1081"/>
      <c r="D7" s="1081"/>
      <c r="E7" s="1081"/>
      <c r="F7" s="1081"/>
      <c r="G7" s="1081"/>
      <c r="H7" s="1081"/>
      <c r="I7" s="1081"/>
    </row>
    <row r="8" spans="1:9" ht="18" customHeight="1" x14ac:dyDescent="0.3">
      <c r="A8" s="1081" t="s">
        <v>336</v>
      </c>
      <c r="B8" s="1081"/>
      <c r="C8" s="1081"/>
      <c r="D8" s="1081"/>
      <c r="E8" s="1081"/>
      <c r="F8" s="1081"/>
      <c r="G8" s="1081"/>
      <c r="H8" s="1081"/>
      <c r="I8" s="1081"/>
    </row>
    <row r="9" spans="1:9" ht="3.75" customHeight="1" thickBot="1" x14ac:dyDescent="0.35">
      <c r="A9" s="446"/>
      <c r="B9" s="446"/>
      <c r="C9" s="446"/>
      <c r="D9" s="446"/>
      <c r="E9" s="446"/>
      <c r="F9" s="446"/>
      <c r="G9" s="446"/>
      <c r="H9" s="446"/>
      <c r="I9" s="446"/>
    </row>
    <row r="10" spans="1:9" ht="13.5" thickBot="1" x14ac:dyDescent="0.25">
      <c r="A10" s="1087" t="s">
        <v>190</v>
      </c>
      <c r="B10" s="1087" t="s">
        <v>191</v>
      </c>
      <c r="C10" s="1096" t="s">
        <v>696</v>
      </c>
      <c r="D10" s="1098" t="s">
        <v>118</v>
      </c>
      <c r="E10" s="1099"/>
      <c r="F10" s="1099"/>
      <c r="G10" s="1099"/>
      <c r="H10" s="1100"/>
      <c r="I10" s="1087" t="s">
        <v>698</v>
      </c>
    </row>
    <row r="11" spans="1:9" ht="25.5" customHeight="1" thickBot="1" x14ac:dyDescent="0.25">
      <c r="A11" s="1088"/>
      <c r="B11" s="1088"/>
      <c r="C11" s="1097"/>
      <c r="D11" s="689" t="s">
        <v>194</v>
      </c>
      <c r="E11" s="690" t="s">
        <v>1</v>
      </c>
      <c r="F11" s="690" t="s">
        <v>465</v>
      </c>
      <c r="G11" s="691" t="s">
        <v>3</v>
      </c>
      <c r="H11" s="898" t="s">
        <v>123</v>
      </c>
      <c r="I11" s="1088"/>
    </row>
    <row r="12" spans="1:9" hidden="1" x14ac:dyDescent="0.2">
      <c r="A12" s="597" t="s">
        <v>511</v>
      </c>
      <c r="B12" s="249"/>
      <c r="C12" s="886"/>
      <c r="D12" s="906"/>
      <c r="E12" s="476"/>
      <c r="F12" s="476"/>
      <c r="G12" s="477"/>
      <c r="H12" s="899"/>
      <c r="I12" s="477"/>
    </row>
    <row r="13" spans="1:9" x14ac:dyDescent="0.2">
      <c r="A13" s="25">
        <v>54</v>
      </c>
      <c r="B13" s="919"/>
      <c r="C13" s="399" t="s">
        <v>569</v>
      </c>
      <c r="D13" s="907">
        <v>0</v>
      </c>
      <c r="E13" s="267"/>
      <c r="F13" s="263">
        <f>F14</f>
        <v>14973.19</v>
      </c>
      <c r="G13" s="478">
        <v>0</v>
      </c>
      <c r="H13" s="900"/>
      <c r="I13" s="478">
        <f>SUM(F13:H13)</f>
        <v>14973.19</v>
      </c>
    </row>
    <row r="14" spans="1:9" x14ac:dyDescent="0.2">
      <c r="A14" s="25">
        <v>545</v>
      </c>
      <c r="B14" s="919"/>
      <c r="C14" s="887" t="s">
        <v>555</v>
      </c>
      <c r="D14" s="907">
        <v>0</v>
      </c>
      <c r="E14" s="267"/>
      <c r="F14" s="263">
        <f>+F16</f>
        <v>14973.19</v>
      </c>
      <c r="G14" s="478">
        <v>0</v>
      </c>
      <c r="H14" s="900"/>
      <c r="I14" s="478">
        <f>SUM(F14:H14)</f>
        <v>14973.19</v>
      </c>
    </row>
    <row r="15" spans="1:9" x14ac:dyDescent="0.2">
      <c r="A15" s="408">
        <v>54599</v>
      </c>
      <c r="B15" s="919"/>
      <c r="C15" s="34" t="s">
        <v>573</v>
      </c>
      <c r="D15" s="908">
        <v>0</v>
      </c>
      <c r="E15" s="267"/>
      <c r="F15" s="267">
        <v>0</v>
      </c>
      <c r="G15" s="479">
        <v>0</v>
      </c>
      <c r="H15" s="900"/>
      <c r="I15" s="479">
        <v>0</v>
      </c>
    </row>
    <row r="16" spans="1:9" ht="38.25" x14ac:dyDescent="0.2">
      <c r="A16" s="408"/>
      <c r="B16" s="920" t="s">
        <v>499</v>
      </c>
      <c r="C16" s="657" t="s">
        <v>572</v>
      </c>
      <c r="D16" s="909">
        <v>0</v>
      </c>
      <c r="E16" s="658"/>
      <c r="F16" s="659">
        <f>97.74+2415.26+12460.19</f>
        <v>14973.19</v>
      </c>
      <c r="G16" s="660">
        <v>0</v>
      </c>
      <c r="H16" s="901"/>
      <c r="I16" s="660">
        <f>SUM(F16:G16)</f>
        <v>14973.19</v>
      </c>
    </row>
    <row r="17" spans="1:10" x14ac:dyDescent="0.2">
      <c r="A17" s="408"/>
      <c r="B17" s="919"/>
      <c r="C17" s="409"/>
      <c r="D17" s="910"/>
      <c r="E17" s="267"/>
      <c r="F17" s="267"/>
      <c r="G17" s="479"/>
      <c r="H17" s="900"/>
      <c r="I17" s="479"/>
    </row>
    <row r="18" spans="1:10" x14ac:dyDescent="0.2">
      <c r="A18" s="23">
        <v>61</v>
      </c>
      <c r="B18" s="921"/>
      <c r="C18" s="24" t="s">
        <v>557</v>
      </c>
      <c r="D18" s="911">
        <f>+D19+D24</f>
        <v>248526.13</v>
      </c>
      <c r="E18" s="480"/>
      <c r="F18" s="480">
        <v>0</v>
      </c>
      <c r="G18" s="481">
        <v>0</v>
      </c>
      <c r="H18" s="902"/>
      <c r="I18" s="481">
        <f>SUM(D18:H18)</f>
        <v>248526.13</v>
      </c>
    </row>
    <row r="19" spans="1:10" x14ac:dyDescent="0.2">
      <c r="A19" s="25">
        <v>615</v>
      </c>
      <c r="B19" s="922"/>
      <c r="C19" s="888" t="s">
        <v>558</v>
      </c>
      <c r="D19" s="912">
        <v>0</v>
      </c>
      <c r="E19" s="483">
        <f>SUM(E20:E22)</f>
        <v>0</v>
      </c>
      <c r="F19" s="483">
        <f>SUM(F20:F22)</f>
        <v>0</v>
      </c>
      <c r="G19" s="484">
        <f>SUM(G20:G22)</f>
        <v>0</v>
      </c>
      <c r="H19" s="903">
        <f>SUM(H20:H22)</f>
        <v>0</v>
      </c>
      <c r="I19" s="484">
        <f>SUM(D19:H19)</f>
        <v>0</v>
      </c>
    </row>
    <row r="20" spans="1:10" x14ac:dyDescent="0.2">
      <c r="A20" s="408">
        <v>61501</v>
      </c>
      <c r="B20" s="923"/>
      <c r="C20" s="889" t="s">
        <v>559</v>
      </c>
      <c r="D20" s="913">
        <v>0</v>
      </c>
      <c r="E20" s="486">
        <v>0</v>
      </c>
      <c r="F20" s="486">
        <v>0</v>
      </c>
      <c r="G20" s="487">
        <v>0</v>
      </c>
      <c r="H20" s="904">
        <v>0</v>
      </c>
      <c r="I20" s="487">
        <f>SUM(D20:H20)</f>
        <v>0</v>
      </c>
    </row>
    <row r="21" spans="1:10" x14ac:dyDescent="0.2">
      <c r="A21" s="408">
        <v>61502</v>
      </c>
      <c r="B21" s="923"/>
      <c r="C21" s="889" t="s">
        <v>560</v>
      </c>
      <c r="D21" s="913">
        <v>0</v>
      </c>
      <c r="E21" s="486">
        <v>0</v>
      </c>
      <c r="F21" s="486">
        <v>0</v>
      </c>
      <c r="G21" s="487">
        <v>0</v>
      </c>
      <c r="H21" s="904">
        <v>0</v>
      </c>
      <c r="I21" s="487">
        <f>SUM(D21:H21)</f>
        <v>0</v>
      </c>
    </row>
    <row r="22" spans="1:10" x14ac:dyDescent="0.2">
      <c r="A22" s="408">
        <v>61599</v>
      </c>
      <c r="B22" s="923"/>
      <c r="C22" s="889" t="s">
        <v>562</v>
      </c>
      <c r="D22" s="913"/>
      <c r="E22" s="486"/>
      <c r="F22" s="486">
        <v>0</v>
      </c>
      <c r="G22" s="487"/>
      <c r="H22" s="904"/>
      <c r="I22" s="487">
        <f>SUM(D22:H22)</f>
        <v>0</v>
      </c>
    </row>
    <row r="23" spans="1:10" x14ac:dyDescent="0.2">
      <c r="A23" s="862" t="s">
        <v>511</v>
      </c>
      <c r="B23" s="924"/>
      <c r="C23" s="890"/>
      <c r="D23" s="913"/>
      <c r="E23" s="485"/>
      <c r="F23" s="485"/>
      <c r="G23" s="487"/>
      <c r="H23" s="904"/>
      <c r="I23" s="487"/>
    </row>
    <row r="24" spans="1:10" x14ac:dyDescent="0.2">
      <c r="A24" s="404">
        <v>616</v>
      </c>
      <c r="B24" s="925"/>
      <c r="C24" s="891" t="s">
        <v>563</v>
      </c>
      <c r="D24" s="912">
        <f>+D25+D40+D43</f>
        <v>248526.13</v>
      </c>
      <c r="E24" s="482">
        <f>+E25+E29+E31+E33+E35+E38+E40+E43</f>
        <v>0</v>
      </c>
      <c r="F24" s="482">
        <f>+F25+F29+F31+F33+F35+F38+F40+F43</f>
        <v>0</v>
      </c>
      <c r="G24" s="484">
        <f>+G25+G29+G31+G33+G35+G38+G40+G43</f>
        <v>0</v>
      </c>
      <c r="H24" s="903">
        <f>+H25+H29+H31+H33+H35+H38+H40+H43</f>
        <v>0</v>
      </c>
      <c r="I24" s="484">
        <f>+I25+I29+I31+I33+I35+I38+I40+I43</f>
        <v>248526.13</v>
      </c>
    </row>
    <row r="25" spans="1:10" x14ac:dyDescent="0.2">
      <c r="A25" s="404">
        <v>61601</v>
      </c>
      <c r="B25" s="924"/>
      <c r="C25" s="891" t="s">
        <v>564</v>
      </c>
      <c r="D25" s="912">
        <f>SUM(D26:D38)</f>
        <v>227109.92</v>
      </c>
      <c r="E25" s="482">
        <f>SUM(E26:E27)</f>
        <v>0</v>
      </c>
      <c r="F25" s="482">
        <f>SUM(F26:F42)</f>
        <v>0</v>
      </c>
      <c r="G25" s="484">
        <f>SUM(G26:G27)</f>
        <v>0</v>
      </c>
      <c r="H25" s="903">
        <f>SUM(H26:H27)</f>
        <v>0</v>
      </c>
      <c r="I25" s="484">
        <f>SUM(I26:I28)</f>
        <v>227109.92</v>
      </c>
      <c r="J25" s="4"/>
    </row>
    <row r="26" spans="1:10" ht="25.5" x14ac:dyDescent="0.2">
      <c r="A26" s="862" t="s">
        <v>511</v>
      </c>
      <c r="B26" s="869" t="s">
        <v>532</v>
      </c>
      <c r="C26" s="643" t="s">
        <v>553</v>
      </c>
      <c r="D26" s="914">
        <v>72316.100000000006</v>
      </c>
      <c r="E26" s="482"/>
      <c r="F26" s="482">
        <v>0</v>
      </c>
      <c r="G26" s="484">
        <v>0</v>
      </c>
      <c r="H26" s="903"/>
      <c r="I26" s="487">
        <f>SUM(D26:H26)</f>
        <v>72316.100000000006</v>
      </c>
      <c r="J26" s="4"/>
    </row>
    <row r="27" spans="1:10" ht="26.25" customHeight="1" x14ac:dyDescent="0.2">
      <c r="A27" s="862" t="s">
        <v>511</v>
      </c>
      <c r="B27" s="869" t="s">
        <v>499</v>
      </c>
      <c r="C27" s="892" t="s">
        <v>614</v>
      </c>
      <c r="D27" s="915">
        <v>50000</v>
      </c>
      <c r="E27" s="485"/>
      <c r="F27" s="485">
        <v>0</v>
      </c>
      <c r="G27" s="487">
        <v>0</v>
      </c>
      <c r="H27" s="904"/>
      <c r="I27" s="487">
        <f>SUM(D27:H27)</f>
        <v>50000</v>
      </c>
    </row>
    <row r="28" spans="1:10" ht="39.75" customHeight="1" x14ac:dyDescent="0.2">
      <c r="A28" s="862" t="s">
        <v>511</v>
      </c>
      <c r="B28" s="869" t="s">
        <v>567</v>
      </c>
      <c r="C28" s="892" t="s">
        <v>705</v>
      </c>
      <c r="D28" s="915">
        <v>104793.82</v>
      </c>
      <c r="E28" s="485"/>
      <c r="F28" s="485">
        <v>0</v>
      </c>
      <c r="G28" s="487">
        <v>0</v>
      </c>
      <c r="H28" s="904"/>
      <c r="I28" s="487">
        <f>SUM(D28:H28)</f>
        <v>104793.82</v>
      </c>
    </row>
    <row r="29" spans="1:10" hidden="1" x14ac:dyDescent="0.2">
      <c r="A29" s="862" t="s">
        <v>511</v>
      </c>
      <c r="B29" s="926"/>
      <c r="C29" s="893" t="s">
        <v>204</v>
      </c>
      <c r="D29" s="916">
        <f t="shared" ref="D29:I29" si="0">SUM(D30:D30)</f>
        <v>0</v>
      </c>
      <c r="E29" s="482">
        <f t="shared" si="0"/>
        <v>0</v>
      </c>
      <c r="F29" s="482">
        <f t="shared" si="0"/>
        <v>0</v>
      </c>
      <c r="G29" s="484">
        <f t="shared" si="0"/>
        <v>0</v>
      </c>
      <c r="H29" s="903">
        <f t="shared" si="0"/>
        <v>0</v>
      </c>
      <c r="I29" s="484">
        <f t="shared" si="0"/>
        <v>0</v>
      </c>
    </row>
    <row r="30" spans="1:10" hidden="1" x14ac:dyDescent="0.2">
      <c r="A30" s="862" t="s">
        <v>511</v>
      </c>
      <c r="B30" s="926"/>
      <c r="C30" s="894"/>
      <c r="D30" s="915"/>
      <c r="E30" s="485"/>
      <c r="F30" s="485"/>
      <c r="G30" s="487"/>
      <c r="H30" s="904"/>
      <c r="I30" s="487">
        <f>SUM(D30:H30)</f>
        <v>0</v>
      </c>
    </row>
    <row r="31" spans="1:10" hidden="1" x14ac:dyDescent="0.2">
      <c r="A31" s="862" t="s">
        <v>511</v>
      </c>
      <c r="B31" s="926"/>
      <c r="C31" s="893" t="s">
        <v>205</v>
      </c>
      <c r="D31" s="916">
        <f t="shared" ref="D31:I31" si="1">SUM(D32:D32)</f>
        <v>0</v>
      </c>
      <c r="E31" s="482">
        <f t="shared" si="1"/>
        <v>0</v>
      </c>
      <c r="F31" s="482">
        <f t="shared" si="1"/>
        <v>0</v>
      </c>
      <c r="G31" s="484">
        <f t="shared" si="1"/>
        <v>0</v>
      </c>
      <c r="H31" s="903">
        <f t="shared" si="1"/>
        <v>0</v>
      </c>
      <c r="I31" s="484">
        <f t="shared" si="1"/>
        <v>0</v>
      </c>
    </row>
    <row r="32" spans="1:10" hidden="1" x14ac:dyDescent="0.2">
      <c r="A32" s="862" t="s">
        <v>511</v>
      </c>
      <c r="B32" s="926"/>
      <c r="C32" s="894"/>
      <c r="D32" s="915"/>
      <c r="E32" s="485"/>
      <c r="F32" s="485"/>
      <c r="G32" s="487"/>
      <c r="H32" s="904"/>
      <c r="I32" s="487">
        <f>SUM(D32:H32)</f>
        <v>0</v>
      </c>
    </row>
    <row r="33" spans="1:9" hidden="1" x14ac:dyDescent="0.2">
      <c r="A33" s="862" t="s">
        <v>511</v>
      </c>
      <c r="B33" s="926"/>
      <c r="C33" s="893" t="s">
        <v>206</v>
      </c>
      <c r="D33" s="916">
        <f t="shared" ref="D33:I33" si="2">SUM(D34:D34)</f>
        <v>0</v>
      </c>
      <c r="E33" s="482">
        <f t="shared" si="2"/>
        <v>0</v>
      </c>
      <c r="F33" s="482">
        <f t="shared" si="2"/>
        <v>0</v>
      </c>
      <c r="G33" s="484">
        <f t="shared" si="2"/>
        <v>0</v>
      </c>
      <c r="H33" s="903">
        <f t="shared" si="2"/>
        <v>0</v>
      </c>
      <c r="I33" s="484">
        <f t="shared" si="2"/>
        <v>0</v>
      </c>
    </row>
    <row r="34" spans="1:9" hidden="1" x14ac:dyDescent="0.2">
      <c r="A34" s="862" t="s">
        <v>511</v>
      </c>
      <c r="B34" s="926"/>
      <c r="C34" s="894"/>
      <c r="D34" s="915"/>
      <c r="E34" s="485"/>
      <c r="F34" s="485"/>
      <c r="G34" s="487"/>
      <c r="H34" s="904"/>
      <c r="I34" s="487">
        <f>SUM(D34:H34)</f>
        <v>0</v>
      </c>
    </row>
    <row r="35" spans="1:9" hidden="1" x14ac:dyDescent="0.2">
      <c r="A35" s="862" t="s">
        <v>511</v>
      </c>
      <c r="B35" s="926"/>
      <c r="C35" s="893" t="s">
        <v>207</v>
      </c>
      <c r="D35" s="916">
        <f>SUM(D36:D37)</f>
        <v>0</v>
      </c>
      <c r="E35" s="482">
        <f>SUM(E37:E37)</f>
        <v>0</v>
      </c>
      <c r="F35" s="482">
        <f>SUM(F37:F37)</f>
        <v>0</v>
      </c>
      <c r="G35" s="484">
        <f>SUM(G37:G37)</f>
        <v>0</v>
      </c>
      <c r="H35" s="903">
        <f>SUM(H37:H37)</f>
        <v>0</v>
      </c>
      <c r="I35" s="484">
        <f>SUM(D35:H35)</f>
        <v>0</v>
      </c>
    </row>
    <row r="36" spans="1:9" hidden="1" x14ac:dyDescent="0.2">
      <c r="A36" s="862" t="s">
        <v>511</v>
      </c>
      <c r="B36" s="926"/>
      <c r="C36" s="847"/>
      <c r="D36" s="915"/>
      <c r="E36" s="482"/>
      <c r="F36" s="482"/>
      <c r="G36" s="484"/>
      <c r="H36" s="903"/>
      <c r="I36" s="487">
        <f>SUM(D36:H36)</f>
        <v>0</v>
      </c>
    </row>
    <row r="37" spans="1:9" hidden="1" x14ac:dyDescent="0.2">
      <c r="A37" s="862" t="s">
        <v>511</v>
      </c>
      <c r="B37" s="926"/>
      <c r="C37" s="847"/>
      <c r="D37" s="915"/>
      <c r="E37" s="485"/>
      <c r="F37" s="485"/>
      <c r="G37" s="487"/>
      <c r="H37" s="904"/>
      <c r="I37" s="487">
        <f>SUM(D37:H37)</f>
        <v>0</v>
      </c>
    </row>
    <row r="38" spans="1:9" hidden="1" x14ac:dyDescent="0.2">
      <c r="A38" s="862" t="s">
        <v>511</v>
      </c>
      <c r="B38" s="926"/>
      <c r="C38" s="83" t="s">
        <v>208</v>
      </c>
      <c r="D38" s="916"/>
      <c r="E38" s="482">
        <f>SUM(E39:E39)</f>
        <v>0</v>
      </c>
      <c r="F38" s="482">
        <f>SUM(F39:F39)</f>
        <v>0</v>
      </c>
      <c r="G38" s="484">
        <f>SUM(G39:G39)</f>
        <v>0</v>
      </c>
      <c r="H38" s="903">
        <f>SUM(H39:H39)</f>
        <v>0</v>
      </c>
      <c r="I38" s="484">
        <f>SUM(I39:I39)</f>
        <v>0</v>
      </c>
    </row>
    <row r="39" spans="1:9" x14ac:dyDescent="0.2">
      <c r="A39" s="862" t="s">
        <v>511</v>
      </c>
      <c r="B39" s="926"/>
      <c r="C39" s="894"/>
      <c r="D39" s="915"/>
      <c r="E39" s="485"/>
      <c r="F39" s="485"/>
      <c r="G39" s="487"/>
      <c r="H39" s="904"/>
      <c r="I39" s="487">
        <f>SUM(D39:H39)</f>
        <v>0</v>
      </c>
    </row>
    <row r="40" spans="1:9" hidden="1" x14ac:dyDescent="0.2">
      <c r="A40" s="404">
        <v>61608</v>
      </c>
      <c r="B40" s="926"/>
      <c r="C40" s="83" t="s">
        <v>574</v>
      </c>
      <c r="D40" s="916">
        <f>+D41</f>
        <v>0</v>
      </c>
      <c r="E40" s="482">
        <f>SUM(E42:E42)</f>
        <v>0</v>
      </c>
      <c r="F40" s="482">
        <f>SUM(F42:F42)</f>
        <v>0</v>
      </c>
      <c r="G40" s="484">
        <f>SUM(G42:G42)</f>
        <v>0</v>
      </c>
      <c r="H40" s="903">
        <f>SUM(H42:H42)</f>
        <v>0</v>
      </c>
      <c r="I40" s="484">
        <f>+I41</f>
        <v>0</v>
      </c>
    </row>
    <row r="41" spans="1:9" hidden="1" x14ac:dyDescent="0.2">
      <c r="A41" s="862" t="s">
        <v>511</v>
      </c>
      <c r="B41" s="926"/>
      <c r="C41" s="895"/>
      <c r="D41" s="915">
        <v>0</v>
      </c>
      <c r="E41" s="482"/>
      <c r="F41" s="485">
        <v>0</v>
      </c>
      <c r="G41" s="487">
        <v>0</v>
      </c>
      <c r="H41" s="903"/>
      <c r="I41" s="487">
        <f>SUM(D41:H41)</f>
        <v>0</v>
      </c>
    </row>
    <row r="42" spans="1:9" hidden="1" x14ac:dyDescent="0.2">
      <c r="A42" s="862" t="s">
        <v>511</v>
      </c>
      <c r="B42" s="926"/>
      <c r="C42" s="894"/>
      <c r="D42" s="915"/>
      <c r="E42" s="485"/>
      <c r="F42" s="485"/>
      <c r="G42" s="487"/>
      <c r="H42" s="904"/>
      <c r="I42" s="487">
        <f>SUM(D42:H42)</f>
        <v>0</v>
      </c>
    </row>
    <row r="43" spans="1:9" x14ac:dyDescent="0.2">
      <c r="A43" s="404">
        <v>61699</v>
      </c>
      <c r="B43" s="926"/>
      <c r="C43" s="83" t="s">
        <v>565</v>
      </c>
      <c r="D43" s="916">
        <f>SUM(D44:D45)</f>
        <v>21416.21</v>
      </c>
      <c r="E43" s="482">
        <f>SUM(E44:E44)</f>
        <v>0</v>
      </c>
      <c r="F43" s="482">
        <f>SUM(F44:F44)</f>
        <v>0</v>
      </c>
      <c r="G43" s="484">
        <f>SUM(G44:G44)</f>
        <v>0</v>
      </c>
      <c r="H43" s="903">
        <f>SUM(H44:H44)</f>
        <v>0</v>
      </c>
      <c r="I43" s="484">
        <f>SUM(I44:I45)</f>
        <v>21416.21</v>
      </c>
    </row>
    <row r="44" spans="1:9" x14ac:dyDescent="0.2">
      <c r="A44" s="862" t="s">
        <v>511</v>
      </c>
      <c r="B44" s="869" t="s">
        <v>499</v>
      </c>
      <c r="C44" s="847" t="s">
        <v>550</v>
      </c>
      <c r="D44" s="915">
        <v>10000</v>
      </c>
      <c r="E44" s="485"/>
      <c r="F44" s="485">
        <v>0</v>
      </c>
      <c r="G44" s="487">
        <v>0</v>
      </c>
      <c r="H44" s="904"/>
      <c r="I44" s="487">
        <f>SUM(D44:H44)</f>
        <v>10000</v>
      </c>
    </row>
    <row r="45" spans="1:9" ht="13.5" thickBot="1" x14ac:dyDescent="0.25">
      <c r="A45" s="862" t="s">
        <v>511</v>
      </c>
      <c r="B45" s="869" t="s">
        <v>499</v>
      </c>
      <c r="C45" s="896" t="s">
        <v>613</v>
      </c>
      <c r="D45" s="915">
        <v>11416.21</v>
      </c>
      <c r="E45" s="485"/>
      <c r="F45" s="485">
        <v>0</v>
      </c>
      <c r="G45" s="487">
        <v>0</v>
      </c>
      <c r="H45" s="904"/>
      <c r="I45" s="487">
        <f>SUM(D45:H45)</f>
        <v>11416.21</v>
      </c>
    </row>
    <row r="46" spans="1:9" ht="13.5" hidden="1" thickBot="1" x14ac:dyDescent="0.25">
      <c r="A46" s="862" t="s">
        <v>511</v>
      </c>
      <c r="B46" s="925"/>
      <c r="C46" s="891"/>
      <c r="D46" s="912"/>
      <c r="E46" s="482"/>
      <c r="F46" s="482"/>
      <c r="G46" s="484"/>
      <c r="H46" s="903"/>
      <c r="I46" s="484"/>
    </row>
    <row r="47" spans="1:9" ht="13.5" thickBot="1" x14ac:dyDescent="0.25">
      <c r="A47" s="918"/>
      <c r="B47" s="102"/>
      <c r="C47" s="897" t="s">
        <v>700</v>
      </c>
      <c r="D47" s="917">
        <f>+D24</f>
        <v>248526.13</v>
      </c>
      <c r="E47" s="489">
        <f>+E19+E24</f>
        <v>0</v>
      </c>
      <c r="F47" s="488">
        <f>F13+F19+F24</f>
        <v>14973.19</v>
      </c>
      <c r="G47" s="490">
        <f>+G19+G24</f>
        <v>0</v>
      </c>
      <c r="H47" s="905">
        <f>+H19+H24</f>
        <v>0</v>
      </c>
      <c r="I47" s="490">
        <f>I14+I19+I24</f>
        <v>263499.32</v>
      </c>
    </row>
    <row r="48" spans="1:9" x14ac:dyDescent="0.2">
      <c r="A48" s="32"/>
      <c r="B48" s="32"/>
      <c r="C48" s="24"/>
      <c r="D48" s="140"/>
      <c r="E48" s="33"/>
      <c r="F48" s="33"/>
      <c r="G48" s="33"/>
      <c r="H48" s="33"/>
      <c r="I48" s="33"/>
    </row>
    <row r="49" spans="6:7" x14ac:dyDescent="0.2">
      <c r="F49" s="3"/>
      <c r="G49" s="471"/>
    </row>
    <row r="50" spans="6:7" x14ac:dyDescent="0.2">
      <c r="F50" s="3"/>
    </row>
  </sheetData>
  <autoFilter ref="A10:I47">
    <filterColumn colId="3" showButton="0"/>
    <filterColumn colId="4" showButton="0"/>
    <filterColumn colId="5" showButton="0"/>
    <filterColumn colId="6" showButton="0"/>
  </autoFilter>
  <mergeCells count="12">
    <mergeCell ref="A1:I1"/>
    <mergeCell ref="A2:I2"/>
    <mergeCell ref="A4:I4"/>
    <mergeCell ref="A5:I5"/>
    <mergeCell ref="A6:I6"/>
    <mergeCell ref="A7:I7"/>
    <mergeCell ref="A8:I8"/>
    <mergeCell ref="A10:A11"/>
    <mergeCell ref="B10:B11"/>
    <mergeCell ref="C10:C11"/>
    <mergeCell ref="D10:H10"/>
    <mergeCell ref="I10:I11"/>
  </mergeCells>
  <phoneticPr fontId="0" type="noConversion"/>
  <pageMargins left="0.19685039370078741" right="0.15748031496062992" top="0.86614173228346458" bottom="0.78740157480314965" header="0" footer="0"/>
  <pageSetup scale="85" orientation="landscape" horizontalDpi="4294967294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6</vt:i4>
      </vt:variant>
    </vt:vector>
  </HeadingPairs>
  <TitlesOfParts>
    <vt:vector size="22" baseType="lpstr">
      <vt:lpstr>ESTRUCTURA PRESP.</vt:lpstr>
      <vt:lpstr>ING. REALES</vt:lpstr>
      <vt:lpstr>PLLA MUNICIPAL HONORARIOS</vt:lpstr>
      <vt:lpstr>PLLA MUNICIPAL LEY SAL</vt:lpstr>
      <vt:lpstr>PLLA DIETAS</vt:lpstr>
      <vt:lpstr>egresos 25% y F.P</vt:lpstr>
      <vt:lpstr>AG1</vt:lpstr>
      <vt:lpstr>AG3</vt:lpstr>
      <vt:lpstr>AG4</vt:lpstr>
      <vt:lpstr>AG5</vt:lpstr>
      <vt:lpstr>CONSOLIDADO</vt:lpstr>
      <vt:lpstr>PRESUP.DE EGRESOS</vt:lpstr>
      <vt:lpstr>RESUMEN1</vt:lpstr>
      <vt:lpstr>RESUMEN2</vt:lpstr>
      <vt:lpstr>RESUMEN3</vt:lpstr>
      <vt:lpstr>RESUMEN4</vt:lpstr>
      <vt:lpstr>'ESTRUCTURA PRESP.'!Área_de_impresión</vt:lpstr>
      <vt:lpstr>'AG1'!Títulos_a_imprimir</vt:lpstr>
      <vt:lpstr>'AG3'!Títulos_a_imprimir</vt:lpstr>
      <vt:lpstr>CONSOLIDADO!Títulos_a_imprimir</vt:lpstr>
      <vt:lpstr>'ING. REALES'!Títulos_a_imprimir</vt:lpstr>
      <vt:lpstr>'PRESUP.DE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Alcaldia El Carmen</dc:creator>
  <cp:lastModifiedBy>USUARIO</cp:lastModifiedBy>
  <cp:lastPrinted>2016-04-15T00:33:25Z</cp:lastPrinted>
  <dcterms:created xsi:type="dcterms:W3CDTF">2009-03-12T16:54:49Z</dcterms:created>
  <dcterms:modified xsi:type="dcterms:W3CDTF">2021-08-10T17:03:13Z</dcterms:modified>
</cp:coreProperties>
</file>