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PRESUP 2024\"/>
    </mc:Choice>
  </mc:AlternateContent>
  <xr:revisionPtr revIDLastSave="0" documentId="13_ncr:1_{CC2CEBF3-6084-48C7-83E2-1F4E202A5E82}" xr6:coauthVersionLast="47" xr6:coauthVersionMax="47" xr10:uidLastSave="{00000000-0000-0000-0000-000000000000}"/>
  <bookViews>
    <workbookView xWindow="-120" yWindow="-120" windowWidth="20730" windowHeight="11160" tabRatio="903" firstSheet="5" activeTab="8" xr2:uid="{00000000-000D-0000-FFFF-FFFF00000000}"/>
  </bookViews>
  <sheets>
    <sheet name="Estructura" sheetId="56" r:id="rId1"/>
    <sheet name="Rubros" sheetId="57" r:id="rId2"/>
    <sheet name="Ingresos" sheetId="16" r:id="rId3"/>
    <sheet name="PROYECCION UATM" sheetId="93" r:id="rId4"/>
    <sheet name="Egresos" sheetId="65" r:id="rId5"/>
    <sheet name="SALDO DE CUENTAS BANCARIAS" sheetId="91" r:id="rId6"/>
    <sheet name="EGRE FONDO COMUN" sheetId="12" r:id="rId7"/>
    <sheet name="Egr. FODES LIBRE DISPONIBILIDAD" sheetId="20" r:id="rId8"/>
    <sheet name="FONDOS FAM" sheetId="88" r:id="rId9"/>
    <sheet name="FAM" sheetId="89" r:id="rId10"/>
    <sheet name="FONDOS GOES" sheetId="84" r:id="rId11"/>
    <sheet name="INT CRECER" sheetId="92" r:id="rId12"/>
    <sheet name="FISDL" sheetId="72" r:id="rId13"/>
    <sheet name="ok-Planillas 2023" sheetId="69" r:id="rId14"/>
    <sheet name=" Egrs75%FODES- PROY.SOCIALES" sheetId="58" state="hidden" r:id="rId15"/>
    <sheet name="PROY-FODES75% QUE VIENEN 2021" sheetId="81" state="hidden" r:id="rId16"/>
    <sheet name="PROYECTOS GOES ESPECIFICOS " sheetId="85" state="hidden" r:id="rId17"/>
    <sheet name="PRESTAMOS" sheetId="67" state="hidden" r:id="rId18"/>
    <sheet name="Egr.FODES 2%" sheetId="76" state="hidden" r:id="rId19"/>
    <sheet name="Dietas" sheetId="27" r:id="rId20"/>
    <sheet name="Salarios" sheetId="64" state="hidden" r:id="rId21"/>
    <sheet name="PLANILLA " sheetId="86" r:id="rId22"/>
    <sheet name="Planillas" sheetId="68" state="hidden" r:id="rId23"/>
    <sheet name="MORA TRIBUTARIA A 2023" sheetId="71" r:id="rId24"/>
    <sheet name="Hoja1" sheetId="94" r:id="rId25"/>
  </sheets>
  <externalReferences>
    <externalReference r:id="rId26"/>
    <externalReference r:id="rId27"/>
    <externalReference r:id="rId28"/>
  </externalReferences>
  <definedNames>
    <definedName name="_xlnm._FilterDatabase" localSheetId="8" hidden="1">'FONDOS FAM'!$A$9:$H$78</definedName>
    <definedName name="_xlnm.Print_Area" localSheetId="14">' Egrs75%FODES- PROY.SOCIALES'!$A$1:$H$53</definedName>
    <definedName name="_xlnm.Print_Area" localSheetId="19">Dietas!$A$1:$K$20</definedName>
    <definedName name="_xlnm.Print_Area" localSheetId="7">'Egr. FODES LIBRE DISPONIBILIDAD'!$A$2:$L$74</definedName>
    <definedName name="_xlnm.Print_Area" localSheetId="18">'Egr.FODES 2%'!$A$1:$H$51</definedName>
    <definedName name="_xlnm.Print_Area" localSheetId="6">'EGRE FONDO COMUN'!$A$2:$AH$86</definedName>
    <definedName name="_xlnm.Print_Area" localSheetId="4">Egresos!$A$1:$I$173</definedName>
    <definedName name="_xlnm.Print_Area" localSheetId="0">Estructura!$A$1:$D$31</definedName>
    <definedName name="_xlnm.Print_Area" localSheetId="9">FAM!$A$2:$P$68</definedName>
    <definedName name="_xlnm.Print_Area" localSheetId="12">FISDL!$A$1:$H$18</definedName>
    <definedName name="_xlnm.Print_Area" localSheetId="8">'FONDOS FAM'!$A$2:$H$81</definedName>
    <definedName name="_xlnm.Print_Area" localSheetId="10">'FONDOS GOES'!$A$1:$H$52</definedName>
    <definedName name="_xlnm.Print_Area" localSheetId="2">Ingresos!$A$57:$I$81</definedName>
    <definedName name="_xlnm.Print_Area" localSheetId="11">'INT CRECER'!$A$1:$H$21</definedName>
    <definedName name="_xlnm.Print_Area" localSheetId="23">'MORA TRIBUTARIA A 2023'!$A$1:$N$18</definedName>
    <definedName name="_xlnm.Print_Area" localSheetId="13">'ok-Planillas 2023'!$A$1:$J$126</definedName>
    <definedName name="_xlnm.Print_Area" localSheetId="21">'PLANILLA '!$C$1:$U$86</definedName>
    <definedName name="_xlnm.Print_Area" localSheetId="17">PRESTAMOS!$A$1:$H$27</definedName>
    <definedName name="_xlnm.Print_Area" localSheetId="16">'PROYECTOS GOES ESPECIFICOS '!$A$2:$C$57</definedName>
    <definedName name="_xlnm.Print_Area" localSheetId="15">'PROY-FODES75% QUE VIENEN 2021'!$A$1:$K$54</definedName>
    <definedName name="_xlnm.Print_Area" localSheetId="1">Rubros!$A$1:$C$25</definedName>
    <definedName name="_xlnm.Print_Area" localSheetId="5">'SALDO DE CUENTAS BANCARIAS'!$A$1:$I$153</definedName>
    <definedName name="_xlnm.Print_Titles" localSheetId="14">' Egrs75%FODES- PROY.SOCIALES'!$9:$10</definedName>
    <definedName name="_xlnm.Print_Titles" localSheetId="19">Dietas!$4:$6</definedName>
    <definedName name="_xlnm.Print_Titles" localSheetId="18">'Egr.FODES 2%'!$9:$10</definedName>
    <definedName name="_xlnm.Print_Titles" localSheetId="6">'EGRE FONDO COMUN'!$1:$9</definedName>
    <definedName name="_xlnm.Print_Titles" localSheetId="4">Egresos!$1:$8</definedName>
    <definedName name="_xlnm.Print_Titles" localSheetId="12">FISDL!$9:$10</definedName>
    <definedName name="_xlnm.Print_Titles" localSheetId="10">'FONDOS GOES'!$9:$10</definedName>
    <definedName name="_xlnm.Print_Titles" localSheetId="2">Ingresos!$1:$8</definedName>
    <definedName name="_xlnm.Print_Titles" localSheetId="13">'ok-Planillas 2023'!$4:$6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3" i="16" l="1"/>
  <c r="D74" i="16"/>
  <c r="I89" i="91"/>
  <c r="J66" i="89"/>
  <c r="H80" i="88" s="1"/>
  <c r="J13" i="89"/>
  <c r="H22" i="88" s="1"/>
  <c r="AF74" i="20"/>
  <c r="AG35" i="20"/>
  <c r="AG34" i="20"/>
  <c r="AG33" i="20"/>
  <c r="AG32" i="20"/>
  <c r="AG31" i="20"/>
  <c r="AG30" i="20"/>
  <c r="AG29" i="20"/>
  <c r="AG28" i="20"/>
  <c r="AG27" i="20"/>
  <c r="AG26" i="20"/>
  <c r="AG25" i="20"/>
  <c r="AG24" i="20"/>
  <c r="AG23" i="20"/>
  <c r="AG22" i="20"/>
  <c r="AG73" i="20"/>
  <c r="AG72" i="20"/>
  <c r="AG71" i="20"/>
  <c r="AG70" i="20"/>
  <c r="AG69" i="20"/>
  <c r="AG68" i="20"/>
  <c r="AG67" i="20"/>
  <c r="AG66" i="20"/>
  <c r="AG65" i="20"/>
  <c r="AG64" i="20"/>
  <c r="AG63" i="20"/>
  <c r="AG62" i="20"/>
  <c r="AG61" i="20"/>
  <c r="AG60" i="20"/>
  <c r="AG59" i="20"/>
  <c r="AG58" i="20"/>
  <c r="AG57" i="20"/>
  <c r="AG56" i="20"/>
  <c r="AG55" i="20"/>
  <c r="AG54" i="20"/>
  <c r="AG53" i="20"/>
  <c r="AG52" i="20"/>
  <c r="AG51" i="20"/>
  <c r="AG50" i="20"/>
  <c r="AG49" i="20"/>
  <c r="AG48" i="20"/>
  <c r="AG47" i="20"/>
  <c r="AG46" i="20"/>
  <c r="AG45" i="20"/>
  <c r="AG44" i="20"/>
  <c r="AG43" i="20"/>
  <c r="AG42" i="20"/>
  <c r="AG41" i="20"/>
  <c r="AG40" i="20"/>
  <c r="AG39" i="20"/>
  <c r="AG38" i="20"/>
  <c r="AG37" i="20"/>
  <c r="AG36" i="20"/>
  <c r="Y74" i="20"/>
  <c r="AA74" i="20"/>
  <c r="Z74" i="20"/>
  <c r="X74" i="20"/>
  <c r="W74" i="20"/>
  <c r="V74" i="20"/>
  <c r="U74" i="20"/>
  <c r="T74" i="20"/>
  <c r="S74" i="20"/>
  <c r="R60" i="20"/>
  <c r="R59" i="20"/>
  <c r="R56" i="20"/>
  <c r="R55" i="20"/>
  <c r="AH55" i="20" s="1"/>
  <c r="R52" i="20"/>
  <c r="R51" i="20"/>
  <c r="R48" i="20"/>
  <c r="R47" i="20"/>
  <c r="R44" i="20"/>
  <c r="R43" i="20"/>
  <c r="R40" i="20"/>
  <c r="R39" i="20"/>
  <c r="R36" i="20"/>
  <c r="R32" i="20"/>
  <c r="R31" i="20"/>
  <c r="R28" i="20"/>
  <c r="R27" i="20"/>
  <c r="R24" i="20"/>
  <c r="Q73" i="20"/>
  <c r="Q72" i="20"/>
  <c r="Q71" i="20"/>
  <c r="R71" i="20" s="1"/>
  <c r="Q70" i="20"/>
  <c r="R70" i="20" s="1"/>
  <c r="Q69" i="20"/>
  <c r="Q68" i="20"/>
  <c r="Q67" i="20"/>
  <c r="R67" i="20" s="1"/>
  <c r="AH67" i="20" s="1"/>
  <c r="Q66" i="20"/>
  <c r="R66" i="20" s="1"/>
  <c r="AH66" i="20" s="1"/>
  <c r="Q65" i="20"/>
  <c r="Q64" i="20"/>
  <c r="Q63" i="20"/>
  <c r="R63" i="20" s="1"/>
  <c r="Q62" i="20"/>
  <c r="R62" i="20" s="1"/>
  <c r="Q61" i="20"/>
  <c r="R61" i="20" s="1"/>
  <c r="Q60" i="20"/>
  <c r="Q59" i="20"/>
  <c r="Q58" i="20"/>
  <c r="R58" i="20" s="1"/>
  <c r="Q57" i="20"/>
  <c r="R57" i="20" s="1"/>
  <c r="Q56" i="20"/>
  <c r="Q55" i="20"/>
  <c r="Q54" i="20"/>
  <c r="R54" i="20" s="1"/>
  <c r="Q53" i="20"/>
  <c r="R53" i="20" s="1"/>
  <c r="Q52" i="20"/>
  <c r="Q51" i="20"/>
  <c r="Q50" i="20"/>
  <c r="R50" i="20" s="1"/>
  <c r="Q49" i="20"/>
  <c r="R49" i="20" s="1"/>
  <c r="Q48" i="20"/>
  <c r="Q47" i="20"/>
  <c r="Q46" i="20"/>
  <c r="R46" i="20" s="1"/>
  <c r="Q45" i="20"/>
  <c r="R45" i="20" s="1"/>
  <c r="Q44" i="20"/>
  <c r="Q43" i="20"/>
  <c r="Q42" i="20"/>
  <c r="R42" i="20" s="1"/>
  <c r="Q41" i="20"/>
  <c r="R41" i="20" s="1"/>
  <c r="Q40" i="20"/>
  <c r="Q39" i="20"/>
  <c r="Q38" i="20"/>
  <c r="R38" i="20" s="1"/>
  <c r="Q37" i="20"/>
  <c r="R37" i="20" s="1"/>
  <c r="Q36" i="20"/>
  <c r="Q35" i="20"/>
  <c r="Q34" i="20"/>
  <c r="R34" i="20" s="1"/>
  <c r="Q33" i="20"/>
  <c r="R33" i="20" s="1"/>
  <c r="Q32" i="20"/>
  <c r="Q31" i="20"/>
  <c r="Q30" i="20"/>
  <c r="R30" i="20" s="1"/>
  <c r="Q29" i="20"/>
  <c r="R29" i="20" s="1"/>
  <c r="Q28" i="20"/>
  <c r="Q27" i="20"/>
  <c r="Q26" i="20"/>
  <c r="R26" i="20" s="1"/>
  <c r="Q25" i="20"/>
  <c r="R25" i="20" s="1"/>
  <c r="Q24" i="20"/>
  <c r="Q23" i="20"/>
  <c r="R23" i="20" s="1"/>
  <c r="Q22" i="20"/>
  <c r="R22" i="20" s="1"/>
  <c r="I74" i="20"/>
  <c r="U86" i="12"/>
  <c r="Z86" i="12"/>
  <c r="AG83" i="12"/>
  <c r="AG85" i="12"/>
  <c r="AG84" i="12"/>
  <c r="AG82" i="12"/>
  <c r="AG81" i="12"/>
  <c r="AG80" i="12"/>
  <c r="AG79" i="12"/>
  <c r="AG78" i="12"/>
  <c r="AG77" i="12"/>
  <c r="AG76" i="12"/>
  <c r="AG75" i="12"/>
  <c r="AG74" i="12"/>
  <c r="AG73" i="12"/>
  <c r="AG72" i="12"/>
  <c r="AG71" i="12"/>
  <c r="AG70" i="12"/>
  <c r="AG69" i="12"/>
  <c r="AG68" i="12"/>
  <c r="AG67" i="12"/>
  <c r="AG66" i="12"/>
  <c r="AG65" i="12"/>
  <c r="AG64" i="12"/>
  <c r="AG63" i="12"/>
  <c r="AG62" i="12"/>
  <c r="AG61" i="12"/>
  <c r="AG60" i="12"/>
  <c r="AG59" i="12"/>
  <c r="AG58" i="12"/>
  <c r="AG57" i="12"/>
  <c r="AG56" i="12"/>
  <c r="AG55" i="12"/>
  <c r="AG54" i="12"/>
  <c r="AG53" i="12"/>
  <c r="AG52" i="12"/>
  <c r="AG51" i="12"/>
  <c r="AG50" i="12"/>
  <c r="AG49" i="12"/>
  <c r="AG48" i="12"/>
  <c r="AG47" i="12"/>
  <c r="AG46" i="12"/>
  <c r="AG45" i="12"/>
  <c r="AG44" i="12"/>
  <c r="AG43" i="12"/>
  <c r="AG41" i="12"/>
  <c r="AG40" i="12"/>
  <c r="AG39" i="12"/>
  <c r="AG38" i="12"/>
  <c r="AG37" i="12"/>
  <c r="AG36" i="12"/>
  <c r="AG35" i="12"/>
  <c r="AG34" i="12"/>
  <c r="AG33" i="12"/>
  <c r="AG32" i="12"/>
  <c r="AG31" i="12"/>
  <c r="AG30" i="12"/>
  <c r="AG29" i="12"/>
  <c r="AG28" i="12"/>
  <c r="AG27" i="12"/>
  <c r="AG26" i="12"/>
  <c r="AG25" i="12"/>
  <c r="T77" i="12"/>
  <c r="S77" i="12"/>
  <c r="S84" i="12"/>
  <c r="T84" i="12" s="1"/>
  <c r="R72" i="20"/>
  <c r="R69" i="20"/>
  <c r="R68" i="20"/>
  <c r="R65" i="20"/>
  <c r="R64" i="20"/>
  <c r="AH56" i="20"/>
  <c r="Q21" i="20"/>
  <c r="AH72" i="20"/>
  <c r="AH69" i="20"/>
  <c r="AH68" i="20"/>
  <c r="AG21" i="20"/>
  <c r="H51" i="88"/>
  <c r="I109" i="91"/>
  <c r="I110" i="91"/>
  <c r="I131" i="91"/>
  <c r="I138" i="91"/>
  <c r="I136" i="91"/>
  <c r="F86" i="86"/>
  <c r="E86" i="86"/>
  <c r="H20" i="27"/>
  <c r="G20" i="27"/>
  <c r="F20" i="27"/>
  <c r="E20" i="27"/>
  <c r="I8" i="27"/>
  <c r="J8" i="27" s="1"/>
  <c r="I9" i="27"/>
  <c r="J9" i="27" s="1"/>
  <c r="I10" i="27"/>
  <c r="J14" i="86"/>
  <c r="O74" i="20"/>
  <c r="N74" i="20"/>
  <c r="L74" i="20"/>
  <c r="F44" i="91"/>
  <c r="I42" i="91"/>
  <c r="E73" i="16"/>
  <c r="H74" i="16"/>
  <c r="H73" i="16" s="1"/>
  <c r="F135" i="91"/>
  <c r="I49" i="91"/>
  <c r="I50" i="91" s="1"/>
  <c r="I59" i="91"/>
  <c r="I60" i="91" s="1"/>
  <c r="F28" i="91"/>
  <c r="F54" i="91"/>
  <c r="I54" i="91" s="1"/>
  <c r="I55" i="91" s="1"/>
  <c r="F82" i="91"/>
  <c r="F81" i="91"/>
  <c r="H83" i="91"/>
  <c r="H106" i="91"/>
  <c r="F104" i="91"/>
  <c r="F106" i="91" s="1"/>
  <c r="I99" i="91" s="1"/>
  <c r="I106" i="91" s="1"/>
  <c r="D162" i="65"/>
  <c r="D123" i="69"/>
  <c r="D34" i="65"/>
  <c r="D33" i="65" s="1"/>
  <c r="G74" i="16"/>
  <c r="C74" i="16"/>
  <c r="C73" i="16" s="1"/>
  <c r="F37" i="91"/>
  <c r="F19" i="91"/>
  <c r="I17" i="91" s="1"/>
  <c r="I86" i="91"/>
  <c r="I63" i="91"/>
  <c r="I72" i="91"/>
  <c r="I115" i="91"/>
  <c r="AH70" i="20" l="1"/>
  <c r="AH21" i="20"/>
  <c r="AH77" i="12"/>
  <c r="L13" i="89"/>
  <c r="P7" i="89"/>
  <c r="AH71" i="20"/>
  <c r="AH84" i="12"/>
  <c r="P66" i="89"/>
  <c r="F83" i="91"/>
  <c r="I33" i="91"/>
  <c r="I37" i="91" s="1"/>
  <c r="F20" i="89"/>
  <c r="J20" i="89" s="1"/>
  <c r="E101" i="69"/>
  <c r="I89" i="69"/>
  <c r="H89" i="69"/>
  <c r="G89" i="69"/>
  <c r="F89" i="69"/>
  <c r="C112" i="69"/>
  <c r="E33" i="69"/>
  <c r="D33" i="69"/>
  <c r="C33" i="69"/>
  <c r="E14" i="69"/>
  <c r="C14" i="69"/>
  <c r="D14" i="69"/>
  <c r="D34" i="69" s="1"/>
  <c r="H8" i="69"/>
  <c r="I8" i="69"/>
  <c r="G8" i="69"/>
  <c r="G7" i="69"/>
  <c r="F7" i="69"/>
  <c r="E79" i="69"/>
  <c r="D79" i="69"/>
  <c r="C79" i="69"/>
  <c r="G84" i="86"/>
  <c r="G83" i="86"/>
  <c r="H83" i="86" s="1"/>
  <c r="L85" i="86"/>
  <c r="M85" i="86"/>
  <c r="R85" i="86"/>
  <c r="G85" i="86"/>
  <c r="H85" i="86" s="1"/>
  <c r="H75" i="86"/>
  <c r="H77" i="69"/>
  <c r="F77" i="69"/>
  <c r="G77" i="69"/>
  <c r="I77" i="69"/>
  <c r="M72" i="86"/>
  <c r="K72" i="86"/>
  <c r="J72" i="86"/>
  <c r="I72" i="86"/>
  <c r="H72" i="86"/>
  <c r="G70" i="86"/>
  <c r="H41" i="88"/>
  <c r="E17" i="86"/>
  <c r="J34" i="89"/>
  <c r="P34" i="89" s="1"/>
  <c r="F62" i="89"/>
  <c r="J62" i="89" s="1"/>
  <c r="P62" i="89" s="1"/>
  <c r="I80" i="91" l="1"/>
  <c r="I83" i="91" s="1"/>
  <c r="H152" i="91"/>
  <c r="J89" i="69"/>
  <c r="C34" i="69"/>
  <c r="C102" i="69"/>
  <c r="C104" i="69" s="1"/>
  <c r="C103" i="69"/>
  <c r="J77" i="69"/>
  <c r="J85" i="86"/>
  <c r="O85" i="86"/>
  <c r="Q85" i="86" s="1"/>
  <c r="I85" i="86"/>
  <c r="O72" i="86"/>
  <c r="Q72" i="86" s="1"/>
  <c r="S85" i="86" l="1"/>
  <c r="T85" i="86" s="1"/>
  <c r="E74" i="16"/>
  <c r="G73" i="16"/>
  <c r="I7" i="91"/>
  <c r="I10" i="91" s="1"/>
  <c r="H62" i="16"/>
  <c r="E74" i="65"/>
  <c r="H21" i="88"/>
  <c r="H20" i="88"/>
  <c r="E49" i="65" s="1"/>
  <c r="H19" i="88"/>
  <c r="E48" i="65" s="1"/>
  <c r="H18" i="88"/>
  <c r="E46" i="65" s="1"/>
  <c r="H17" i="88"/>
  <c r="H16" i="88"/>
  <c r="F18" i="89"/>
  <c r="F17" i="89"/>
  <c r="F16" i="89"/>
  <c r="F15" i="89"/>
  <c r="L12" i="89"/>
  <c r="L11" i="89"/>
  <c r="L10" i="89"/>
  <c r="L9" i="89"/>
  <c r="L8" i="89"/>
  <c r="L7" i="89"/>
  <c r="H71" i="88"/>
  <c r="J56" i="89"/>
  <c r="P56" i="89" s="1"/>
  <c r="H50" i="88"/>
  <c r="E28" i="65" s="1"/>
  <c r="H49" i="88"/>
  <c r="E25" i="65" s="1"/>
  <c r="J43" i="89"/>
  <c r="H23" i="88" l="1"/>
  <c r="J16" i="89"/>
  <c r="P16" i="89" s="1"/>
  <c r="H45" i="88"/>
  <c r="H44" i="88"/>
  <c r="H43" i="88"/>
  <c r="H42" i="88"/>
  <c r="H40" i="88"/>
  <c r="H39" i="88"/>
  <c r="J65" i="89"/>
  <c r="P65" i="89" s="1"/>
  <c r="P21" i="89"/>
  <c r="I86" i="12"/>
  <c r="H75" i="88"/>
  <c r="D100" i="65"/>
  <c r="D99" i="65"/>
  <c r="I99" i="65" s="1"/>
  <c r="D139" i="65"/>
  <c r="I139" i="65" s="1"/>
  <c r="D160" i="65"/>
  <c r="H153" i="20"/>
  <c r="D140" i="65"/>
  <c r="D153" i="65"/>
  <c r="D144" i="65" s="1"/>
  <c r="I136" i="65"/>
  <c r="I135" i="65"/>
  <c r="D137" i="65"/>
  <c r="AC86" i="12"/>
  <c r="J51" i="89"/>
  <c r="H63" i="88" s="1"/>
  <c r="J25" i="89"/>
  <c r="H31" i="88" s="1"/>
  <c r="L16" i="89" l="1"/>
  <c r="H46" i="88"/>
  <c r="D138" i="65"/>
  <c r="I138" i="65" s="1"/>
  <c r="N61" i="89" l="1"/>
  <c r="N67" i="89" s="1"/>
  <c r="L25" i="89"/>
  <c r="L43" i="89" l="1"/>
  <c r="H10" i="88" l="1"/>
  <c r="H16" i="94"/>
  <c r="H14" i="94"/>
  <c r="F14" i="94"/>
  <c r="I16" i="94" l="1"/>
  <c r="C118" i="65"/>
  <c r="I118" i="65" s="1"/>
  <c r="C100" i="65"/>
  <c r="I100" i="65" s="1"/>
  <c r="C41" i="65"/>
  <c r="C137" i="65"/>
  <c r="I137" i="65" s="1"/>
  <c r="P74" i="20"/>
  <c r="AB74" i="20"/>
  <c r="S41" i="12" l="1"/>
  <c r="S42" i="12"/>
  <c r="S26" i="12"/>
  <c r="S60" i="12"/>
  <c r="S25" i="12" l="1"/>
  <c r="C97" i="65"/>
  <c r="D97" i="65"/>
  <c r="AB86" i="12"/>
  <c r="AA86" i="12"/>
  <c r="V86" i="12"/>
  <c r="Y42" i="12"/>
  <c r="X86" i="12"/>
  <c r="N86" i="12"/>
  <c r="M86" i="12"/>
  <c r="J86" i="12"/>
  <c r="L86" i="12"/>
  <c r="K86" i="12"/>
  <c r="Y86" i="12" l="1"/>
  <c r="AG42" i="12"/>
  <c r="I97" i="65"/>
  <c r="AG86" i="12" l="1"/>
  <c r="H56" i="12"/>
  <c r="R82" i="86" l="1"/>
  <c r="M82" i="86"/>
  <c r="G82" i="86"/>
  <c r="L82" i="86" s="1"/>
  <c r="R75" i="86"/>
  <c r="M75" i="86"/>
  <c r="L75" i="86"/>
  <c r="O75" i="86" s="1"/>
  <c r="J75" i="86"/>
  <c r="I75" i="86"/>
  <c r="R65" i="86"/>
  <c r="M65" i="86"/>
  <c r="J65" i="86"/>
  <c r="I65" i="86"/>
  <c r="H65" i="86"/>
  <c r="G65" i="86"/>
  <c r="L65" i="86" s="1"/>
  <c r="M84" i="86"/>
  <c r="M83" i="86"/>
  <c r="M81" i="86"/>
  <c r="M80" i="86"/>
  <c r="M79" i="86"/>
  <c r="M78" i="86"/>
  <c r="M77" i="86"/>
  <c r="M76" i="86"/>
  <c r="M74" i="86"/>
  <c r="M73" i="86"/>
  <c r="M71" i="86"/>
  <c r="M70" i="86"/>
  <c r="M69" i="86"/>
  <c r="M68" i="86"/>
  <c r="M67" i="86"/>
  <c r="M66" i="86"/>
  <c r="M64" i="86"/>
  <c r="M63" i="86"/>
  <c r="M62" i="86"/>
  <c r="M61" i="86"/>
  <c r="M60" i="86"/>
  <c r="M59" i="86"/>
  <c r="M58" i="86"/>
  <c r="M57" i="86"/>
  <c r="M56" i="86"/>
  <c r="M55" i="86"/>
  <c r="M54" i="86"/>
  <c r="M22" i="86"/>
  <c r="M14" i="86"/>
  <c r="M11" i="86"/>
  <c r="R25" i="86"/>
  <c r="K25" i="86"/>
  <c r="J25" i="86"/>
  <c r="I25" i="86"/>
  <c r="H25" i="86"/>
  <c r="G25" i="86"/>
  <c r="M25" i="86" s="1"/>
  <c r="G15" i="86"/>
  <c r="H15" i="86" s="1"/>
  <c r="E13" i="93"/>
  <c r="E17" i="93" s="1"/>
  <c r="C14" i="65"/>
  <c r="I14" i="65" s="1"/>
  <c r="H18" i="12"/>
  <c r="C22" i="65" s="1"/>
  <c r="F124" i="69"/>
  <c r="C124" i="69"/>
  <c r="D124" i="69"/>
  <c r="D110" i="69"/>
  <c r="I7" i="69"/>
  <c r="I19" i="69"/>
  <c r="I18" i="69"/>
  <c r="I51" i="69"/>
  <c r="I40" i="69"/>
  <c r="I39" i="69"/>
  <c r="I22" i="69"/>
  <c r="I21" i="69"/>
  <c r="H22" i="69"/>
  <c r="G22" i="69"/>
  <c r="G21" i="69"/>
  <c r="F22" i="69"/>
  <c r="F21" i="69"/>
  <c r="C53" i="16"/>
  <c r="J7" i="69" l="1"/>
  <c r="D80" i="69"/>
  <c r="H11" i="12" s="1"/>
  <c r="C12" i="65" s="1"/>
  <c r="H82" i="86"/>
  <c r="O82" i="86" s="1"/>
  <c r="Q82" i="86" s="1"/>
  <c r="S82" i="86" s="1"/>
  <c r="T82" i="86" s="1"/>
  <c r="I82" i="86"/>
  <c r="Q75" i="86"/>
  <c r="S75" i="86" s="1"/>
  <c r="T75" i="86" s="1"/>
  <c r="J82" i="86"/>
  <c r="J22" i="69"/>
  <c r="O65" i="86"/>
  <c r="Q65" i="86" s="1"/>
  <c r="S65" i="86" s="1"/>
  <c r="T65" i="86" s="1"/>
  <c r="M86" i="86"/>
  <c r="M15" i="86"/>
  <c r="O25" i="86"/>
  <c r="Q25" i="86" s="1"/>
  <c r="S25" i="86" s="1"/>
  <c r="T25" i="86" s="1"/>
  <c r="I15" i="86"/>
  <c r="J15" i="86"/>
  <c r="L15" i="86"/>
  <c r="O15" i="86" s="1"/>
  <c r="Q15" i="86" s="1"/>
  <c r="E34" i="69"/>
  <c r="E80" i="69" l="1"/>
  <c r="E81" i="69" s="1"/>
  <c r="E83" i="69" l="1"/>
  <c r="H10" i="12" s="1"/>
  <c r="E102" i="69"/>
  <c r="O21" i="71"/>
  <c r="C10" i="16"/>
  <c r="E84" i="69" l="1"/>
  <c r="F84" i="69" s="1"/>
  <c r="H11" i="20" s="1"/>
  <c r="H54" i="88"/>
  <c r="H84" i="69" l="1"/>
  <c r="G84" i="69"/>
  <c r="H88" i="20" s="1"/>
  <c r="R86" i="12"/>
  <c r="AD86" i="12" l="1"/>
  <c r="S24" i="12"/>
  <c r="S23" i="12"/>
  <c r="S22" i="12"/>
  <c r="S21" i="12"/>
  <c r="S20" i="12"/>
  <c r="S19" i="12"/>
  <c r="S18" i="12"/>
  <c r="S17" i="12"/>
  <c r="S16" i="12"/>
  <c r="S15" i="12"/>
  <c r="S14" i="12"/>
  <c r="S13" i="12"/>
  <c r="S12" i="12"/>
  <c r="S11" i="12"/>
  <c r="S10" i="12"/>
  <c r="I32" i="69"/>
  <c r="I76" i="69"/>
  <c r="I75" i="69"/>
  <c r="I74" i="69"/>
  <c r="I73" i="69"/>
  <c r="I72" i="69"/>
  <c r="I71" i="69"/>
  <c r="I70" i="69"/>
  <c r="I69" i="69"/>
  <c r="I68" i="69"/>
  <c r="I67" i="69"/>
  <c r="I66" i="69"/>
  <c r="I65" i="69"/>
  <c r="I64" i="69"/>
  <c r="I63" i="69"/>
  <c r="I62" i="69"/>
  <c r="I61" i="69"/>
  <c r="I60" i="69"/>
  <c r="I59" i="69"/>
  <c r="I58" i="69"/>
  <c r="I57" i="69"/>
  <c r="I56" i="69"/>
  <c r="I55" i="69"/>
  <c r="I54" i="69"/>
  <c r="I53" i="69"/>
  <c r="I52" i="69"/>
  <c r="I50" i="69"/>
  <c r="I49" i="69"/>
  <c r="I48" i="69"/>
  <c r="I47" i="69"/>
  <c r="I46" i="69"/>
  <c r="I45" i="69"/>
  <c r="I44" i="69"/>
  <c r="I43" i="69"/>
  <c r="I42" i="69"/>
  <c r="I41" i="69"/>
  <c r="I38" i="69"/>
  <c r="H37" i="69"/>
  <c r="I37" i="69"/>
  <c r="I36" i="69"/>
  <c r="I35" i="69"/>
  <c r="I79" i="69" l="1"/>
  <c r="C34" i="16"/>
  <c r="C21" i="16"/>
  <c r="AG11" i="20"/>
  <c r="F8" i="69"/>
  <c r="AH11" i="20" l="1"/>
  <c r="J8" i="69"/>
  <c r="C20" i="16"/>
  <c r="H7" i="69"/>
  <c r="C101" i="69"/>
  <c r="H27" i="88"/>
  <c r="H28" i="88" l="1"/>
  <c r="C80" i="69"/>
  <c r="H14" i="12" s="1"/>
  <c r="L21" i="89"/>
  <c r="P61" i="89"/>
  <c r="H76" i="88" s="1"/>
  <c r="AH31" i="20"/>
  <c r="H78" i="88"/>
  <c r="H79" i="88" s="1"/>
  <c r="H69" i="88"/>
  <c r="E43" i="65" s="1"/>
  <c r="H72" i="88"/>
  <c r="H64" i="88"/>
  <c r="E50" i="65" s="1"/>
  <c r="H59" i="88"/>
  <c r="E41" i="65" s="1"/>
  <c r="H60" i="88"/>
  <c r="H52" i="88"/>
  <c r="E51" i="65" s="1"/>
  <c r="H55" i="88"/>
  <c r="H34" i="88"/>
  <c r="H35" i="88"/>
  <c r="H30" i="88"/>
  <c r="E45" i="65" s="1"/>
  <c r="H65" i="88"/>
  <c r="J47" i="89"/>
  <c r="J68" i="89" s="1"/>
  <c r="H33" i="88"/>
  <c r="H7" i="89"/>
  <c r="G51" i="65"/>
  <c r="G50" i="65"/>
  <c r="G46" i="65"/>
  <c r="AF86" i="12"/>
  <c r="P51" i="89"/>
  <c r="AH28" i="20"/>
  <c r="AH63" i="20"/>
  <c r="AH64" i="20"/>
  <c r="AH22" i="20"/>
  <c r="H66" i="88" l="1"/>
  <c r="H36" i="88"/>
  <c r="H73" i="88"/>
  <c r="H58" i="88"/>
  <c r="H61" i="88" s="1"/>
  <c r="P47" i="89"/>
  <c r="P43" i="89"/>
  <c r="H53" i="88"/>
  <c r="L34" i="89"/>
  <c r="S81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3" i="12"/>
  <c r="S44" i="12"/>
  <c r="S45" i="12"/>
  <c r="S46" i="12"/>
  <c r="S47" i="12"/>
  <c r="S48" i="12"/>
  <c r="S49" i="12"/>
  <c r="S50" i="12"/>
  <c r="S51" i="12"/>
  <c r="S52" i="12"/>
  <c r="S53" i="12"/>
  <c r="S54" i="12"/>
  <c r="S55" i="12"/>
  <c r="S56" i="12"/>
  <c r="S57" i="12"/>
  <c r="S58" i="12"/>
  <c r="S59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8" i="12"/>
  <c r="S79" i="12"/>
  <c r="T79" i="12" s="1"/>
  <c r="AH79" i="12" s="1"/>
  <c r="S80" i="12"/>
  <c r="S82" i="12"/>
  <c r="S83" i="12"/>
  <c r="T83" i="12" s="1"/>
  <c r="AH83" i="12" s="1"/>
  <c r="S85" i="12"/>
  <c r="T25" i="12"/>
  <c r="AH25" i="12" l="1"/>
  <c r="S86" i="12"/>
  <c r="E62" i="65"/>
  <c r="H82" i="88"/>
  <c r="E86" i="65"/>
  <c r="H56" i="88"/>
  <c r="P25" i="89"/>
  <c r="P67" i="89" s="1"/>
  <c r="H127" i="65"/>
  <c r="H114" i="65"/>
  <c r="H111" i="65" s="1"/>
  <c r="H62" i="65"/>
  <c r="H41" i="65"/>
  <c r="C45" i="16"/>
  <c r="Q86" i="12"/>
  <c r="I143" i="91"/>
  <c r="I147" i="91" s="1"/>
  <c r="I121" i="91"/>
  <c r="I93" i="91"/>
  <c r="I118" i="91"/>
  <c r="H15" i="92"/>
  <c r="D53" i="16"/>
  <c r="H37" i="91"/>
  <c r="H44" i="91"/>
  <c r="I44" i="91" s="1"/>
  <c r="H28" i="91"/>
  <c r="H19" i="91"/>
  <c r="I19" i="91"/>
  <c r="I124" i="91" l="1"/>
  <c r="I24" i="91"/>
  <c r="I28" i="91" s="1"/>
  <c r="AG12" i="20" l="1"/>
  <c r="AG13" i="20"/>
  <c r="AH13" i="20" s="1"/>
  <c r="AG14" i="20"/>
  <c r="AH14" i="20" s="1"/>
  <c r="AG15" i="20"/>
  <c r="AH15" i="20" s="1"/>
  <c r="AG17" i="20"/>
  <c r="AH17" i="20" s="1"/>
  <c r="AG18" i="20"/>
  <c r="AH18" i="20" s="1"/>
  <c r="AG19" i="20"/>
  <c r="AG74" i="20" l="1"/>
  <c r="AH12" i="20"/>
  <c r="F76" i="16" a="1"/>
  <c r="F76" i="16" s="1"/>
  <c r="F74" i="16" l="1"/>
  <c r="F73" i="16"/>
  <c r="AE74" i="20"/>
  <c r="AD74" i="20"/>
  <c r="AC74" i="20"/>
  <c r="AE86" i="12" l="1"/>
  <c r="W86" i="12" l="1"/>
  <c r="T88" i="12" s="1"/>
  <c r="Q12" i="20" l="1"/>
  <c r="Q13" i="20"/>
  <c r="Q14" i="20"/>
  <c r="Q15" i="20"/>
  <c r="Q17" i="20"/>
  <c r="Q18" i="20"/>
  <c r="Q19" i="20"/>
  <c r="R19" i="20" s="1"/>
  <c r="AH27" i="20"/>
  <c r="AH40" i="20"/>
  <c r="AH41" i="20"/>
  <c r="AH42" i="20"/>
  <c r="AH43" i="20"/>
  <c r="AH46" i="20"/>
  <c r="AH50" i="20"/>
  <c r="AH53" i="20"/>
  <c r="AH57" i="20"/>
  <c r="AH58" i="20"/>
  <c r="AH60" i="20"/>
  <c r="AH61" i="20"/>
  <c r="AH62" i="20"/>
  <c r="AH65" i="20"/>
  <c r="R73" i="20"/>
  <c r="AH73" i="20" s="1"/>
  <c r="Q11" i="20"/>
  <c r="T30" i="12"/>
  <c r="AH30" i="12" s="1"/>
  <c r="T35" i="12"/>
  <c r="AH35" i="12" s="1"/>
  <c r="T43" i="12"/>
  <c r="AH43" i="12" s="1"/>
  <c r="T44" i="12"/>
  <c r="AH44" i="12" s="1"/>
  <c r="T45" i="12"/>
  <c r="AH45" i="12" s="1"/>
  <c r="T46" i="12"/>
  <c r="AH46" i="12" s="1"/>
  <c r="T50" i="12"/>
  <c r="AH50" i="12" s="1"/>
  <c r="T52" i="12"/>
  <c r="AH52" i="12" s="1"/>
  <c r="T53" i="12"/>
  <c r="AH53" i="12" s="1"/>
  <c r="T54" i="12"/>
  <c r="AH54" i="12" s="1"/>
  <c r="T55" i="12"/>
  <c r="AH55" i="12" s="1"/>
  <c r="T57" i="12"/>
  <c r="AH57" i="12" s="1"/>
  <c r="T58" i="12"/>
  <c r="AH58" i="12" s="1"/>
  <c r="T60" i="12"/>
  <c r="AH60" i="12" s="1"/>
  <c r="T61" i="12"/>
  <c r="AH61" i="12" s="1"/>
  <c r="T62" i="12"/>
  <c r="AH62" i="12" s="1"/>
  <c r="T64" i="12"/>
  <c r="AH64" i="12" s="1"/>
  <c r="T65" i="12"/>
  <c r="AH65" i="12" s="1"/>
  <c r="T66" i="12"/>
  <c r="AH66" i="12" s="1"/>
  <c r="T67" i="12"/>
  <c r="AH67" i="12" s="1"/>
  <c r="T69" i="12"/>
  <c r="AH69" i="12" s="1"/>
  <c r="T71" i="12"/>
  <c r="AH71" i="12" s="1"/>
  <c r="T72" i="12"/>
  <c r="AH72" i="12" s="1"/>
  <c r="T73" i="12"/>
  <c r="AH73" i="12" s="1"/>
  <c r="T75" i="12"/>
  <c r="AH75" i="12" s="1"/>
  <c r="T76" i="12"/>
  <c r="AH76" i="12" s="1"/>
  <c r="T78" i="12"/>
  <c r="AH78" i="12" s="1"/>
  <c r="T80" i="12"/>
  <c r="AH80" i="12" s="1"/>
  <c r="T81" i="12"/>
  <c r="AH81" i="12" s="1"/>
  <c r="T85" i="12"/>
  <c r="AH85" i="12" s="1"/>
  <c r="I76" i="16"/>
  <c r="I75" i="16"/>
  <c r="K74" i="20"/>
  <c r="D101" i="65"/>
  <c r="J74" i="20"/>
  <c r="D50" i="65"/>
  <c r="Q74" i="20" l="1"/>
  <c r="AH19" i="20"/>
  <c r="AH30" i="20"/>
  <c r="O86" i="12"/>
  <c r="L14" i="89" l="1"/>
  <c r="L15" i="89"/>
  <c r="L17" i="89"/>
  <c r="L18" i="89"/>
  <c r="L19" i="89"/>
  <c r="L20" i="89"/>
  <c r="L22" i="89"/>
  <c r="L23" i="89"/>
  <c r="L24" i="89"/>
  <c r="L26" i="89"/>
  <c r="L27" i="89"/>
  <c r="L28" i="89"/>
  <c r="L29" i="89"/>
  <c r="L30" i="89"/>
  <c r="L31" i="89"/>
  <c r="L32" i="89"/>
  <c r="L36" i="89"/>
  <c r="L37" i="89"/>
  <c r="L38" i="89"/>
  <c r="L41" i="89"/>
  <c r="L42" i="89"/>
  <c r="L44" i="89"/>
  <c r="L45" i="89"/>
  <c r="L46" i="89"/>
  <c r="L47" i="89"/>
  <c r="L48" i="89"/>
  <c r="L49" i="89"/>
  <c r="L50" i="89"/>
  <c r="L51" i="89"/>
  <c r="L52" i="89"/>
  <c r="L53" i="89"/>
  <c r="L54" i="89"/>
  <c r="L55" i="89"/>
  <c r="L56" i="89"/>
  <c r="L57" i="89"/>
  <c r="L58" i="89"/>
  <c r="L64" i="89"/>
  <c r="J77" i="20"/>
  <c r="P86" i="12" l="1"/>
  <c r="J89" i="12" s="1"/>
  <c r="E59" i="65"/>
  <c r="E94" i="65"/>
  <c r="E88" i="65"/>
  <c r="E36" i="65"/>
  <c r="E33" i="65"/>
  <c r="E27" i="65"/>
  <c r="E24" i="65"/>
  <c r="E10" i="65"/>
  <c r="E128" i="65"/>
  <c r="I128" i="65" s="1"/>
  <c r="E72" i="65"/>
  <c r="E18" i="65"/>
  <c r="E17" i="65" s="1"/>
  <c r="L65" i="89"/>
  <c r="E9" i="65" l="1"/>
  <c r="E124" i="65"/>
  <c r="E40" i="65"/>
  <c r="H13" i="88"/>
  <c r="E70" i="65" s="1"/>
  <c r="E103" i="65"/>
  <c r="AH37" i="20"/>
  <c r="AH34" i="20"/>
  <c r="AH32" i="20"/>
  <c r="AH26" i="20"/>
  <c r="T82" i="12"/>
  <c r="AH82" i="12" s="1"/>
  <c r="T70" i="12"/>
  <c r="AH70" i="12" s="1"/>
  <c r="T49" i="12"/>
  <c r="AH49" i="12" s="1"/>
  <c r="T48" i="12"/>
  <c r="AH48" i="12" s="1"/>
  <c r="T47" i="12"/>
  <c r="AH47" i="12" s="1"/>
  <c r="T42" i="12"/>
  <c r="AH42" i="12" s="1"/>
  <c r="T41" i="12"/>
  <c r="AH41" i="12" s="1"/>
  <c r="T40" i="12"/>
  <c r="AH40" i="12" s="1"/>
  <c r="T36" i="12"/>
  <c r="AH36" i="12" s="1"/>
  <c r="T34" i="12"/>
  <c r="AH34" i="12" s="1"/>
  <c r="T33" i="12"/>
  <c r="AH33" i="12" s="1"/>
  <c r="T32" i="12"/>
  <c r="AH32" i="12" s="1"/>
  <c r="T31" i="12"/>
  <c r="AH31" i="12" s="1"/>
  <c r="AH59" i="20"/>
  <c r="T74" i="12"/>
  <c r="AH74" i="12" s="1"/>
  <c r="T68" i="12"/>
  <c r="AH68" i="12" s="1"/>
  <c r="AH54" i="20"/>
  <c r="T63" i="12"/>
  <c r="AH63" i="12" s="1"/>
  <c r="C89" i="65"/>
  <c r="AH52" i="20"/>
  <c r="AH51" i="20"/>
  <c r="T59" i="12"/>
  <c r="AH59" i="12" s="1"/>
  <c r="H12" i="88" l="1"/>
  <c r="E68" i="65" s="1"/>
  <c r="J67" i="89"/>
  <c r="H11" i="88"/>
  <c r="D59" i="65"/>
  <c r="AH36" i="20"/>
  <c r="AH49" i="20"/>
  <c r="AH48" i="20"/>
  <c r="T56" i="12"/>
  <c r="AH56" i="12" s="1"/>
  <c r="AH47" i="20"/>
  <c r="T51" i="12"/>
  <c r="AH51" i="12" s="1"/>
  <c r="E67" i="65" l="1"/>
  <c r="H14" i="88"/>
  <c r="H81" i="88" s="1"/>
  <c r="H83" i="88" s="1"/>
  <c r="E66" i="65"/>
  <c r="AH44" i="20"/>
  <c r="AH38" i="20"/>
  <c r="H35" i="20"/>
  <c r="T39" i="12"/>
  <c r="AH39" i="12" s="1"/>
  <c r="T38" i="12"/>
  <c r="AH38" i="12" s="1"/>
  <c r="AH33" i="20"/>
  <c r="T37" i="12"/>
  <c r="AH37" i="12" s="1"/>
  <c r="AH29" i="20"/>
  <c r="T29" i="12"/>
  <c r="AH29" i="12" s="1"/>
  <c r="AH25" i="20"/>
  <c r="T28" i="12"/>
  <c r="AH28" i="12" s="1"/>
  <c r="T27" i="12"/>
  <c r="AH27" i="12" s="1"/>
  <c r="T26" i="12"/>
  <c r="AH23" i="20"/>
  <c r="E61" i="16"/>
  <c r="N28" i="71"/>
  <c r="M28" i="71"/>
  <c r="L28" i="71"/>
  <c r="K28" i="71"/>
  <c r="J28" i="71"/>
  <c r="I28" i="71"/>
  <c r="H28" i="71"/>
  <c r="G28" i="71"/>
  <c r="F28" i="71"/>
  <c r="E28" i="71"/>
  <c r="D28" i="71"/>
  <c r="C28" i="71"/>
  <c r="O27" i="71"/>
  <c r="O26" i="71"/>
  <c r="O25" i="71"/>
  <c r="O24" i="71"/>
  <c r="O23" i="71"/>
  <c r="O22" i="71"/>
  <c r="F90" i="69"/>
  <c r="D22" i="65"/>
  <c r="C118" i="69"/>
  <c r="D117" i="69"/>
  <c r="D116" i="69"/>
  <c r="D111" i="69"/>
  <c r="D109" i="69"/>
  <c r="H100" i="69"/>
  <c r="H99" i="69"/>
  <c r="H93" i="69"/>
  <c r="H94" i="69"/>
  <c r="H95" i="69"/>
  <c r="H96" i="69"/>
  <c r="H97" i="69"/>
  <c r="H92" i="69"/>
  <c r="H90" i="69"/>
  <c r="H101" i="69" s="1"/>
  <c r="I90" i="69"/>
  <c r="F100" i="69"/>
  <c r="F99" i="69"/>
  <c r="F93" i="69"/>
  <c r="F94" i="69"/>
  <c r="F95" i="69"/>
  <c r="F96" i="69"/>
  <c r="F97" i="69"/>
  <c r="F92" i="69"/>
  <c r="G100" i="69"/>
  <c r="G99" i="69"/>
  <c r="G92" i="69"/>
  <c r="G97" i="69"/>
  <c r="G96" i="69"/>
  <c r="G95" i="69"/>
  <c r="G94" i="69"/>
  <c r="G93" i="69"/>
  <c r="G90" i="69"/>
  <c r="AH26" i="12" l="1"/>
  <c r="AH86" i="12" s="1"/>
  <c r="T86" i="12"/>
  <c r="R35" i="20"/>
  <c r="R74" i="20" s="1"/>
  <c r="G101" i="69"/>
  <c r="J90" i="69"/>
  <c r="F101" i="69"/>
  <c r="I22" i="65"/>
  <c r="D21" i="65"/>
  <c r="D112" i="69"/>
  <c r="E65" i="65"/>
  <c r="E164" i="65" s="1"/>
  <c r="O28" i="71"/>
  <c r="H13" i="20"/>
  <c r="H12" i="12"/>
  <c r="D62" i="65"/>
  <c r="AH39" i="20"/>
  <c r="D44" i="65"/>
  <c r="AH24" i="20"/>
  <c r="D75" i="65"/>
  <c r="AH45" i="20"/>
  <c r="D118" i="69"/>
  <c r="H16" i="12" s="1"/>
  <c r="C19" i="65" s="1"/>
  <c r="I19" i="65" s="1"/>
  <c r="H36" i="69"/>
  <c r="H38" i="69"/>
  <c r="H39" i="69"/>
  <c r="H40" i="69"/>
  <c r="H41" i="69"/>
  <c r="H42" i="69"/>
  <c r="H43" i="69"/>
  <c r="H44" i="69"/>
  <c r="H45" i="69"/>
  <c r="H46" i="69"/>
  <c r="H47" i="69"/>
  <c r="H48" i="69"/>
  <c r="H49" i="69"/>
  <c r="H50" i="69"/>
  <c r="H51" i="69"/>
  <c r="H52" i="69"/>
  <c r="H53" i="69"/>
  <c r="H54" i="69"/>
  <c r="H55" i="69"/>
  <c r="H56" i="69"/>
  <c r="H57" i="69"/>
  <c r="H58" i="69"/>
  <c r="H59" i="69"/>
  <c r="H60" i="69"/>
  <c r="H61" i="69"/>
  <c r="H62" i="69"/>
  <c r="H63" i="69"/>
  <c r="H64" i="69"/>
  <c r="H65" i="69"/>
  <c r="H66" i="69"/>
  <c r="H67" i="69"/>
  <c r="H68" i="69"/>
  <c r="H69" i="69"/>
  <c r="H70" i="69"/>
  <c r="H71" i="69"/>
  <c r="H72" i="69"/>
  <c r="H73" i="69"/>
  <c r="H74" i="69"/>
  <c r="H75" i="69"/>
  <c r="H76" i="69"/>
  <c r="H35" i="69"/>
  <c r="F36" i="69"/>
  <c r="G36" i="69"/>
  <c r="F37" i="69"/>
  <c r="G37" i="69"/>
  <c r="F38" i="69"/>
  <c r="G38" i="69"/>
  <c r="F39" i="69"/>
  <c r="G39" i="69"/>
  <c r="F40" i="69"/>
  <c r="G40" i="69"/>
  <c r="F41" i="69"/>
  <c r="G41" i="69"/>
  <c r="F42" i="69"/>
  <c r="G42" i="69"/>
  <c r="F43" i="69"/>
  <c r="G43" i="69"/>
  <c r="F44" i="69"/>
  <c r="G44" i="69"/>
  <c r="F45" i="69"/>
  <c r="G45" i="69"/>
  <c r="F46" i="69"/>
  <c r="G46" i="69"/>
  <c r="F47" i="69"/>
  <c r="G47" i="69"/>
  <c r="F48" i="69"/>
  <c r="G48" i="69"/>
  <c r="F49" i="69"/>
  <c r="G49" i="69"/>
  <c r="F50" i="69"/>
  <c r="G50" i="69"/>
  <c r="F51" i="69"/>
  <c r="G51" i="69"/>
  <c r="F52" i="69"/>
  <c r="G52" i="69"/>
  <c r="F53" i="69"/>
  <c r="G53" i="69"/>
  <c r="F54" i="69"/>
  <c r="G54" i="69"/>
  <c r="F55" i="69"/>
  <c r="G55" i="69"/>
  <c r="F56" i="69"/>
  <c r="G56" i="69"/>
  <c r="F57" i="69"/>
  <c r="G57" i="69"/>
  <c r="F58" i="69"/>
  <c r="G58" i="69"/>
  <c r="F59" i="69"/>
  <c r="G59" i="69"/>
  <c r="F60" i="69"/>
  <c r="G60" i="69"/>
  <c r="F61" i="69"/>
  <c r="G61" i="69"/>
  <c r="F62" i="69"/>
  <c r="G62" i="69"/>
  <c r="F63" i="69"/>
  <c r="G63" i="69"/>
  <c r="F64" i="69"/>
  <c r="G64" i="69"/>
  <c r="F65" i="69"/>
  <c r="G65" i="69"/>
  <c r="F66" i="69"/>
  <c r="G66" i="69"/>
  <c r="F67" i="69"/>
  <c r="G67" i="69"/>
  <c r="F68" i="69"/>
  <c r="G68" i="69"/>
  <c r="F69" i="69"/>
  <c r="G69" i="69"/>
  <c r="F70" i="69"/>
  <c r="G70" i="69"/>
  <c r="F71" i="69"/>
  <c r="G71" i="69"/>
  <c r="F72" i="69"/>
  <c r="G72" i="69"/>
  <c r="F73" i="69"/>
  <c r="G73" i="69"/>
  <c r="F74" i="69"/>
  <c r="G74" i="69"/>
  <c r="F75" i="69"/>
  <c r="G75" i="69"/>
  <c r="F76" i="69"/>
  <c r="G76" i="69"/>
  <c r="G35" i="69"/>
  <c r="F35" i="69"/>
  <c r="R84" i="86"/>
  <c r="L84" i="86"/>
  <c r="J84" i="86"/>
  <c r="I84" i="86"/>
  <c r="H84" i="86"/>
  <c r="R83" i="86"/>
  <c r="R81" i="86"/>
  <c r="G81" i="86"/>
  <c r="K81" i="86" s="1"/>
  <c r="R80" i="86"/>
  <c r="G80" i="86"/>
  <c r="R79" i="86"/>
  <c r="G79" i="86"/>
  <c r="K79" i="86" s="1"/>
  <c r="R78" i="86"/>
  <c r="G78" i="86"/>
  <c r="O78" i="86" s="1"/>
  <c r="Q78" i="86" s="1"/>
  <c r="R77" i="86"/>
  <c r="G77" i="86"/>
  <c r="R76" i="86"/>
  <c r="L76" i="86"/>
  <c r="J76" i="86"/>
  <c r="I76" i="86"/>
  <c r="H76" i="86"/>
  <c r="G76" i="86"/>
  <c r="R74" i="86"/>
  <c r="L74" i="86"/>
  <c r="J74" i="86"/>
  <c r="I74" i="86"/>
  <c r="H74" i="86"/>
  <c r="R73" i="86"/>
  <c r="L73" i="86"/>
  <c r="J73" i="86"/>
  <c r="I73" i="86"/>
  <c r="H73" i="86"/>
  <c r="G73" i="86"/>
  <c r="R71" i="86"/>
  <c r="G71" i="86"/>
  <c r="R70" i="86"/>
  <c r="K70" i="86"/>
  <c r="J70" i="86"/>
  <c r="I70" i="86"/>
  <c r="H70" i="86"/>
  <c r="R69" i="86"/>
  <c r="K69" i="86"/>
  <c r="J69" i="86"/>
  <c r="I69" i="86"/>
  <c r="H69" i="86"/>
  <c r="R68" i="86"/>
  <c r="L68" i="86"/>
  <c r="J68" i="86"/>
  <c r="I68" i="86"/>
  <c r="H68" i="86"/>
  <c r="G68" i="86"/>
  <c r="R67" i="86"/>
  <c r="L67" i="86"/>
  <c r="J67" i="86"/>
  <c r="I67" i="86"/>
  <c r="H67" i="86"/>
  <c r="G67" i="86"/>
  <c r="R66" i="86"/>
  <c r="K66" i="86"/>
  <c r="J66" i="86"/>
  <c r="I66" i="86"/>
  <c r="H66" i="86"/>
  <c r="G66" i="86"/>
  <c r="R64" i="86"/>
  <c r="J64" i="86"/>
  <c r="I64" i="86"/>
  <c r="H64" i="86"/>
  <c r="G64" i="86"/>
  <c r="R63" i="86"/>
  <c r="N63" i="86"/>
  <c r="P63" i="86" s="1"/>
  <c r="J63" i="86"/>
  <c r="I63" i="86"/>
  <c r="H63" i="86"/>
  <c r="G63" i="86"/>
  <c r="R62" i="86"/>
  <c r="L62" i="86"/>
  <c r="J62" i="86"/>
  <c r="I62" i="86"/>
  <c r="H62" i="86"/>
  <c r="G62" i="86"/>
  <c r="R61" i="86"/>
  <c r="L61" i="86"/>
  <c r="J61" i="86"/>
  <c r="I61" i="86"/>
  <c r="H61" i="86"/>
  <c r="G61" i="86"/>
  <c r="R60" i="86"/>
  <c r="J60" i="86"/>
  <c r="I60" i="86"/>
  <c r="H60" i="86"/>
  <c r="G60" i="86"/>
  <c r="R59" i="86"/>
  <c r="L59" i="86"/>
  <c r="J59" i="86"/>
  <c r="I59" i="86"/>
  <c r="H59" i="86"/>
  <c r="G59" i="86"/>
  <c r="R58" i="86"/>
  <c r="L58" i="86"/>
  <c r="J58" i="86"/>
  <c r="I58" i="86"/>
  <c r="H58" i="86"/>
  <c r="G58" i="86"/>
  <c r="R57" i="86"/>
  <c r="L57" i="86"/>
  <c r="J57" i="86"/>
  <c r="I57" i="86"/>
  <c r="H57" i="86"/>
  <c r="G57" i="86"/>
  <c r="R56" i="86"/>
  <c r="L56" i="86"/>
  <c r="J56" i="86"/>
  <c r="I56" i="86"/>
  <c r="H56" i="86"/>
  <c r="G56" i="86"/>
  <c r="R55" i="86"/>
  <c r="L55" i="86"/>
  <c r="J55" i="86"/>
  <c r="I55" i="86"/>
  <c r="H55" i="86"/>
  <c r="G55" i="86"/>
  <c r="R54" i="86"/>
  <c r="K54" i="86"/>
  <c r="J54" i="86"/>
  <c r="I54" i="86"/>
  <c r="H54" i="86"/>
  <c r="G54" i="86"/>
  <c r="P51" i="86"/>
  <c r="N51" i="86"/>
  <c r="F51" i="86"/>
  <c r="R50" i="86"/>
  <c r="L50" i="86"/>
  <c r="J50" i="86"/>
  <c r="I50" i="86"/>
  <c r="H50" i="86"/>
  <c r="G50" i="86"/>
  <c r="M50" i="86" s="1"/>
  <c r="R49" i="86"/>
  <c r="K49" i="86"/>
  <c r="J49" i="86"/>
  <c r="I49" i="86"/>
  <c r="H49" i="86"/>
  <c r="G49" i="86"/>
  <c r="M49" i="86" s="1"/>
  <c r="R48" i="86"/>
  <c r="L48" i="86"/>
  <c r="J48" i="86"/>
  <c r="I48" i="86"/>
  <c r="H48" i="86"/>
  <c r="G48" i="86"/>
  <c r="M48" i="86" s="1"/>
  <c r="R47" i="86"/>
  <c r="L47" i="86"/>
  <c r="J47" i="86"/>
  <c r="I47" i="86"/>
  <c r="H47" i="86"/>
  <c r="G47" i="86"/>
  <c r="M47" i="86" s="1"/>
  <c r="R46" i="86"/>
  <c r="L46" i="86"/>
  <c r="J46" i="86"/>
  <c r="I46" i="86"/>
  <c r="H46" i="86"/>
  <c r="G46" i="86"/>
  <c r="M46" i="86" s="1"/>
  <c r="R45" i="86"/>
  <c r="L45" i="86"/>
  <c r="J45" i="86"/>
  <c r="I45" i="86"/>
  <c r="H45" i="86"/>
  <c r="G45" i="86"/>
  <c r="M45" i="86" s="1"/>
  <c r="R44" i="86"/>
  <c r="K44" i="86"/>
  <c r="J44" i="86"/>
  <c r="I44" i="86"/>
  <c r="H44" i="86"/>
  <c r="G44" i="86"/>
  <c r="M44" i="86" s="1"/>
  <c r="R43" i="86"/>
  <c r="K43" i="86"/>
  <c r="J43" i="86"/>
  <c r="I43" i="86"/>
  <c r="H43" i="86"/>
  <c r="G43" i="86"/>
  <c r="M43" i="86" s="1"/>
  <c r="R42" i="86"/>
  <c r="E42" i="86"/>
  <c r="L42" i="86" s="1"/>
  <c r="R41" i="86"/>
  <c r="E41" i="86"/>
  <c r="R40" i="86"/>
  <c r="K40" i="86"/>
  <c r="J40" i="86"/>
  <c r="I40" i="86"/>
  <c r="H40" i="86"/>
  <c r="M40" i="86"/>
  <c r="R39" i="86"/>
  <c r="L39" i="86"/>
  <c r="J39" i="86"/>
  <c r="I39" i="86"/>
  <c r="H39" i="86"/>
  <c r="G39" i="86"/>
  <c r="M39" i="86" s="1"/>
  <c r="R38" i="86"/>
  <c r="L38" i="86"/>
  <c r="J38" i="86"/>
  <c r="I38" i="86"/>
  <c r="H38" i="86"/>
  <c r="G38" i="86"/>
  <c r="M38" i="86" s="1"/>
  <c r="P36" i="86"/>
  <c r="N36" i="86"/>
  <c r="F36" i="86"/>
  <c r="R35" i="86"/>
  <c r="K35" i="86"/>
  <c r="J35" i="86"/>
  <c r="I35" i="86"/>
  <c r="H35" i="86"/>
  <c r="G35" i="86"/>
  <c r="M35" i="86" s="1"/>
  <c r="R34" i="86"/>
  <c r="K34" i="86"/>
  <c r="J34" i="86"/>
  <c r="I34" i="86"/>
  <c r="H34" i="86"/>
  <c r="G34" i="86"/>
  <c r="M34" i="86" s="1"/>
  <c r="R33" i="86"/>
  <c r="E33" i="86"/>
  <c r="E36" i="86" s="1"/>
  <c r="R32" i="86"/>
  <c r="L32" i="86"/>
  <c r="J32" i="86"/>
  <c r="I32" i="86"/>
  <c r="H32" i="86"/>
  <c r="G32" i="86"/>
  <c r="M32" i="86" s="1"/>
  <c r="R31" i="86"/>
  <c r="K31" i="86"/>
  <c r="J31" i="86"/>
  <c r="I31" i="86"/>
  <c r="H31" i="86"/>
  <c r="G31" i="86"/>
  <c r="M31" i="86" s="1"/>
  <c r="R30" i="86"/>
  <c r="J30" i="86"/>
  <c r="I30" i="86"/>
  <c r="H30" i="86"/>
  <c r="G30" i="86"/>
  <c r="R29" i="86"/>
  <c r="L29" i="86"/>
  <c r="J29" i="86"/>
  <c r="I29" i="86"/>
  <c r="H29" i="86"/>
  <c r="G29" i="86"/>
  <c r="M29" i="86" s="1"/>
  <c r="R28" i="86"/>
  <c r="L28" i="86"/>
  <c r="J28" i="86"/>
  <c r="I28" i="86"/>
  <c r="H28" i="86"/>
  <c r="G28" i="86"/>
  <c r="M28" i="86" s="1"/>
  <c r="R27" i="86"/>
  <c r="K27" i="86"/>
  <c r="J27" i="86"/>
  <c r="I27" i="86"/>
  <c r="H27" i="86"/>
  <c r="G27" i="86"/>
  <c r="M27" i="86" s="1"/>
  <c r="R26" i="86"/>
  <c r="K26" i="86"/>
  <c r="J26" i="86"/>
  <c r="I26" i="86"/>
  <c r="H26" i="86"/>
  <c r="G26" i="86"/>
  <c r="M26" i="86" s="1"/>
  <c r="R24" i="86"/>
  <c r="J24" i="86"/>
  <c r="H24" i="86"/>
  <c r="G24" i="86"/>
  <c r="M24" i="86" s="1"/>
  <c r="R23" i="86"/>
  <c r="K23" i="86"/>
  <c r="J23" i="86"/>
  <c r="I23" i="86"/>
  <c r="H23" i="86"/>
  <c r="G23" i="86"/>
  <c r="M23" i="86" s="1"/>
  <c r="R22" i="86"/>
  <c r="K22" i="86"/>
  <c r="J22" i="86"/>
  <c r="I22" i="86"/>
  <c r="H22" i="86"/>
  <c r="R21" i="86"/>
  <c r="J21" i="86"/>
  <c r="I21" i="86"/>
  <c r="H21" i="86"/>
  <c r="G21" i="86"/>
  <c r="R20" i="86"/>
  <c r="L20" i="86"/>
  <c r="J20" i="86"/>
  <c r="I20" i="86"/>
  <c r="H20" i="86"/>
  <c r="G20" i="86"/>
  <c r="M20" i="86" s="1"/>
  <c r="R19" i="86"/>
  <c r="K19" i="86"/>
  <c r="J19" i="86"/>
  <c r="I19" i="86"/>
  <c r="H19" i="86"/>
  <c r="G19" i="86"/>
  <c r="M19" i="86" s="1"/>
  <c r="P17" i="86"/>
  <c r="N17" i="86"/>
  <c r="F17" i="86"/>
  <c r="R16" i="86"/>
  <c r="G16" i="86"/>
  <c r="R14" i="86"/>
  <c r="L14" i="86"/>
  <c r="O14" i="86" s="1"/>
  <c r="Q14" i="86" s="1"/>
  <c r="R13" i="86"/>
  <c r="J13" i="86"/>
  <c r="I13" i="86"/>
  <c r="H13" i="86"/>
  <c r="G13" i="86"/>
  <c r="R12" i="86"/>
  <c r="J12" i="86"/>
  <c r="I12" i="86"/>
  <c r="H12" i="86"/>
  <c r="G12" i="86"/>
  <c r="R11" i="86"/>
  <c r="G11" i="86"/>
  <c r="R10" i="86"/>
  <c r="G10" i="86"/>
  <c r="F17" i="69"/>
  <c r="G17" i="69"/>
  <c r="H17" i="69"/>
  <c r="I17" i="69"/>
  <c r="F18" i="69"/>
  <c r="G18" i="69"/>
  <c r="H18" i="69"/>
  <c r="F19" i="69"/>
  <c r="G19" i="69"/>
  <c r="H19" i="69"/>
  <c r="F20" i="69"/>
  <c r="G20" i="69"/>
  <c r="H20" i="69"/>
  <c r="I20" i="69"/>
  <c r="H21" i="69"/>
  <c r="F23" i="69"/>
  <c r="G23" i="69"/>
  <c r="H23" i="69"/>
  <c r="I23" i="69"/>
  <c r="F24" i="69"/>
  <c r="G24" i="69"/>
  <c r="H24" i="69"/>
  <c r="I24" i="69"/>
  <c r="F25" i="69"/>
  <c r="G25" i="69"/>
  <c r="H25" i="69"/>
  <c r="I25" i="69"/>
  <c r="F26" i="69"/>
  <c r="G26" i="69"/>
  <c r="H26" i="69"/>
  <c r="I26" i="69"/>
  <c r="F27" i="69"/>
  <c r="G27" i="69"/>
  <c r="H27" i="69"/>
  <c r="I27" i="69"/>
  <c r="F28" i="69"/>
  <c r="G28" i="69"/>
  <c r="H28" i="69"/>
  <c r="I28" i="69"/>
  <c r="F29" i="69"/>
  <c r="G29" i="69"/>
  <c r="H29" i="69"/>
  <c r="I29" i="69"/>
  <c r="F30" i="69"/>
  <c r="G30" i="69"/>
  <c r="H30" i="69"/>
  <c r="I30" i="69"/>
  <c r="F31" i="69"/>
  <c r="G31" i="69"/>
  <c r="H31" i="69"/>
  <c r="I31" i="69"/>
  <c r="F32" i="69"/>
  <c r="G32" i="69"/>
  <c r="H32" i="69"/>
  <c r="I16" i="69"/>
  <c r="H16" i="69"/>
  <c r="G16" i="69"/>
  <c r="F16" i="69"/>
  <c r="I9" i="69"/>
  <c r="I10" i="69"/>
  <c r="I11" i="69"/>
  <c r="I12" i="69"/>
  <c r="I13" i="69"/>
  <c r="H9" i="69"/>
  <c r="H10" i="69"/>
  <c r="H11" i="69"/>
  <c r="H12" i="69"/>
  <c r="H13" i="69"/>
  <c r="G9" i="69"/>
  <c r="G10" i="69"/>
  <c r="G11" i="69"/>
  <c r="G12" i="69"/>
  <c r="G13" i="69"/>
  <c r="F9" i="69"/>
  <c r="F10" i="69"/>
  <c r="F11" i="69"/>
  <c r="F12" i="69"/>
  <c r="F13" i="69"/>
  <c r="AH35" i="20" l="1"/>
  <c r="AH74" i="20" s="1"/>
  <c r="G86" i="86"/>
  <c r="F33" i="69"/>
  <c r="F112" i="69"/>
  <c r="H15" i="12" s="1"/>
  <c r="C18" i="65" s="1"/>
  <c r="C17" i="65" s="1"/>
  <c r="F110" i="69"/>
  <c r="F14" i="69"/>
  <c r="G14" i="69"/>
  <c r="G33" i="69"/>
  <c r="H14" i="69"/>
  <c r="H33" i="69"/>
  <c r="H79" i="69"/>
  <c r="I14" i="69"/>
  <c r="I33" i="69"/>
  <c r="N77" i="86"/>
  <c r="P77" i="86"/>
  <c r="K11" i="86"/>
  <c r="E51" i="86"/>
  <c r="E52" i="86" s="1"/>
  <c r="D13" i="65"/>
  <c r="O30" i="71"/>
  <c r="C79" i="16" s="1"/>
  <c r="C13" i="65"/>
  <c r="K30" i="86"/>
  <c r="O30" i="86" s="1"/>
  <c r="Q30" i="86" s="1"/>
  <c r="S30" i="86" s="1"/>
  <c r="T30" i="86" s="1"/>
  <c r="M30" i="86"/>
  <c r="K13" i="86"/>
  <c r="O13" i="86" s="1"/>
  <c r="Q13" i="86" s="1"/>
  <c r="S13" i="86" s="1"/>
  <c r="T13" i="86" s="1"/>
  <c r="M13" i="86"/>
  <c r="J16" i="86"/>
  <c r="M16" i="86"/>
  <c r="L41" i="86"/>
  <c r="L51" i="86" s="1"/>
  <c r="L21" i="86"/>
  <c r="O21" i="86" s="1"/>
  <c r="Q21" i="86" s="1"/>
  <c r="S21" i="86" s="1"/>
  <c r="T21" i="86" s="1"/>
  <c r="M21" i="86"/>
  <c r="K12" i="86"/>
  <c r="M12" i="86"/>
  <c r="G17" i="86"/>
  <c r="J39" i="69"/>
  <c r="F79" i="69"/>
  <c r="G79" i="69"/>
  <c r="J37" i="69"/>
  <c r="C15" i="65"/>
  <c r="O58" i="86"/>
  <c r="Q58" i="86" s="1"/>
  <c r="S58" i="86" s="1"/>
  <c r="T58" i="86" s="1"/>
  <c r="S84" i="86"/>
  <c r="T84" i="86" s="1"/>
  <c r="O39" i="86"/>
  <c r="Q39" i="86" s="1"/>
  <c r="S39" i="86" s="1"/>
  <c r="T39" i="86" s="1"/>
  <c r="C105" i="69"/>
  <c r="O68" i="86"/>
  <c r="Q68" i="86" s="1"/>
  <c r="S68" i="86" s="1"/>
  <c r="T68" i="86" s="1"/>
  <c r="O32" i="86"/>
  <c r="Q32" i="86" s="1"/>
  <c r="S32" i="86" s="1"/>
  <c r="T32" i="86" s="1"/>
  <c r="O47" i="86"/>
  <c r="Q47" i="86" s="1"/>
  <c r="S47" i="86" s="1"/>
  <c r="T47" i="86" s="1"/>
  <c r="O60" i="86"/>
  <c r="Q60" i="86" s="1"/>
  <c r="S60" i="86" s="1"/>
  <c r="T60" i="86" s="1"/>
  <c r="O70" i="86"/>
  <c r="Q70" i="86" s="1"/>
  <c r="S70" i="86" s="1"/>
  <c r="T70" i="86" s="1"/>
  <c r="J31" i="69"/>
  <c r="J27" i="69"/>
  <c r="J23" i="69"/>
  <c r="J21" i="69"/>
  <c r="J20" i="69"/>
  <c r="J18" i="69"/>
  <c r="J16" i="69"/>
  <c r="J19" i="69"/>
  <c r="J32" i="69"/>
  <c r="J17" i="69"/>
  <c r="J30" i="69"/>
  <c r="J29" i="69"/>
  <c r="J28" i="69"/>
  <c r="J26" i="69"/>
  <c r="J25" i="69"/>
  <c r="J24" i="69"/>
  <c r="S14" i="86"/>
  <c r="T14" i="86" s="1"/>
  <c r="I41" i="86"/>
  <c r="I42" i="86"/>
  <c r="O46" i="86"/>
  <c r="Q46" i="86" s="1"/>
  <c r="S46" i="86" s="1"/>
  <c r="T46" i="86" s="1"/>
  <c r="O50" i="86"/>
  <c r="Q50" i="86" s="1"/>
  <c r="S50" i="86" s="1"/>
  <c r="T50" i="86" s="1"/>
  <c r="O57" i="86"/>
  <c r="Q57" i="86" s="1"/>
  <c r="S57" i="86" s="1"/>
  <c r="T57" i="86" s="1"/>
  <c r="O67" i="86"/>
  <c r="Q67" i="86" s="1"/>
  <c r="S67" i="86" s="1"/>
  <c r="T67" i="86" s="1"/>
  <c r="J71" i="86"/>
  <c r="O74" i="86"/>
  <c r="Q74" i="86" s="1"/>
  <c r="S74" i="86" s="1"/>
  <c r="T74" i="86" s="1"/>
  <c r="H81" i="86"/>
  <c r="O81" i="86" s="1"/>
  <c r="Q81" i="86" s="1"/>
  <c r="S81" i="86" s="1"/>
  <c r="T81" i="86" s="1"/>
  <c r="H41" i="86"/>
  <c r="J79" i="86"/>
  <c r="I83" i="86"/>
  <c r="H11" i="86"/>
  <c r="O11" i="86" s="1"/>
  <c r="I33" i="86"/>
  <c r="I36" i="86" s="1"/>
  <c r="H77" i="86"/>
  <c r="O77" i="86" s="1"/>
  <c r="Q77" i="86" s="1"/>
  <c r="S77" i="86" s="1"/>
  <c r="T77" i="86" s="1"/>
  <c r="J11" i="86"/>
  <c r="O28" i="86"/>
  <c r="Q28" i="86" s="1"/>
  <c r="S28" i="86" s="1"/>
  <c r="T28" i="86" s="1"/>
  <c r="O43" i="86"/>
  <c r="Q43" i="86" s="1"/>
  <c r="S43" i="86" s="1"/>
  <c r="T43" i="86" s="1"/>
  <c r="O54" i="86"/>
  <c r="Q54" i="86" s="1"/>
  <c r="S54" i="86" s="1"/>
  <c r="H80" i="86"/>
  <c r="J81" i="86"/>
  <c r="J83" i="86"/>
  <c r="O63" i="86"/>
  <c r="Q63" i="86" s="1"/>
  <c r="S63" i="86" s="1"/>
  <c r="T63" i="86" s="1"/>
  <c r="P52" i="86"/>
  <c r="O40" i="86"/>
  <c r="Q40" i="86" s="1"/>
  <c r="S40" i="86" s="1"/>
  <c r="T40" i="86" s="1"/>
  <c r="N86" i="86"/>
  <c r="I11" i="86"/>
  <c r="R17" i="86"/>
  <c r="R36" i="86"/>
  <c r="O31" i="86"/>
  <c r="Q31" i="86" s="1"/>
  <c r="S31" i="86" s="1"/>
  <c r="T31" i="86" s="1"/>
  <c r="K80" i="86"/>
  <c r="K86" i="86" s="1"/>
  <c r="I81" i="86"/>
  <c r="S78" i="86"/>
  <c r="T78" i="86" s="1"/>
  <c r="K24" i="86"/>
  <c r="O24" i="86" s="1"/>
  <c r="Q24" i="86" s="1"/>
  <c r="S24" i="86" s="1"/>
  <c r="T24" i="86" s="1"/>
  <c r="H42" i="86"/>
  <c r="K51" i="86"/>
  <c r="I71" i="86"/>
  <c r="L16" i="86"/>
  <c r="L17" i="86" s="1"/>
  <c r="N52" i="86"/>
  <c r="O20" i="86"/>
  <c r="Q20" i="86" s="1"/>
  <c r="S20" i="86" s="1"/>
  <c r="T20" i="86" s="1"/>
  <c r="O23" i="86"/>
  <c r="Q23" i="86" s="1"/>
  <c r="S23" i="86" s="1"/>
  <c r="T23" i="86" s="1"/>
  <c r="O27" i="86"/>
  <c r="Q27" i="86" s="1"/>
  <c r="S27" i="86" s="1"/>
  <c r="T27" i="86" s="1"/>
  <c r="O44" i="86"/>
  <c r="Q44" i="86" s="1"/>
  <c r="S44" i="86" s="1"/>
  <c r="T44" i="86" s="1"/>
  <c r="Q10" i="86"/>
  <c r="H16" i="86"/>
  <c r="O19" i="86"/>
  <c r="O22" i="86"/>
  <c r="Q22" i="86" s="1"/>
  <c r="S22" i="86" s="1"/>
  <c r="T22" i="86" s="1"/>
  <c r="O26" i="86"/>
  <c r="Q26" i="86" s="1"/>
  <c r="S26" i="86" s="1"/>
  <c r="T26" i="86" s="1"/>
  <c r="G33" i="86"/>
  <c r="M33" i="86" s="1"/>
  <c r="O35" i="86"/>
  <c r="Q35" i="86" s="1"/>
  <c r="S35" i="86" s="1"/>
  <c r="T35" i="86" s="1"/>
  <c r="R86" i="86"/>
  <c r="O66" i="86"/>
  <c r="Q66" i="86" s="1"/>
  <c r="S66" i="86" s="1"/>
  <c r="T66" i="86" s="1"/>
  <c r="O69" i="86"/>
  <c r="Q69" i="86" s="1"/>
  <c r="S69" i="86" s="1"/>
  <c r="T69" i="86" s="1"/>
  <c r="O73" i="86"/>
  <c r="Q73" i="86" s="1"/>
  <c r="S73" i="86" s="1"/>
  <c r="T73" i="86" s="1"/>
  <c r="I79" i="86"/>
  <c r="H79" i="86"/>
  <c r="O79" i="86" s="1"/>
  <c r="Q79" i="86" s="1"/>
  <c r="O84" i="86"/>
  <c r="Q84" i="86" s="1"/>
  <c r="F52" i="86"/>
  <c r="J33" i="86"/>
  <c r="J36" i="86" s="1"/>
  <c r="O38" i="86"/>
  <c r="O45" i="86"/>
  <c r="Q45" i="86" s="1"/>
  <c r="S45" i="86" s="1"/>
  <c r="T45" i="86" s="1"/>
  <c r="O49" i="86"/>
  <c r="Q49" i="86" s="1"/>
  <c r="S49" i="86" s="1"/>
  <c r="T49" i="86" s="1"/>
  <c r="I16" i="86"/>
  <c r="O29" i="86"/>
  <c r="Q29" i="86" s="1"/>
  <c r="S29" i="86" s="1"/>
  <c r="T29" i="86" s="1"/>
  <c r="H33" i="86"/>
  <c r="H36" i="86" s="1"/>
  <c r="O34" i="86"/>
  <c r="Q34" i="86" s="1"/>
  <c r="S34" i="86" s="1"/>
  <c r="T34" i="86" s="1"/>
  <c r="R51" i="86"/>
  <c r="O55" i="86"/>
  <c r="Q55" i="86" s="1"/>
  <c r="S55" i="86" s="1"/>
  <c r="T55" i="86" s="1"/>
  <c r="O56" i="86"/>
  <c r="Q56" i="86" s="1"/>
  <c r="S56" i="86" s="1"/>
  <c r="T56" i="86" s="1"/>
  <c r="O59" i="86"/>
  <c r="Q59" i="86" s="1"/>
  <c r="S59" i="86" s="1"/>
  <c r="T59" i="86" s="1"/>
  <c r="O61" i="86"/>
  <c r="Q61" i="86" s="1"/>
  <c r="S61" i="86" s="1"/>
  <c r="T61" i="86" s="1"/>
  <c r="O62" i="86"/>
  <c r="Q62" i="86" s="1"/>
  <c r="S62" i="86" s="1"/>
  <c r="T62" i="86" s="1"/>
  <c r="O76" i="86"/>
  <c r="Q76" i="86" s="1"/>
  <c r="S76" i="86" s="1"/>
  <c r="T76" i="86" s="1"/>
  <c r="J77" i="86"/>
  <c r="P86" i="86"/>
  <c r="I77" i="86"/>
  <c r="J80" i="86"/>
  <c r="I80" i="86"/>
  <c r="O48" i="86"/>
  <c r="Q48" i="86" s="1"/>
  <c r="S48" i="86" s="1"/>
  <c r="T48" i="86" s="1"/>
  <c r="J41" i="86"/>
  <c r="J42" i="86"/>
  <c r="L64" i="86"/>
  <c r="O64" i="86" s="1"/>
  <c r="Q64" i="86" s="1"/>
  <c r="L71" i="86"/>
  <c r="L83" i="86"/>
  <c r="G41" i="86"/>
  <c r="M41" i="86" s="1"/>
  <c r="G42" i="86"/>
  <c r="M42" i="86" s="1"/>
  <c r="H71" i="86"/>
  <c r="J13" i="69"/>
  <c r="I13" i="65" l="1"/>
  <c r="H34" i="69"/>
  <c r="H80" i="69" s="1"/>
  <c r="H102" i="69" s="1"/>
  <c r="J33" i="69"/>
  <c r="I34" i="69"/>
  <c r="I80" i="69" s="1"/>
  <c r="K17" i="86"/>
  <c r="G34" i="69"/>
  <c r="H15" i="20"/>
  <c r="F113" i="69"/>
  <c r="M51" i="86"/>
  <c r="O12" i="86"/>
  <c r="Q12" i="86" s="1"/>
  <c r="S12" i="86" s="1"/>
  <c r="T12" i="86" s="1"/>
  <c r="M36" i="86"/>
  <c r="J17" i="86"/>
  <c r="I51" i="86"/>
  <c r="H51" i="86"/>
  <c r="O80" i="86"/>
  <c r="Q80" i="86" s="1"/>
  <c r="S80" i="86" s="1"/>
  <c r="T80" i="86" s="1"/>
  <c r="S64" i="86"/>
  <c r="T64" i="86" s="1"/>
  <c r="I17" i="86"/>
  <c r="H86" i="86"/>
  <c r="J86" i="86"/>
  <c r="L86" i="86"/>
  <c r="J51" i="86"/>
  <c r="I86" i="86"/>
  <c r="R52" i="86"/>
  <c r="M17" i="86"/>
  <c r="K36" i="86"/>
  <c r="L33" i="86"/>
  <c r="L36" i="86" s="1"/>
  <c r="L52" i="86" s="1"/>
  <c r="Q11" i="86"/>
  <c r="S11" i="86" s="1"/>
  <c r="T11" i="86" s="1"/>
  <c r="S79" i="86"/>
  <c r="T79" i="86" s="1"/>
  <c r="G36" i="86"/>
  <c r="O42" i="86"/>
  <c r="Q42" i="86" s="1"/>
  <c r="S42" i="86" s="1"/>
  <c r="T42" i="86" s="1"/>
  <c r="H17" i="86"/>
  <c r="O83" i="86"/>
  <c r="Q83" i="86" s="1"/>
  <c r="S83" i="86" s="1"/>
  <c r="T83" i="86" s="1"/>
  <c r="T54" i="86"/>
  <c r="G51" i="86"/>
  <c r="O41" i="86"/>
  <c r="Q41" i="86" s="1"/>
  <c r="S41" i="86" s="1"/>
  <c r="T41" i="86" s="1"/>
  <c r="O16" i="86"/>
  <c r="Q16" i="86" s="1"/>
  <c r="S16" i="86" s="1"/>
  <c r="T16" i="86" s="1"/>
  <c r="Q38" i="86"/>
  <c r="Q19" i="86"/>
  <c r="S10" i="86"/>
  <c r="O71" i="86"/>
  <c r="Q71" i="86" s="1"/>
  <c r="S71" i="86" s="1"/>
  <c r="D18" i="65" l="1"/>
  <c r="K52" i="86"/>
  <c r="I52" i="86"/>
  <c r="J52" i="86"/>
  <c r="H52" i="86"/>
  <c r="O51" i="86"/>
  <c r="M52" i="86"/>
  <c r="O17" i="86"/>
  <c r="Q17" i="86"/>
  <c r="G52" i="86"/>
  <c r="O86" i="86"/>
  <c r="T71" i="86"/>
  <c r="T86" i="86" s="1"/>
  <c r="S86" i="86"/>
  <c r="O33" i="86"/>
  <c r="S17" i="86"/>
  <c r="T10" i="86"/>
  <c r="T17" i="86" s="1"/>
  <c r="S19" i="86"/>
  <c r="Q86" i="86"/>
  <c r="Q51" i="86"/>
  <c r="S38" i="86"/>
  <c r="I18" i="65" l="1"/>
  <c r="I17" i="65" s="1"/>
  <c r="D17" i="65"/>
  <c r="Q33" i="86"/>
  <c r="O36" i="86"/>
  <c r="O52" i="86" s="1"/>
  <c r="S51" i="86"/>
  <c r="T38" i="86"/>
  <c r="T51" i="86" s="1"/>
  <c r="T19" i="86"/>
  <c r="Q36" i="86" l="1"/>
  <c r="Q52" i="86" s="1"/>
  <c r="S33" i="86"/>
  <c r="T33" i="86" l="1"/>
  <c r="T36" i="86" s="1"/>
  <c r="T52" i="86" s="1"/>
  <c r="S36" i="86"/>
  <c r="S52" i="86" s="1"/>
  <c r="D61" i="16" l="1"/>
  <c r="E57" i="16"/>
  <c r="E56" i="16" s="1"/>
  <c r="D57" i="16"/>
  <c r="E53" i="16"/>
  <c r="E45" i="16"/>
  <c r="E38" i="16"/>
  <c r="E34" i="16"/>
  <c r="E21" i="16"/>
  <c r="E10" i="16"/>
  <c r="C30" i="65"/>
  <c r="C91" i="65"/>
  <c r="C106" i="65"/>
  <c r="E42" i="16" l="1"/>
  <c r="E20" i="16"/>
  <c r="E81" i="16" s="1"/>
  <c r="R77" i="20"/>
  <c r="C21" i="81" l="1"/>
  <c r="C39" i="81" s="1"/>
  <c r="H35" i="58"/>
  <c r="M15" i="71" l="1"/>
  <c r="M14" i="71"/>
  <c r="M13" i="71"/>
  <c r="M12" i="71"/>
  <c r="M11" i="71"/>
  <c r="M10" i="71"/>
  <c r="M9" i="71"/>
  <c r="M8" i="71"/>
  <c r="M7" i="71"/>
  <c r="M6" i="71"/>
  <c r="M5" i="71"/>
  <c r="M4" i="71"/>
  <c r="I100" i="69"/>
  <c r="I99" i="69"/>
  <c r="I98" i="69"/>
  <c r="J98" i="69" s="1"/>
  <c r="I97" i="69"/>
  <c r="I96" i="69"/>
  <c r="I95" i="69"/>
  <c r="I94" i="69"/>
  <c r="I93" i="69"/>
  <c r="I92" i="69"/>
  <c r="J92" i="69" s="1"/>
  <c r="I91" i="69"/>
  <c r="J91" i="69" s="1"/>
  <c r="I88" i="69"/>
  <c r="J88" i="69" s="1"/>
  <c r="I101" i="69" l="1"/>
  <c r="I102" i="69" s="1"/>
  <c r="J94" i="69"/>
  <c r="J96" i="69"/>
  <c r="M16" i="71"/>
  <c r="J75" i="69"/>
  <c r="J99" i="69"/>
  <c r="J63" i="69"/>
  <c r="J55" i="69"/>
  <c r="J54" i="69"/>
  <c r="J93" i="69"/>
  <c r="J95" i="69"/>
  <c r="J97" i="69"/>
  <c r="J100" i="69"/>
  <c r="J101" i="69" l="1"/>
  <c r="J65" i="69"/>
  <c r="J66" i="69"/>
  <c r="J67" i="69"/>
  <c r="J72" i="69"/>
  <c r="J73" i="69"/>
  <c r="J74" i="69"/>
  <c r="J76" i="69"/>
  <c r="J35" i="69"/>
  <c r="G46" i="76"/>
  <c r="I79" i="16"/>
  <c r="I80" i="16"/>
  <c r="J36" i="69" l="1"/>
  <c r="H103" i="69"/>
  <c r="J49" i="69"/>
  <c r="J41" i="69"/>
  <c r="J42" i="69"/>
  <c r="J44" i="69"/>
  <c r="J52" i="69"/>
  <c r="J56" i="69"/>
  <c r="J61" i="69"/>
  <c r="J62" i="69"/>
  <c r="J58" i="69"/>
  <c r="J59" i="69"/>
  <c r="J60" i="69"/>
  <c r="J40" i="69"/>
  <c r="J46" i="69"/>
  <c r="J48" i="69"/>
  <c r="J51" i="69"/>
  <c r="J43" i="69"/>
  <c r="J45" i="69"/>
  <c r="J50" i="69"/>
  <c r="J57" i="69"/>
  <c r="J53" i="69"/>
  <c r="J64" i="69"/>
  <c r="J68" i="69"/>
  <c r="J69" i="69"/>
  <c r="J70" i="69"/>
  <c r="J71" i="69"/>
  <c r="J38" i="69"/>
  <c r="H105" i="69" l="1"/>
  <c r="H104" i="69"/>
  <c r="J10" i="69"/>
  <c r="J12" i="69"/>
  <c r="H106" i="69" l="1"/>
  <c r="H20" i="12"/>
  <c r="F34" i="69"/>
  <c r="C29" i="85"/>
  <c r="C20" i="85"/>
  <c r="F80" i="69" l="1"/>
  <c r="F102" i="69" s="1"/>
  <c r="H18" i="20"/>
  <c r="D74" i="65"/>
  <c r="D125" i="65" l="1"/>
  <c r="D88" i="65"/>
  <c r="D86" i="65"/>
  <c r="C86" i="65" l="1"/>
  <c r="I86" i="65" s="1"/>
  <c r="C140" i="65" l="1"/>
  <c r="C144" i="65"/>
  <c r="F144" i="65"/>
  <c r="H36" i="58"/>
  <c r="C51" i="65" l="1"/>
  <c r="C66" i="65"/>
  <c r="C127" i="65"/>
  <c r="I127" i="65" s="1"/>
  <c r="C73" i="65"/>
  <c r="C82" i="65"/>
  <c r="D67" i="65" l="1"/>
  <c r="C44" i="65"/>
  <c r="I44" i="65" s="1"/>
  <c r="C43" i="65"/>
  <c r="I27" i="16"/>
  <c r="I48" i="16"/>
  <c r="H116" i="65"/>
  <c r="D134" i="65"/>
  <c r="D133" i="65"/>
  <c r="D132" i="65"/>
  <c r="D117" i="65"/>
  <c r="D114" i="65"/>
  <c r="D113" i="65"/>
  <c r="D112" i="65"/>
  <c r="D73" i="65"/>
  <c r="I73" i="65" s="1"/>
  <c r="D61" i="65"/>
  <c r="I61" i="65" s="1"/>
  <c r="D49" i="65"/>
  <c r="I49" i="65" s="1"/>
  <c r="D37" i="65"/>
  <c r="D31" i="65"/>
  <c r="D30" i="65" s="1"/>
  <c r="C133" i="65"/>
  <c r="C134" i="65"/>
  <c r="C67" i="65"/>
  <c r="C49" i="65"/>
  <c r="C37" i="65"/>
  <c r="C11" i="57"/>
  <c r="D70" i="16"/>
  <c r="D69" i="16" s="1"/>
  <c r="F70" i="16"/>
  <c r="F69" i="16" s="1"/>
  <c r="F61" i="16"/>
  <c r="F56" i="16"/>
  <c r="F53" i="16"/>
  <c r="D10" i="16"/>
  <c r="D9" i="16" s="1"/>
  <c r="F10" i="16"/>
  <c r="F9" i="16" s="1"/>
  <c r="D21" i="16"/>
  <c r="F21" i="16"/>
  <c r="F20" i="16" s="1"/>
  <c r="D34" i="16"/>
  <c r="D39" i="16"/>
  <c r="D38" i="16" s="1"/>
  <c r="D45" i="16"/>
  <c r="D42" i="16" s="1"/>
  <c r="D56" i="16"/>
  <c r="I133" i="65" l="1"/>
  <c r="I134" i="65"/>
  <c r="I67" i="65"/>
  <c r="I37" i="65"/>
  <c r="D36" i="65"/>
  <c r="D111" i="65"/>
  <c r="D131" i="65"/>
  <c r="D130" i="65" s="1"/>
  <c r="F81" i="16"/>
  <c r="D20" i="16"/>
  <c r="D81" i="16" s="1"/>
  <c r="I32" i="16"/>
  <c r="I14" i="16"/>
  <c r="I13" i="16"/>
  <c r="C9" i="16"/>
  <c r="C11" i="65" l="1"/>
  <c r="C10" i="65" s="1"/>
  <c r="C9" i="85" l="1"/>
  <c r="C32" i="85" s="1"/>
  <c r="H148" i="20" l="1"/>
  <c r="H134" i="20"/>
  <c r="E85" i="69"/>
  <c r="D96" i="65"/>
  <c r="H45" i="84"/>
  <c r="D94" i="65" l="1"/>
  <c r="H190" i="20"/>
  <c r="D11" i="65"/>
  <c r="H48" i="84"/>
  <c r="I11" i="65" l="1"/>
  <c r="F162" i="65"/>
  <c r="I162" i="65" s="1"/>
  <c r="H28" i="76" l="1"/>
  <c r="D85" i="65"/>
  <c r="H31" i="76" l="1"/>
  <c r="C34" i="65" l="1"/>
  <c r="C33" i="65" s="1"/>
  <c r="C117" i="65"/>
  <c r="C116" i="65" l="1"/>
  <c r="I117" i="65"/>
  <c r="I116" i="65" s="1"/>
  <c r="C45" i="65"/>
  <c r="C132" i="65" l="1"/>
  <c r="I132" i="65" s="1"/>
  <c r="I131" i="65" s="1"/>
  <c r="C126" i="65"/>
  <c r="C125" i="65"/>
  <c r="I125" i="65" s="1"/>
  <c r="C114" i="65"/>
  <c r="I114" i="65" s="1"/>
  <c r="C113" i="65"/>
  <c r="I113" i="65" s="1"/>
  <c r="C112" i="65"/>
  <c r="I112" i="65" s="1"/>
  <c r="C101" i="65"/>
  <c r="I101" i="65" s="1"/>
  <c r="C98" i="65"/>
  <c r="I98" i="65" s="1"/>
  <c r="C96" i="65"/>
  <c r="I96" i="65" s="1"/>
  <c r="C85" i="65"/>
  <c r="I85" i="65" s="1"/>
  <c r="C84" i="65"/>
  <c r="C83" i="65"/>
  <c r="C77" i="65"/>
  <c r="C76" i="65"/>
  <c r="C75" i="65"/>
  <c r="I75" i="65" s="1"/>
  <c r="C74" i="65"/>
  <c r="I74" i="65" s="1"/>
  <c r="C68" i="65"/>
  <c r="C65" i="65" s="1"/>
  <c r="C62" i="65"/>
  <c r="I62" i="65" s="1"/>
  <c r="C60" i="65"/>
  <c r="C59" i="65"/>
  <c r="I59" i="65" s="1"/>
  <c r="C58" i="65"/>
  <c r="C55" i="65"/>
  <c r="C54" i="65"/>
  <c r="C53" i="65"/>
  <c r="C50" i="65"/>
  <c r="I50" i="65" s="1"/>
  <c r="C48" i="65"/>
  <c r="C47" i="65"/>
  <c r="C46" i="65"/>
  <c r="C28" i="65"/>
  <c r="D122" i="65"/>
  <c r="D84" i="65"/>
  <c r="I84" i="65" s="1"/>
  <c r="D83" i="65"/>
  <c r="I83" i="65" s="1"/>
  <c r="D82" i="65"/>
  <c r="I82" i="65" s="1"/>
  <c r="D77" i="65"/>
  <c r="D76" i="65"/>
  <c r="D66" i="65"/>
  <c r="I66" i="65" s="1"/>
  <c r="D60" i="65"/>
  <c r="D58" i="65"/>
  <c r="D55" i="65"/>
  <c r="D54" i="65"/>
  <c r="I54" i="65" s="1"/>
  <c r="D53" i="65"/>
  <c r="D51" i="65"/>
  <c r="D48" i="65"/>
  <c r="D47" i="65"/>
  <c r="I47" i="65" s="1"/>
  <c r="D46" i="65"/>
  <c r="D45" i="65"/>
  <c r="I45" i="65" s="1"/>
  <c r="D43" i="65"/>
  <c r="I43" i="65" s="1"/>
  <c r="D41" i="65"/>
  <c r="I41" i="65" s="1"/>
  <c r="I60" i="65" l="1"/>
  <c r="I58" i="65"/>
  <c r="I48" i="65"/>
  <c r="I55" i="65"/>
  <c r="I76" i="65"/>
  <c r="I46" i="65"/>
  <c r="I53" i="65"/>
  <c r="I111" i="65"/>
  <c r="I108" i="65" s="1"/>
  <c r="I77" i="65"/>
  <c r="D72" i="65"/>
  <c r="D40" i="65"/>
  <c r="I51" i="65"/>
  <c r="C111" i="65"/>
  <c r="I126" i="65"/>
  <c r="C124" i="65"/>
  <c r="C131" i="65"/>
  <c r="C130" i="65" s="1"/>
  <c r="D28" i="65"/>
  <c r="D15" i="65"/>
  <c r="I15" i="65" s="1"/>
  <c r="D12" i="65"/>
  <c r="D68" i="65"/>
  <c r="I68" i="65" s="1"/>
  <c r="I12" i="65" l="1"/>
  <c r="I10" i="65" s="1"/>
  <c r="D10" i="65"/>
  <c r="I28" i="65"/>
  <c r="I27" i="65" s="1"/>
  <c r="D27" i="65"/>
  <c r="I33" i="16"/>
  <c r="B10" i="71" l="1"/>
  <c r="C10" i="71" s="1"/>
  <c r="H12" i="72"/>
  <c r="I154" i="65"/>
  <c r="C21" i="65"/>
  <c r="I21" i="65" s="1"/>
  <c r="I34" i="65"/>
  <c r="I33" i="65" s="1"/>
  <c r="C72" i="65"/>
  <c r="K16" i="71"/>
  <c r="J16" i="71"/>
  <c r="C78" i="16"/>
  <c r="I78" i="16" s="1"/>
  <c r="D65" i="65"/>
  <c r="G79" i="12"/>
  <c r="C88" i="65"/>
  <c r="D124" i="65"/>
  <c r="I90" i="65"/>
  <c r="I91" i="65"/>
  <c r="I92" i="65"/>
  <c r="I78" i="65"/>
  <c r="I79" i="65"/>
  <c r="I80" i="65"/>
  <c r="I52" i="65"/>
  <c r="C40" i="65"/>
  <c r="H33" i="65"/>
  <c r="G33" i="65"/>
  <c r="F33" i="65"/>
  <c r="I31" i="65"/>
  <c r="I30" i="65" s="1"/>
  <c r="H36" i="65"/>
  <c r="G36" i="65"/>
  <c r="F36" i="65"/>
  <c r="I146" i="65"/>
  <c r="I145" i="65"/>
  <c r="J11" i="69"/>
  <c r="J9" i="69"/>
  <c r="M93" i="68"/>
  <c r="E53" i="68"/>
  <c r="I53" i="68" s="1"/>
  <c r="E94" i="68"/>
  <c r="I94" i="68" s="1"/>
  <c r="E93" i="68"/>
  <c r="I93" i="68" s="1"/>
  <c r="E92" i="68"/>
  <c r="I92" i="68" s="1"/>
  <c r="E91" i="68"/>
  <c r="I91" i="68" s="1"/>
  <c r="E90" i="68"/>
  <c r="H90" i="68" s="1"/>
  <c r="E89" i="68"/>
  <c r="I89" i="68" s="1"/>
  <c r="E88" i="68"/>
  <c r="I88" i="68" s="1"/>
  <c r="E87" i="68"/>
  <c r="I87" i="68" s="1"/>
  <c r="E83" i="68"/>
  <c r="K83" i="68" s="1"/>
  <c r="M83" i="68" s="1"/>
  <c r="E82" i="68"/>
  <c r="K82" i="68" s="1"/>
  <c r="M82" i="68" s="1"/>
  <c r="E80" i="68"/>
  <c r="K80" i="68" s="1"/>
  <c r="M80" i="68" s="1"/>
  <c r="E79" i="68"/>
  <c r="H79" i="68" s="1"/>
  <c r="E78" i="68"/>
  <c r="I78" i="68" s="1"/>
  <c r="E77" i="68"/>
  <c r="I77" i="68" s="1"/>
  <c r="E76" i="68"/>
  <c r="H76" i="68" s="1"/>
  <c r="E74" i="68"/>
  <c r="K74" i="68" s="1"/>
  <c r="M74" i="68" s="1"/>
  <c r="E73" i="68"/>
  <c r="K73" i="68" s="1"/>
  <c r="M73" i="68" s="1"/>
  <c r="E72" i="68"/>
  <c r="E71" i="68"/>
  <c r="I71" i="68" s="1"/>
  <c r="E70" i="68"/>
  <c r="H70" i="68" s="1"/>
  <c r="E69" i="68"/>
  <c r="K69" i="68" s="1"/>
  <c r="M69" i="68" s="1"/>
  <c r="E68" i="68"/>
  <c r="H68" i="68" s="1"/>
  <c r="E67" i="68"/>
  <c r="H67" i="68" s="1"/>
  <c r="E66" i="68"/>
  <c r="H66" i="68" s="1"/>
  <c r="E65" i="68"/>
  <c r="I65" i="68" s="1"/>
  <c r="E64" i="68"/>
  <c r="H64" i="68" s="1"/>
  <c r="E63" i="68"/>
  <c r="I63" i="68" s="1"/>
  <c r="E60" i="68"/>
  <c r="K60" i="68" s="1"/>
  <c r="M60" i="68" s="1"/>
  <c r="E59" i="68"/>
  <c r="H59" i="68" s="1"/>
  <c r="E51" i="68"/>
  <c r="H51" i="68" s="1"/>
  <c r="E48" i="68"/>
  <c r="K48" i="68" s="1"/>
  <c r="M48" i="68" s="1"/>
  <c r="E45" i="68"/>
  <c r="H45" i="68" s="1"/>
  <c r="E44" i="68"/>
  <c r="K44" i="68" s="1"/>
  <c r="M44" i="68" s="1"/>
  <c r="E43" i="68"/>
  <c r="H43" i="68" s="1"/>
  <c r="E38" i="68"/>
  <c r="H38" i="68" s="1"/>
  <c r="E32" i="68"/>
  <c r="I32" i="68" s="1"/>
  <c r="D95" i="68"/>
  <c r="D85" i="68"/>
  <c r="D39" i="68"/>
  <c r="E27" i="68"/>
  <c r="D27" i="68"/>
  <c r="D13" i="68"/>
  <c r="G93" i="68"/>
  <c r="N93" i="68"/>
  <c r="E11" i="68"/>
  <c r="E13" i="68" s="1"/>
  <c r="K108" i="68"/>
  <c r="I109" i="68"/>
  <c r="I125" i="68"/>
  <c r="L124" i="68"/>
  <c r="L123" i="68"/>
  <c r="L122" i="68"/>
  <c r="L120" i="68"/>
  <c r="L119" i="68"/>
  <c r="I117" i="68"/>
  <c r="I133" i="68"/>
  <c r="H10" i="65"/>
  <c r="G10" i="65"/>
  <c r="F10" i="65"/>
  <c r="I42" i="65"/>
  <c r="H133" i="68"/>
  <c r="H117" i="68"/>
  <c r="H109" i="68"/>
  <c r="G97" i="68"/>
  <c r="K95" i="68"/>
  <c r="F95" i="68"/>
  <c r="C95" i="68"/>
  <c r="N94" i="68"/>
  <c r="M94" i="68"/>
  <c r="G94" i="68"/>
  <c r="N92" i="68"/>
  <c r="M92" i="68"/>
  <c r="G92" i="68"/>
  <c r="N91" i="68"/>
  <c r="M91" i="68"/>
  <c r="G91" i="68"/>
  <c r="N90" i="68"/>
  <c r="M90" i="68"/>
  <c r="G90" i="68"/>
  <c r="N89" i="68"/>
  <c r="M89" i="68"/>
  <c r="G89" i="68"/>
  <c r="N88" i="68"/>
  <c r="M88" i="68"/>
  <c r="G88" i="68"/>
  <c r="N87" i="68"/>
  <c r="M87" i="68"/>
  <c r="G87" i="68"/>
  <c r="F85" i="68"/>
  <c r="C85" i="68"/>
  <c r="H119" i="68" s="1"/>
  <c r="H125" i="68" s="1"/>
  <c r="N84" i="68"/>
  <c r="M84" i="68"/>
  <c r="J84" i="68"/>
  <c r="L84" i="68" s="1"/>
  <c r="G84" i="68"/>
  <c r="N83" i="68"/>
  <c r="G83" i="68"/>
  <c r="N82" i="68"/>
  <c r="G82" i="68"/>
  <c r="N81" i="68"/>
  <c r="M81" i="68"/>
  <c r="J81" i="68"/>
  <c r="L81" i="68" s="1"/>
  <c r="G81" i="68"/>
  <c r="N80" i="68"/>
  <c r="G80" i="68"/>
  <c r="N79" i="68"/>
  <c r="G79" i="68"/>
  <c r="N78" i="68"/>
  <c r="G78" i="68"/>
  <c r="N77" i="68"/>
  <c r="G77" i="68"/>
  <c r="N76" i="68"/>
  <c r="G76" i="68"/>
  <c r="N75" i="68"/>
  <c r="M75" i="68"/>
  <c r="J75" i="68"/>
  <c r="L75" i="68" s="1"/>
  <c r="G75" i="68"/>
  <c r="N74" i="68"/>
  <c r="G74" i="68"/>
  <c r="N73" i="68"/>
  <c r="G73" i="68"/>
  <c r="N72" i="68"/>
  <c r="G72" i="68"/>
  <c r="N71" i="68"/>
  <c r="G71" i="68"/>
  <c r="N70" i="68"/>
  <c r="G70" i="68"/>
  <c r="N69" i="68"/>
  <c r="G69" i="68"/>
  <c r="N68" i="68"/>
  <c r="G68" i="68"/>
  <c r="N67" i="68"/>
  <c r="G67" i="68"/>
  <c r="N66" i="68"/>
  <c r="G66" i="68"/>
  <c r="N65" i="68"/>
  <c r="G65" i="68"/>
  <c r="N64" i="68"/>
  <c r="G64" i="68"/>
  <c r="N63" i="68"/>
  <c r="M63" i="68"/>
  <c r="G63" i="68"/>
  <c r="N62" i="68"/>
  <c r="M62" i="68"/>
  <c r="J62" i="68"/>
  <c r="L62" i="68" s="1"/>
  <c r="G62" i="68"/>
  <c r="N61" i="68"/>
  <c r="M61" i="68"/>
  <c r="J61" i="68"/>
  <c r="L61" i="68" s="1"/>
  <c r="G61" i="68"/>
  <c r="N60" i="68"/>
  <c r="G60" i="68"/>
  <c r="N59" i="68"/>
  <c r="G59" i="68"/>
  <c r="N58" i="68"/>
  <c r="M58" i="68"/>
  <c r="J58" i="68"/>
  <c r="L58" i="68" s="1"/>
  <c r="G58" i="68"/>
  <c r="N57" i="68"/>
  <c r="M57" i="68"/>
  <c r="J57" i="68"/>
  <c r="L57" i="68" s="1"/>
  <c r="G57" i="68"/>
  <c r="N56" i="68"/>
  <c r="M56" i="68"/>
  <c r="J56" i="68"/>
  <c r="L56" i="68" s="1"/>
  <c r="G56" i="68"/>
  <c r="N55" i="68"/>
  <c r="M55" i="68"/>
  <c r="J55" i="68"/>
  <c r="L55" i="68" s="1"/>
  <c r="G55" i="68"/>
  <c r="N54" i="68"/>
  <c r="M54" i="68"/>
  <c r="J54" i="68"/>
  <c r="L54" i="68" s="1"/>
  <c r="G54" i="68"/>
  <c r="N53" i="68"/>
  <c r="G53" i="68"/>
  <c r="N52" i="68"/>
  <c r="M52" i="68"/>
  <c r="J52" i="68"/>
  <c r="L52" i="68" s="1"/>
  <c r="G52" i="68"/>
  <c r="N51" i="68"/>
  <c r="G51" i="68"/>
  <c r="N50" i="68"/>
  <c r="M50" i="68"/>
  <c r="J50" i="68"/>
  <c r="L50" i="68" s="1"/>
  <c r="G50" i="68"/>
  <c r="N49" i="68"/>
  <c r="M49" i="68"/>
  <c r="J49" i="68"/>
  <c r="L49" i="68" s="1"/>
  <c r="G49" i="68"/>
  <c r="N48" i="68"/>
  <c r="G48" i="68"/>
  <c r="N47" i="68"/>
  <c r="M47" i="68"/>
  <c r="J47" i="68"/>
  <c r="L47" i="68" s="1"/>
  <c r="G47" i="68"/>
  <c r="N46" i="68"/>
  <c r="M46" i="68"/>
  <c r="J46" i="68"/>
  <c r="L46" i="68" s="1"/>
  <c r="G46" i="68"/>
  <c r="N45" i="68"/>
  <c r="G45" i="68"/>
  <c r="N44" i="68"/>
  <c r="G44" i="68"/>
  <c r="N43" i="68"/>
  <c r="G43" i="68"/>
  <c r="N42" i="68"/>
  <c r="M42" i="68"/>
  <c r="J42" i="68"/>
  <c r="L42" i="68" s="1"/>
  <c r="G42" i="68"/>
  <c r="N41" i="68"/>
  <c r="M41" i="68"/>
  <c r="J41" i="68"/>
  <c r="L41" i="68" s="1"/>
  <c r="G41" i="68"/>
  <c r="F39" i="68"/>
  <c r="C39" i="68"/>
  <c r="N38" i="68"/>
  <c r="G38" i="68"/>
  <c r="N37" i="68"/>
  <c r="M37" i="68"/>
  <c r="J37" i="68"/>
  <c r="L37" i="68" s="1"/>
  <c r="G37" i="68"/>
  <c r="N36" i="68"/>
  <c r="M36" i="68"/>
  <c r="J36" i="68"/>
  <c r="L36" i="68" s="1"/>
  <c r="G36" i="68"/>
  <c r="N35" i="68"/>
  <c r="M35" i="68"/>
  <c r="J35" i="68"/>
  <c r="L35" i="68" s="1"/>
  <c r="G35" i="68"/>
  <c r="N34" i="68"/>
  <c r="M34" i="68"/>
  <c r="J34" i="68"/>
  <c r="L34" i="68" s="1"/>
  <c r="G34" i="68"/>
  <c r="N33" i="68"/>
  <c r="M33" i="68"/>
  <c r="J33" i="68"/>
  <c r="L33" i="68" s="1"/>
  <c r="G33" i="68"/>
  <c r="N32" i="68"/>
  <c r="G32" i="68"/>
  <c r="N31" i="68"/>
  <c r="M31" i="68"/>
  <c r="J31" i="68"/>
  <c r="L31" i="68" s="1"/>
  <c r="G31" i="68"/>
  <c r="N30" i="68"/>
  <c r="M30" i="68"/>
  <c r="J30" i="68"/>
  <c r="L30" i="68" s="1"/>
  <c r="G30" i="68"/>
  <c r="G29" i="68"/>
  <c r="K27" i="68"/>
  <c r="I27" i="68"/>
  <c r="H27" i="68"/>
  <c r="G27" i="68"/>
  <c r="F27" i="68"/>
  <c r="C27" i="68"/>
  <c r="N26" i="68"/>
  <c r="M26" i="68"/>
  <c r="J26" i="68"/>
  <c r="L26" i="68" s="1"/>
  <c r="N25" i="68"/>
  <c r="M25" i="68"/>
  <c r="J25" i="68"/>
  <c r="L25" i="68" s="1"/>
  <c r="N24" i="68"/>
  <c r="M24" i="68"/>
  <c r="J24" i="68"/>
  <c r="L24" i="68" s="1"/>
  <c r="N23" i="68"/>
  <c r="M23" i="68"/>
  <c r="J23" i="68"/>
  <c r="L23" i="68" s="1"/>
  <c r="N22" i="68"/>
  <c r="M22" i="68"/>
  <c r="J22" i="68"/>
  <c r="L22" i="68" s="1"/>
  <c r="N21" i="68"/>
  <c r="M21" i="68"/>
  <c r="J21" i="68"/>
  <c r="L21" i="68" s="1"/>
  <c r="N20" i="68"/>
  <c r="M20" i="68"/>
  <c r="J20" i="68"/>
  <c r="L20" i="68" s="1"/>
  <c r="N19" i="68"/>
  <c r="M19" i="68"/>
  <c r="J19" i="68"/>
  <c r="L19" i="68" s="1"/>
  <c r="N18" i="68"/>
  <c r="M18" i="68"/>
  <c r="J18" i="68"/>
  <c r="L18" i="68" s="1"/>
  <c r="N17" i="68"/>
  <c r="M17" i="68"/>
  <c r="J17" i="68"/>
  <c r="L17" i="68" s="1"/>
  <c r="N16" i="68"/>
  <c r="M16" i="68"/>
  <c r="L16" i="68"/>
  <c r="N15" i="68"/>
  <c r="M15" i="68"/>
  <c r="L15" i="68"/>
  <c r="F13" i="68"/>
  <c r="C13" i="68"/>
  <c r="N12" i="68"/>
  <c r="M12" i="68"/>
  <c r="J12" i="68"/>
  <c r="L12" i="68" s="1"/>
  <c r="G12" i="68"/>
  <c r="N11" i="68"/>
  <c r="G11" i="68"/>
  <c r="N10" i="68"/>
  <c r="M10" i="68"/>
  <c r="J10" i="68"/>
  <c r="L10" i="68" s="1"/>
  <c r="G10" i="68"/>
  <c r="N9" i="68"/>
  <c r="M9" i="68"/>
  <c r="J9" i="68"/>
  <c r="L9" i="68" s="1"/>
  <c r="G9" i="68"/>
  <c r="N8" i="68"/>
  <c r="M8" i="68"/>
  <c r="J8" i="68"/>
  <c r="G8" i="68"/>
  <c r="N7" i="68"/>
  <c r="G7" i="68"/>
  <c r="H112" i="64"/>
  <c r="J126" i="64"/>
  <c r="I69" i="65"/>
  <c r="H111" i="64"/>
  <c r="H110" i="64"/>
  <c r="H109" i="64"/>
  <c r="H108" i="64"/>
  <c r="H107" i="64"/>
  <c r="H106" i="64"/>
  <c r="H105" i="64"/>
  <c r="H103" i="64"/>
  <c r="H102" i="64"/>
  <c r="H101" i="64"/>
  <c r="H100" i="64"/>
  <c r="H99" i="64"/>
  <c r="H98" i="64"/>
  <c r="H97" i="64"/>
  <c r="H96" i="64"/>
  <c r="H95" i="64"/>
  <c r="H94" i="64"/>
  <c r="H93" i="64"/>
  <c r="H92" i="64"/>
  <c r="H91" i="64"/>
  <c r="H90" i="64"/>
  <c r="H89" i="64"/>
  <c r="H88" i="64"/>
  <c r="H87" i="64"/>
  <c r="H86" i="64"/>
  <c r="H85" i="64"/>
  <c r="H84" i="64"/>
  <c r="H83" i="64"/>
  <c r="H82" i="64"/>
  <c r="H81" i="64"/>
  <c r="H80" i="64"/>
  <c r="H79" i="64"/>
  <c r="H78" i="64"/>
  <c r="H58" i="64"/>
  <c r="H124" i="64"/>
  <c r="H77" i="64"/>
  <c r="H76" i="64"/>
  <c r="H75" i="64"/>
  <c r="H74" i="64"/>
  <c r="H73" i="64"/>
  <c r="H72" i="64"/>
  <c r="H71" i="64"/>
  <c r="H70" i="64"/>
  <c r="H69" i="64"/>
  <c r="H68" i="64"/>
  <c r="H67" i="64"/>
  <c r="H66" i="64"/>
  <c r="H65" i="64"/>
  <c r="H64" i="64"/>
  <c r="H63" i="64"/>
  <c r="H62" i="64"/>
  <c r="H61" i="64"/>
  <c r="H60" i="64"/>
  <c r="H59" i="64"/>
  <c r="H57" i="64"/>
  <c r="H56" i="64"/>
  <c r="H55" i="64"/>
  <c r="H54" i="64"/>
  <c r="H53" i="64"/>
  <c r="H52" i="64"/>
  <c r="H51" i="64"/>
  <c r="H50" i="64"/>
  <c r="H49" i="64"/>
  <c r="H48" i="64"/>
  <c r="H47" i="64"/>
  <c r="H46" i="64"/>
  <c r="H45" i="64"/>
  <c r="H44" i="64"/>
  <c r="I16" i="16"/>
  <c r="I50" i="16"/>
  <c r="I19" i="27"/>
  <c r="J19" i="27" s="1"/>
  <c r="I18" i="27"/>
  <c r="J18" i="27" s="1"/>
  <c r="I17" i="27"/>
  <c r="J17" i="27" s="1"/>
  <c r="I16" i="27"/>
  <c r="J16" i="27" s="1"/>
  <c r="I15" i="27"/>
  <c r="J15" i="27" s="1"/>
  <c r="I14" i="27"/>
  <c r="J14" i="27" s="1"/>
  <c r="I11" i="27"/>
  <c r="J11" i="27" s="1"/>
  <c r="I13" i="27"/>
  <c r="J13" i="27" s="1"/>
  <c r="I12" i="27"/>
  <c r="J12" i="27" s="1"/>
  <c r="J10" i="27"/>
  <c r="I7" i="27"/>
  <c r="C27" i="65"/>
  <c r="H161" i="65"/>
  <c r="H160" i="65" s="1"/>
  <c r="H157" i="65"/>
  <c r="H156" i="65" s="1"/>
  <c r="H144" i="65"/>
  <c r="H140" i="65"/>
  <c r="H131" i="65"/>
  <c r="H124" i="65"/>
  <c r="H121" i="65"/>
  <c r="H108" i="65"/>
  <c r="H103" i="65"/>
  <c r="H94" i="65"/>
  <c r="H88" i="65"/>
  <c r="H72" i="65"/>
  <c r="H70" i="65"/>
  <c r="H40" i="65"/>
  <c r="H27" i="65"/>
  <c r="H24" i="65"/>
  <c r="H17" i="65"/>
  <c r="L126" i="64"/>
  <c r="K126" i="64"/>
  <c r="I126" i="64"/>
  <c r="E126" i="64"/>
  <c r="H27" i="67"/>
  <c r="K17" i="67"/>
  <c r="K16" i="67"/>
  <c r="G161" i="65"/>
  <c r="G160" i="65" s="1"/>
  <c r="F161" i="65"/>
  <c r="F160" i="65" s="1"/>
  <c r="G157" i="65"/>
  <c r="G156" i="65" s="1"/>
  <c r="F157" i="65"/>
  <c r="F156" i="65" s="1"/>
  <c r="D157" i="65"/>
  <c r="D156" i="65" s="1"/>
  <c r="G144" i="65"/>
  <c r="I144" i="65" s="1"/>
  <c r="G140" i="65"/>
  <c r="F140" i="65"/>
  <c r="G131" i="65"/>
  <c r="F131" i="65"/>
  <c r="G124" i="65"/>
  <c r="F124" i="65"/>
  <c r="G121" i="65"/>
  <c r="F121" i="65"/>
  <c r="D121" i="65"/>
  <c r="D120" i="65" s="1"/>
  <c r="G116" i="65"/>
  <c r="F116" i="65"/>
  <c r="D116" i="65"/>
  <c r="D108" i="65" s="1"/>
  <c r="G111" i="65"/>
  <c r="F111" i="65"/>
  <c r="G103" i="65"/>
  <c r="F103" i="65"/>
  <c r="D103" i="65"/>
  <c r="G94" i="65"/>
  <c r="F94" i="65"/>
  <c r="G88" i="65"/>
  <c r="F88" i="65"/>
  <c r="G72" i="65"/>
  <c r="F72" i="65"/>
  <c r="G65" i="65"/>
  <c r="F65" i="65"/>
  <c r="G40" i="65"/>
  <c r="F40" i="65"/>
  <c r="G27" i="65"/>
  <c r="F27" i="65"/>
  <c r="G24" i="65"/>
  <c r="F24" i="65"/>
  <c r="G17" i="65"/>
  <c r="F17" i="65"/>
  <c r="I163" i="65"/>
  <c r="I161" i="65" s="1"/>
  <c r="I160" i="65" s="1"/>
  <c r="I158" i="65"/>
  <c r="I157" i="65" s="1"/>
  <c r="I152" i="65"/>
  <c r="I151" i="65"/>
  <c r="I150" i="65"/>
  <c r="I149" i="65"/>
  <c r="I143" i="65"/>
  <c r="I142" i="65"/>
  <c r="I141" i="65"/>
  <c r="I122" i="65"/>
  <c r="I121" i="65" s="1"/>
  <c r="I106" i="65"/>
  <c r="I105" i="65"/>
  <c r="I104" i="65"/>
  <c r="I95" i="65"/>
  <c r="I94" i="65" s="1"/>
  <c r="I89" i="65"/>
  <c r="C161" i="65"/>
  <c r="C160" i="65" s="1"/>
  <c r="C157" i="65"/>
  <c r="C156" i="65" s="1"/>
  <c r="C121" i="65"/>
  <c r="C120" i="65" s="1"/>
  <c r="C103" i="65"/>
  <c r="C94" i="65"/>
  <c r="H70" i="16"/>
  <c r="H69" i="16" s="1"/>
  <c r="G70" i="16"/>
  <c r="G69" i="16" s="1"/>
  <c r="H61" i="16"/>
  <c r="G62" i="16"/>
  <c r="G61" i="16" s="1"/>
  <c r="H57" i="16"/>
  <c r="H56" i="16" s="1"/>
  <c r="G57" i="16"/>
  <c r="G56" i="16" s="1"/>
  <c r="H53" i="16"/>
  <c r="G53" i="16"/>
  <c r="H45" i="16"/>
  <c r="G45" i="16"/>
  <c r="H43" i="16"/>
  <c r="G43" i="16"/>
  <c r="H39" i="16"/>
  <c r="H38" i="16" s="1"/>
  <c r="G39" i="16"/>
  <c r="G38" i="16" s="1"/>
  <c r="H21" i="16"/>
  <c r="G21" i="16"/>
  <c r="H34" i="16"/>
  <c r="G34" i="16"/>
  <c r="I72" i="16"/>
  <c r="I71" i="16"/>
  <c r="I68" i="16"/>
  <c r="C12" i="57" s="1"/>
  <c r="I52" i="16"/>
  <c r="I51" i="16"/>
  <c r="I49" i="16"/>
  <c r="I47" i="16"/>
  <c r="I46" i="16"/>
  <c r="I44" i="16"/>
  <c r="I43" i="16" s="1"/>
  <c r="I41" i="16"/>
  <c r="I40" i="16"/>
  <c r="I37" i="16"/>
  <c r="I36" i="16"/>
  <c r="I35" i="16"/>
  <c r="I31" i="16"/>
  <c r="I30" i="16"/>
  <c r="I29" i="16"/>
  <c r="I28" i="16"/>
  <c r="I26" i="16"/>
  <c r="I25" i="16"/>
  <c r="I24" i="16"/>
  <c r="I23" i="16"/>
  <c r="I22" i="16"/>
  <c r="I19" i="16"/>
  <c r="I18" i="16"/>
  <c r="I17" i="16"/>
  <c r="I15" i="16"/>
  <c r="I12" i="16"/>
  <c r="C70" i="16"/>
  <c r="C69" i="16" s="1"/>
  <c r="C62" i="16"/>
  <c r="C61" i="16" s="1"/>
  <c r="C57" i="16"/>
  <c r="C56" i="16" s="1"/>
  <c r="C43" i="16"/>
  <c r="C42" i="16" s="1"/>
  <c r="C39" i="16"/>
  <c r="C38" i="16" s="1"/>
  <c r="H10" i="16"/>
  <c r="H9" i="16" s="1"/>
  <c r="G10" i="16"/>
  <c r="G9" i="16" s="1"/>
  <c r="I11" i="16"/>
  <c r="I81" i="65"/>
  <c r="F126" i="64"/>
  <c r="M126" i="64"/>
  <c r="L8" i="68"/>
  <c r="K71" i="68"/>
  <c r="M71" i="68" s="1"/>
  <c r="I90" i="68"/>
  <c r="H77" i="68"/>
  <c r="H46" i="58"/>
  <c r="H49" i="58" s="1"/>
  <c r="C36" i="65"/>
  <c r="I36" i="65" s="1"/>
  <c r="J14" i="69" l="1"/>
  <c r="J7" i="27"/>
  <c r="J20" i="27" s="1"/>
  <c r="I20" i="27"/>
  <c r="I40" i="65"/>
  <c r="D39" i="65"/>
  <c r="I72" i="65"/>
  <c r="I124" i="65"/>
  <c r="I120" i="65" s="1"/>
  <c r="C22" i="57" s="1"/>
  <c r="H65" i="65"/>
  <c r="H39" i="65" s="1"/>
  <c r="I70" i="65"/>
  <c r="I65" i="65" s="1"/>
  <c r="K78" i="68"/>
  <c r="M78" i="68" s="1"/>
  <c r="H78" i="68"/>
  <c r="C81" i="16"/>
  <c r="I69" i="68"/>
  <c r="I59" i="68"/>
  <c r="J59" i="68" s="1"/>
  <c r="L59" i="68" s="1"/>
  <c r="K67" i="68"/>
  <c r="M67" i="68" s="1"/>
  <c r="K53" i="68"/>
  <c r="M53" i="68" s="1"/>
  <c r="I73" i="16"/>
  <c r="H87" i="68"/>
  <c r="H65" i="68"/>
  <c r="J65" i="68" s="1"/>
  <c r="L65" i="68" s="1"/>
  <c r="H44" i="68"/>
  <c r="H73" i="68"/>
  <c r="K65" i="68"/>
  <c r="M65" i="68" s="1"/>
  <c r="H94" i="68"/>
  <c r="J94" i="68" s="1"/>
  <c r="L94" i="68" s="1"/>
  <c r="O94" i="68" s="1"/>
  <c r="J34" i="69"/>
  <c r="H71" i="68"/>
  <c r="I76" i="68"/>
  <c r="I67" i="68"/>
  <c r="K76" i="68"/>
  <c r="M76" i="68" s="1"/>
  <c r="H63" i="68"/>
  <c r="J63" i="68" s="1"/>
  <c r="L63" i="68" s="1"/>
  <c r="O63" i="68" s="1"/>
  <c r="I10" i="16"/>
  <c r="I9" i="16" s="1"/>
  <c r="C7" i="57" s="1"/>
  <c r="H88" i="68"/>
  <c r="J88" i="68" s="1"/>
  <c r="L88" i="68" s="1"/>
  <c r="O88" i="68" s="1"/>
  <c r="I48" i="68"/>
  <c r="I79" i="68"/>
  <c r="J79" i="68" s="1"/>
  <c r="L79" i="68" s="1"/>
  <c r="I60" i="68"/>
  <c r="H91" i="68"/>
  <c r="J91" i="68" s="1"/>
  <c r="L91" i="68" s="1"/>
  <c r="O91" i="68" s="1"/>
  <c r="O16" i="68"/>
  <c r="I156" i="65"/>
  <c r="H93" i="68"/>
  <c r="J93" i="68" s="1"/>
  <c r="L93" i="68" s="1"/>
  <c r="O93" i="68" s="1"/>
  <c r="K68" i="68"/>
  <c r="M68" i="68" s="1"/>
  <c r="H89" i="68"/>
  <c r="J89" i="68" s="1"/>
  <c r="L89" i="68" s="1"/>
  <c r="O89" i="68" s="1"/>
  <c r="O25" i="68"/>
  <c r="H53" i="68"/>
  <c r="K79" i="68"/>
  <c r="M79" i="68" s="1"/>
  <c r="I80" i="68"/>
  <c r="G13" i="68"/>
  <c r="G28" i="68" s="1"/>
  <c r="C28" i="68"/>
  <c r="O36" i="68"/>
  <c r="O62" i="68"/>
  <c r="H11" i="68"/>
  <c r="H13" i="68" s="1"/>
  <c r="H28" i="68" s="1"/>
  <c r="J47" i="69"/>
  <c r="J79" i="69" s="1"/>
  <c r="I45" i="68"/>
  <c r="J45" i="68" s="1"/>
  <c r="L45" i="68" s="1"/>
  <c r="K32" i="68"/>
  <c r="M32" i="68" s="1"/>
  <c r="H32" i="68"/>
  <c r="H39" i="68" s="1"/>
  <c r="K45" i="68"/>
  <c r="M45" i="68" s="1"/>
  <c r="E28" i="68"/>
  <c r="G80" i="69"/>
  <c r="K66" i="68"/>
  <c r="M66" i="68" s="1"/>
  <c r="K125" i="68"/>
  <c r="I140" i="65"/>
  <c r="I130" i="65" s="1"/>
  <c r="O9" i="68"/>
  <c r="C99" i="68"/>
  <c r="O33" i="68"/>
  <c r="J125" i="68"/>
  <c r="M125" i="68" s="1"/>
  <c r="I45" i="16"/>
  <c r="O20" i="68"/>
  <c r="O24" i="68"/>
  <c r="O52" i="68"/>
  <c r="M95" i="68"/>
  <c r="O46" i="68"/>
  <c r="J90" i="68"/>
  <c r="L90" i="68" s="1"/>
  <c r="O90" i="68" s="1"/>
  <c r="I53" i="16"/>
  <c r="G108" i="65"/>
  <c r="F120" i="65"/>
  <c r="G42" i="16"/>
  <c r="I70" i="16"/>
  <c r="I69" i="16" s="1"/>
  <c r="H42" i="16"/>
  <c r="I39" i="16"/>
  <c r="I38" i="16" s="1"/>
  <c r="C9" i="57" s="1"/>
  <c r="I70" i="68"/>
  <c r="J70" i="68" s="1"/>
  <c r="L70" i="68" s="1"/>
  <c r="I38" i="68"/>
  <c r="J38" i="68" s="1"/>
  <c r="L38" i="68" s="1"/>
  <c r="H80" i="68"/>
  <c r="K38" i="68"/>
  <c r="M38" i="68" s="1"/>
  <c r="G130" i="65"/>
  <c r="H126" i="64"/>
  <c r="N13" i="68"/>
  <c r="O30" i="68"/>
  <c r="O75" i="68"/>
  <c r="O81" i="68"/>
  <c r="G95" i="68"/>
  <c r="N95" i="68"/>
  <c r="H60" i="68"/>
  <c r="H20" i="16"/>
  <c r="H81" i="16" s="1"/>
  <c r="G120" i="65"/>
  <c r="C108" i="65"/>
  <c r="O15" i="68"/>
  <c r="O17" i="68"/>
  <c r="O19" i="68"/>
  <c r="O23" i="68"/>
  <c r="O31" i="68"/>
  <c r="H74" i="68"/>
  <c r="K59" i="68"/>
  <c r="M59" i="68" s="1"/>
  <c r="O59" i="68" s="1"/>
  <c r="I44" i="68"/>
  <c r="H134" i="68"/>
  <c r="H48" i="68"/>
  <c r="E39" i="68"/>
  <c r="I103" i="65"/>
  <c r="F39" i="65"/>
  <c r="F108" i="65"/>
  <c r="O10" i="68"/>
  <c r="O26" i="68"/>
  <c r="N85" i="68"/>
  <c r="O47" i="68"/>
  <c r="O49" i="68"/>
  <c r="O50" i="68"/>
  <c r="O54" i="68"/>
  <c r="O57" i="68"/>
  <c r="D99" i="68"/>
  <c r="I74" i="68"/>
  <c r="H83" i="68"/>
  <c r="I51" i="68"/>
  <c r="J51" i="68" s="1"/>
  <c r="L51" i="68" s="1"/>
  <c r="J27" i="68"/>
  <c r="O7" i="68"/>
  <c r="I56" i="16"/>
  <c r="C13" i="57" s="1"/>
  <c r="I61" i="16"/>
  <c r="G39" i="65"/>
  <c r="F130" i="65"/>
  <c r="M27" i="68"/>
  <c r="O18" i="68"/>
  <c r="O22" i="68"/>
  <c r="O42" i="68"/>
  <c r="O61" i="68"/>
  <c r="K64" i="68"/>
  <c r="M64" i="68" s="1"/>
  <c r="E95" i="68"/>
  <c r="K70" i="68"/>
  <c r="M70" i="68" s="1"/>
  <c r="I66" i="68"/>
  <c r="J66" i="68" s="1"/>
  <c r="L66" i="68" s="1"/>
  <c r="I83" i="68"/>
  <c r="K51" i="68"/>
  <c r="M51" i="68" s="1"/>
  <c r="F9" i="65"/>
  <c r="H130" i="65"/>
  <c r="O12" i="68"/>
  <c r="O34" i="68"/>
  <c r="I95" i="68"/>
  <c r="I68" i="68"/>
  <c r="J68" i="68" s="1"/>
  <c r="L68" i="68" s="1"/>
  <c r="K11" i="68"/>
  <c r="J71" i="68"/>
  <c r="L71" i="68" s="1"/>
  <c r="O71" i="68" s="1"/>
  <c r="J87" i="68"/>
  <c r="L87" i="68" s="1"/>
  <c r="E85" i="68"/>
  <c r="G9" i="65"/>
  <c r="K18" i="67"/>
  <c r="N39" i="68"/>
  <c r="O35" i="68"/>
  <c r="I11" i="68"/>
  <c r="I13" i="68" s="1"/>
  <c r="I28" i="68" s="1"/>
  <c r="D28" i="68"/>
  <c r="H92" i="68"/>
  <c r="J92" i="68" s="1"/>
  <c r="L92" i="68" s="1"/>
  <c r="O92" i="68" s="1"/>
  <c r="K43" i="68"/>
  <c r="M43" i="68" s="1"/>
  <c r="G20" i="16"/>
  <c r="C21" i="57"/>
  <c r="C39" i="65"/>
  <c r="I34" i="16"/>
  <c r="I21" i="16"/>
  <c r="I72" i="68"/>
  <c r="H72" i="68"/>
  <c r="K72" i="68"/>
  <c r="M72" i="68" s="1"/>
  <c r="I88" i="65"/>
  <c r="J77" i="68"/>
  <c r="L77" i="68" s="1"/>
  <c r="N27" i="68"/>
  <c r="O21" i="68"/>
  <c r="H9" i="65"/>
  <c r="J78" i="68"/>
  <c r="L78" i="68" s="1"/>
  <c r="O78" i="68" s="1"/>
  <c r="J76" i="68"/>
  <c r="L76" i="68" s="1"/>
  <c r="J67" i="68"/>
  <c r="L67" i="68" s="1"/>
  <c r="O8" i="68"/>
  <c r="H120" i="65"/>
  <c r="H69" i="68"/>
  <c r="J69" i="68" s="1"/>
  <c r="L69" i="68" s="1"/>
  <c r="O69" i="68" s="1"/>
  <c r="G39" i="68"/>
  <c r="F99" i="68"/>
  <c r="F28" i="68"/>
  <c r="O37" i="68"/>
  <c r="O41" i="68"/>
  <c r="J53" i="68"/>
  <c r="L53" i="68" s="1"/>
  <c r="O53" i="68" s="1"/>
  <c r="L27" i="68"/>
  <c r="G85" i="68"/>
  <c r="O55" i="68"/>
  <c r="O56" i="68"/>
  <c r="O58" i="68"/>
  <c r="O84" i="68"/>
  <c r="I43" i="68"/>
  <c r="I73" i="68"/>
  <c r="K77" i="68"/>
  <c r="M77" i="68" s="1"/>
  <c r="I64" i="68"/>
  <c r="J64" i="68" s="1"/>
  <c r="L64" i="68" s="1"/>
  <c r="H82" i="68"/>
  <c r="I82" i="68"/>
  <c r="H164" i="65" l="1"/>
  <c r="G102" i="69"/>
  <c r="F103" i="69" s="1"/>
  <c r="I39" i="65"/>
  <c r="C20" i="57" s="1"/>
  <c r="O67" i="68"/>
  <c r="O76" i="68"/>
  <c r="J60" i="68"/>
  <c r="L60" i="68" s="1"/>
  <c r="O60" i="68" s="1"/>
  <c r="J44" i="68"/>
  <c r="L44" i="68" s="1"/>
  <c r="O44" i="68" s="1"/>
  <c r="O65" i="68"/>
  <c r="J73" i="68"/>
  <c r="L73" i="68" s="1"/>
  <c r="O73" i="68" s="1"/>
  <c r="I42" i="16"/>
  <c r="C10" i="57" s="1"/>
  <c r="C23" i="57"/>
  <c r="O64" i="68"/>
  <c r="J48" i="68"/>
  <c r="L48" i="68" s="1"/>
  <c r="O48" i="68" s="1"/>
  <c r="G81" i="16"/>
  <c r="C24" i="57"/>
  <c r="F164" i="65"/>
  <c r="G164" i="65"/>
  <c r="J80" i="68"/>
  <c r="L80" i="68" s="1"/>
  <c r="O80" i="68" s="1"/>
  <c r="N99" i="68"/>
  <c r="J32" i="68"/>
  <c r="L32" i="68" s="1"/>
  <c r="O68" i="68"/>
  <c r="O79" i="68"/>
  <c r="O45" i="68"/>
  <c r="I39" i="68"/>
  <c r="N28" i="68"/>
  <c r="O66" i="68"/>
  <c r="E99" i="68"/>
  <c r="M39" i="68"/>
  <c r="K39" i="68"/>
  <c r="J80" i="69"/>
  <c r="J102" i="69" s="1"/>
  <c r="O38" i="68"/>
  <c r="J74" i="68"/>
  <c r="L74" i="68" s="1"/>
  <c r="O74" i="68" s="1"/>
  <c r="O27" i="68"/>
  <c r="O70" i="68"/>
  <c r="O77" i="68"/>
  <c r="J72" i="68"/>
  <c r="L72" i="68" s="1"/>
  <c r="O72" i="68" s="1"/>
  <c r="K85" i="68"/>
  <c r="O51" i="68"/>
  <c r="J11" i="68"/>
  <c r="L11" i="68" s="1"/>
  <c r="L13" i="68" s="1"/>
  <c r="L28" i="68" s="1"/>
  <c r="H95" i="68"/>
  <c r="J83" i="68"/>
  <c r="L83" i="68" s="1"/>
  <c r="O83" i="68" s="1"/>
  <c r="K13" i="68"/>
  <c r="K28" i="68" s="1"/>
  <c r="M11" i="68"/>
  <c r="M13" i="68" s="1"/>
  <c r="M28" i="68" s="1"/>
  <c r="I20" i="16"/>
  <c r="C8" i="57" s="1"/>
  <c r="G99" i="68"/>
  <c r="M85" i="68"/>
  <c r="L95" i="68"/>
  <c r="O87" i="68"/>
  <c r="O95" i="68" s="1"/>
  <c r="H85" i="68"/>
  <c r="J39" i="68"/>
  <c r="J82" i="68"/>
  <c r="L82" i="68" s="1"/>
  <c r="O82" i="68" s="1"/>
  <c r="I85" i="68"/>
  <c r="J43" i="68"/>
  <c r="J95" i="68"/>
  <c r="F105" i="69" l="1"/>
  <c r="F104" i="69"/>
  <c r="I81" i="16"/>
  <c r="I99" i="68"/>
  <c r="H17" i="20"/>
  <c r="H99" i="68"/>
  <c r="M99" i="68"/>
  <c r="C14" i="57"/>
  <c r="C15" i="57" s="1"/>
  <c r="K99" i="68"/>
  <c r="J13" i="68"/>
  <c r="J28" i="68" s="1"/>
  <c r="O11" i="68"/>
  <c r="O13" i="68" s="1"/>
  <c r="O28" i="68" s="1"/>
  <c r="L39" i="68"/>
  <c r="O32" i="68"/>
  <c r="O39" i="68" s="1"/>
  <c r="L43" i="68"/>
  <c r="J85" i="68"/>
  <c r="F106" i="69" l="1"/>
  <c r="H19" i="12"/>
  <c r="H74" i="20"/>
  <c r="J76" i="20"/>
  <c r="D25" i="65"/>
  <c r="J99" i="68"/>
  <c r="O43" i="68"/>
  <c r="O85" i="68" s="1"/>
  <c r="O99" i="68" s="1"/>
  <c r="L85" i="68"/>
  <c r="L99" i="68" s="1"/>
  <c r="J78" i="20" l="1"/>
  <c r="K78" i="20" s="1"/>
  <c r="J88" i="12"/>
  <c r="C25" i="65"/>
  <c r="I25" i="65" s="1"/>
  <c r="I24" i="65" s="1"/>
  <c r="H86" i="12"/>
  <c r="J90" i="12" s="1"/>
  <c r="D24" i="65"/>
  <c r="D9" i="65" s="1"/>
  <c r="H191" i="20"/>
  <c r="C24" i="65"/>
  <c r="C9" i="65" s="1"/>
  <c r="C164" i="65" s="1"/>
  <c r="I9" i="65" l="1"/>
  <c r="I164" i="65" s="1"/>
  <c r="D164" i="65"/>
  <c r="F77" i="16"/>
  <c r="C19" i="57" l="1"/>
  <c r="C25" i="57" s="1"/>
  <c r="H68" i="91" l="1"/>
  <c r="I68" i="91" s="1"/>
  <c r="I69" i="91" s="1"/>
  <c r="I74" i="91" s="1"/>
  <c r="I151" i="91" s="1"/>
  <c r="I152" i="91" s="1"/>
  <c r="G152" i="9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6" authorId="0" shapeId="0" xr:uid="{16F9C222-D683-469D-8E69-C375766CE399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ESTE SALDO ESTA CONFORMADO POR 5% FIESTAS PATRONALES, CTA CTE FONDO COMUN, FC. AGRICOLA, FIESTAS COPATRONALES, Y CUENTA PROTECCION ANIMAL QUE SON F. COMUN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13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PARA GASTOS DE INSTRUMENTOS MUSICALES 50% ESTIMACION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  <author>CONTABILIDAD</author>
  </authors>
  <commentList>
    <comment ref="I10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J10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K10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P10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V10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W10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X10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Y10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Z10" authorId="0" shapeId="0" xr:uid="{00000000-0006-0000-0600-00000D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AB10" authorId="0" shapeId="0" xr:uid="{00000000-0006-0000-0600-00000E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AC10" authorId="0" shapeId="0" xr:uid="{00000000-0006-0000-0600-00000F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AD10" authorId="0" shapeId="0" xr:uid="{00000000-0006-0000-0600-000010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AE10" authorId="0" shapeId="0" xr:uid="{00000000-0006-0000-0600-000011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AG10" authorId="0" shapeId="0" xr:uid="{00000000-0006-0000-0600-000012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AH10" authorId="0" shapeId="0" xr:uid="{00000000-0006-0000-0600-000013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H12" authorId="0" shapeId="0" xr:uid="{00000000-0006-0000-0600-000015000000}">
      <text>
        <r>
          <rPr>
            <sz val="9"/>
            <color indexed="81"/>
            <rFont val="Tahoma"/>
            <family val="2"/>
          </rPr>
          <t xml:space="preserve">
SE CONSIDERA 4 MESES DE DIETAS FONDO COMUN</t>
        </r>
      </text>
    </comment>
    <comment ref="I12" authorId="0" shapeId="0" xr:uid="{00000000-0006-0000-0600-000016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J12" authorId="0" shapeId="0" xr:uid="{00000000-0006-0000-0600-000017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K12" authorId="0" shapeId="0" xr:uid="{00000000-0006-0000-0600-000018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P12" authorId="0" shapeId="0" xr:uid="{00000000-0006-0000-0600-000019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V12" authorId="0" shapeId="0" xr:uid="{00000000-0006-0000-0600-00001D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W12" authorId="0" shapeId="0" xr:uid="{00000000-0006-0000-0600-00001E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X12" authorId="0" shapeId="0" xr:uid="{00000000-0006-0000-0600-00001F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Y12" authorId="0" shapeId="0" xr:uid="{00000000-0006-0000-0600-000020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Z12" authorId="0" shapeId="0" xr:uid="{00000000-0006-0000-0600-000021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AB12" authorId="0" shapeId="0" xr:uid="{00000000-0006-0000-0600-000022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AC12" authorId="0" shapeId="0" xr:uid="{00000000-0006-0000-0600-000023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AD12" authorId="0" shapeId="0" xr:uid="{00000000-0006-0000-0600-000024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AE12" authorId="0" shapeId="0" xr:uid="{00000000-0006-0000-0600-000025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AG12" authorId="0" shapeId="0" xr:uid="{00000000-0006-0000-0600-000026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AH12" authorId="0" shapeId="0" xr:uid="{00000000-0006-0000-0600-000027000000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I13" authorId="1" shapeId="0" xr:uid="{00000000-0006-0000-0600-000029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J13" authorId="1" shapeId="0" xr:uid="{00000000-0006-0000-0600-00002A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K13" authorId="1" shapeId="0" xr:uid="{00000000-0006-0000-0600-00002B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P13" authorId="1" shapeId="0" xr:uid="{00000000-0006-0000-0600-00002C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V13" authorId="1" shapeId="0" xr:uid="{00000000-0006-0000-0600-000030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W13" authorId="1" shapeId="0" xr:uid="{00000000-0006-0000-0600-00003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X13" authorId="1" shapeId="0" xr:uid="{00000000-0006-0000-0600-00003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Y13" authorId="1" shapeId="0" xr:uid="{00000000-0006-0000-0600-000033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Z13" authorId="1" shapeId="0" xr:uid="{00000000-0006-0000-0600-000034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AB13" authorId="1" shapeId="0" xr:uid="{00000000-0006-0000-0600-000035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AC13" authorId="1" shapeId="0" xr:uid="{00000000-0006-0000-0600-000036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AD13" authorId="1" shapeId="0" xr:uid="{00000000-0006-0000-0600-000037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AE13" authorId="1" shapeId="0" xr:uid="{00000000-0006-0000-0600-000038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AG13" authorId="1" shapeId="0" xr:uid="{00000000-0006-0000-0600-000039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  <comment ref="AH13" authorId="1" shapeId="0" xr:uid="{00000000-0006-0000-0600-00003A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se adiciona parte de bonificac.para señores concejales de dic-22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H174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para el año 2022, se  traera como gasto ya no como proy. Por eso de cambia  el cod.presup.
</t>
        </r>
      </text>
    </comment>
    <comment ref="I174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para el año 2022, se  traera como gasto ya no como proy. Por eso de cambia  el cod.presup.
</t>
        </r>
      </text>
    </comment>
    <comment ref="Q174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para el año 2022, se  traera como gasto ya no como proy. Por eso de cambia  el cod.presup.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10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planilla de salario por 3 meses de enero a marzo</t>
        </r>
      </text>
    </comment>
    <comment ref="H12" authorId="0" shapeId="0" xr:uid="{00000000-0006-0000-0800-000002000000}">
      <text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dell</author>
  </authors>
  <commentList>
    <comment ref="G21" authorId="0" shapeId="0" xr:uid="{00000000-0006-0000-1600-000001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PRESTAMO</t>
        </r>
      </text>
    </comment>
    <comment ref="D41" authorId="1" shapeId="0" xr:uid="{E64D29C1-5CC4-4878-9D28-9173FEE003B9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PREGUNTAR A LA COMISION SI SE DEJARA OTRO MONTO PARA AUXILIAR DE REF
</t>
        </r>
      </text>
    </comment>
    <comment ref="D59" authorId="1" shapeId="0" xr:uid="{16F2EFE5-0367-4844-AFFE-712A5C9615D8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PONERNOS DE ACUERDO EN LA COMISION SI QUITARLO O BAJARLE MONTO</t>
        </r>
      </text>
    </comment>
    <comment ref="G74" authorId="0" shapeId="0" xr:uid="{00000000-0006-0000-1600-000002000000}">
      <text/>
    </comment>
    <comment ref="G75" authorId="0" shapeId="0" xr:uid="{DF7056C2-569A-4186-B182-4C23D369C5E8}">
      <text/>
    </comment>
  </commentList>
</comments>
</file>

<file path=xl/sharedStrings.xml><?xml version="1.0" encoding="utf-8"?>
<sst xmlns="http://schemas.openxmlformats.org/spreadsheetml/2006/main" count="3643" uniqueCount="1193">
  <si>
    <t>ESTRUCTURA PRESUPUESTARIA</t>
  </si>
  <si>
    <t>1. ESTRUCTURA PRESUPUESTARIA APROBADA</t>
  </si>
  <si>
    <t>1. BASE DE GENERACION DE AVISOS DE CONTRIBUYENTES</t>
  </si>
  <si>
    <t>2. HISTORIAL DE RECUPERACION DE MOROSIDAD</t>
  </si>
  <si>
    <t>2. NOMINA DE SALARIOS</t>
  </si>
  <si>
    <t>3. PLAN DE COMPRAS (BIENES Y SERVICIOS)</t>
  </si>
  <si>
    <t>(En Dolares de los Estados Unidos de America)</t>
  </si>
  <si>
    <t>(En Dolares de los Estados Unidos de América)</t>
  </si>
  <si>
    <t>INSUMOS BASICOS:</t>
  </si>
  <si>
    <t>PRESUPUESTO MUNICIPAL DE FUNCIONAMIENTO POR ESTRUCTURA PRESUPUESTARIA</t>
  </si>
  <si>
    <t>DETALLE CONSOLIDADO DE INGRESOS POR ESPECIFICO Y FUENTE DE FINANCIAMIENTO</t>
  </si>
  <si>
    <t>11801</t>
  </si>
  <si>
    <t>De Comercio</t>
  </si>
  <si>
    <t>11802</t>
  </si>
  <si>
    <t>De Industria</t>
  </si>
  <si>
    <t>11804</t>
  </si>
  <si>
    <t>De Servicios</t>
  </si>
  <si>
    <t>12109</t>
  </si>
  <si>
    <t>Aseo Público</t>
  </si>
  <si>
    <t>Alumbrado Público</t>
  </si>
  <si>
    <t>12211</t>
  </si>
  <si>
    <t>Cotejo de Fierros</t>
  </si>
  <si>
    <t>14299</t>
  </si>
  <si>
    <t>Servicios Diversos</t>
  </si>
  <si>
    <t>15301</t>
  </si>
  <si>
    <t>Multa por Mora de Impuestos</t>
  </si>
  <si>
    <t>Intereses por Mora de Impuestos</t>
  </si>
  <si>
    <t>15302</t>
  </si>
  <si>
    <t>22201</t>
  </si>
  <si>
    <t>51101</t>
  </si>
  <si>
    <t>Sueldos</t>
  </si>
  <si>
    <t>Aguinaldos</t>
  </si>
  <si>
    <t>Por Remuneraciones Permanentes</t>
  </si>
  <si>
    <t>Productos Alimenticios para Personas</t>
  </si>
  <si>
    <t>Productos de papel y Carton</t>
  </si>
  <si>
    <t>Combustibles y Lubricantes</t>
  </si>
  <si>
    <t>Materiales de Oficina</t>
  </si>
  <si>
    <t>Servicios de Energia Electrica</t>
  </si>
  <si>
    <t>Servicios de Agua</t>
  </si>
  <si>
    <t>Servicios de Telecomunicaciones</t>
  </si>
  <si>
    <t>Miner. Metalicos y Prod. Der.</t>
  </si>
  <si>
    <t>Miner. No Metalicos y Prod. Der.</t>
  </si>
  <si>
    <t>Mant. Y Repar. De Vehiculos</t>
  </si>
  <si>
    <t>01</t>
  </si>
  <si>
    <t>2</t>
  </si>
  <si>
    <t>1</t>
  </si>
  <si>
    <t>03</t>
  </si>
  <si>
    <t>FUENTE O SUBFUENTE DE FINANCIAMIENTO: Recursos Propios</t>
  </si>
  <si>
    <t>000</t>
  </si>
  <si>
    <t>Vialidades</t>
  </si>
  <si>
    <t>12111</t>
  </si>
  <si>
    <t>Cementerios Municipales</t>
  </si>
  <si>
    <t>12114</t>
  </si>
  <si>
    <t>12117</t>
  </si>
  <si>
    <t>Pavimentacion</t>
  </si>
  <si>
    <t>12118</t>
  </si>
  <si>
    <t>Postes, Torres y Antenas</t>
  </si>
  <si>
    <t>12119</t>
  </si>
  <si>
    <t>Rastro y Tiangue</t>
  </si>
  <si>
    <t>15703</t>
  </si>
  <si>
    <t>15799</t>
  </si>
  <si>
    <t>Ingresos Diversos</t>
  </si>
  <si>
    <t>Dietas</t>
  </si>
  <si>
    <t>Transportes, Fletes y mantenimientos</t>
  </si>
  <si>
    <t>Servicios de Publicidad</t>
  </si>
  <si>
    <t>Impresiones, publicaciones y reproducciones</t>
  </si>
  <si>
    <t>Servicios Juridicos</t>
  </si>
  <si>
    <t>Materiales Informaticos</t>
  </si>
  <si>
    <t>Atenciones oficiales</t>
  </si>
  <si>
    <t>Especies Municipales Diversas</t>
  </si>
  <si>
    <t>Atenciones Oficiales</t>
  </si>
  <si>
    <t>Servicios de Contabilidad y Auditoria</t>
  </si>
  <si>
    <t>Derechos</t>
  </si>
  <si>
    <t>Comisiones y Gastos bancarios</t>
  </si>
  <si>
    <t>Multas y costas judiciales</t>
  </si>
  <si>
    <t>Transportes Fletes y almacenamientos</t>
  </si>
  <si>
    <t>32102</t>
  </si>
  <si>
    <t>0101</t>
  </si>
  <si>
    <t>Materiales Electricos</t>
  </si>
  <si>
    <t>11899</t>
  </si>
  <si>
    <t>15314</t>
  </si>
  <si>
    <t>Otras multas municipales</t>
  </si>
  <si>
    <t>Primas y gastos de seguro de personas</t>
  </si>
  <si>
    <t>06</t>
  </si>
  <si>
    <t>0302</t>
  </si>
  <si>
    <t>CONCEPTO</t>
  </si>
  <si>
    <t>12210</t>
  </si>
  <si>
    <t>Bienes de consumo diverso</t>
  </si>
  <si>
    <t xml:space="preserve"> Objeto Específico</t>
  </si>
  <si>
    <t>DENOMINACION</t>
  </si>
  <si>
    <t>Fondos Propios</t>
  </si>
  <si>
    <t xml:space="preserve"> T O T A L  </t>
  </si>
  <si>
    <t>11817</t>
  </si>
  <si>
    <t>Vallas Publicitarias</t>
  </si>
  <si>
    <t>Impuestos Municipales Diversos</t>
  </si>
  <si>
    <t>12115</t>
  </si>
  <si>
    <t>Mercados</t>
  </si>
  <si>
    <t>Permisos y Licencias Municipales</t>
  </si>
  <si>
    <t>12299</t>
  </si>
  <si>
    <t>Derechos Diversos</t>
  </si>
  <si>
    <t>14201</t>
  </si>
  <si>
    <t>Servicios Básicos</t>
  </si>
  <si>
    <t>De Empresas Públicas Financieras</t>
  </si>
  <si>
    <t>Linea de Trabajo</t>
  </si>
  <si>
    <t>AREA DE GESTIÓN</t>
  </si>
  <si>
    <t>1 - CONDUCCION ADMINISTRATIVA</t>
  </si>
  <si>
    <t>3 - DESARROLLO SOCIAL</t>
  </si>
  <si>
    <t>RUBRO DE AGRUPACION</t>
  </si>
  <si>
    <t>MONTO PRESUPUESTADO</t>
  </si>
  <si>
    <t>IMPUESTOS</t>
  </si>
  <si>
    <t>TASAS Y DERECHOS</t>
  </si>
  <si>
    <t>VENTA DE BIENES Y SERVICIOS</t>
  </si>
  <si>
    <t>INGRESOS FINANCIEROS Y OTROS</t>
  </si>
  <si>
    <t>TRANSFERENCIAS CORRIENTES</t>
  </si>
  <si>
    <t>PRESUPUESTO DE INGRESOS</t>
  </si>
  <si>
    <t>TOTAL INGRESOS</t>
  </si>
  <si>
    <t>TOTAL EGRESOS</t>
  </si>
  <si>
    <t>PRESUPUESTO DE EGRESOS</t>
  </si>
  <si>
    <t>REMUNERACIONES</t>
  </si>
  <si>
    <t>ADQUISICION DE BIENES Y SERVICIOS</t>
  </si>
  <si>
    <t>GASTOS FINANCIEROS Y OTROS</t>
  </si>
  <si>
    <t>31304</t>
  </si>
  <si>
    <t xml:space="preserve"> Area de Gestión</t>
  </si>
  <si>
    <t xml:space="preserve"> Unidd Presupuestaria</t>
  </si>
  <si>
    <t xml:space="preserve"> Fuente de Financiamiento</t>
  </si>
  <si>
    <t xml:space="preserve"> Subfuente de Financiamiento</t>
  </si>
  <si>
    <t>Objeto Específico</t>
  </si>
  <si>
    <t>Fuente de Financiamiento</t>
  </si>
  <si>
    <t xml:space="preserve"> DENOMINACIÓN</t>
  </si>
  <si>
    <t xml:space="preserve"> MONTO</t>
  </si>
  <si>
    <t>Subfuente de Financiamiento</t>
  </si>
  <si>
    <t>Unidd Presupuestaria</t>
  </si>
  <si>
    <t>Salarios por Jornal</t>
  </si>
  <si>
    <t>Productos Textiles y Vestuarios</t>
  </si>
  <si>
    <t>Productos de cuero y Caucho</t>
  </si>
  <si>
    <t>Productos Quimicos</t>
  </si>
  <si>
    <t>Llantas y Neumaticos</t>
  </si>
  <si>
    <t>Minerales no Metalicos y Prod. Derivados</t>
  </si>
  <si>
    <t>Minerales Metalicos y Prod. Derivados</t>
  </si>
  <si>
    <t>Herramientas, Rep. y Accesorios</t>
  </si>
  <si>
    <t>Bienes de Uso y Consumo Diversos</t>
  </si>
  <si>
    <t>Mant.  Reparaciones de Bienes Muebles</t>
  </si>
  <si>
    <t>Mant. Reparaciones de Vehiculos</t>
  </si>
  <si>
    <t>Mant. Reparaciones de Bienes Inmuebles</t>
  </si>
  <si>
    <t>Servicios de Alimentación</t>
  </si>
  <si>
    <t>Comisiones y Gastos Bancarios</t>
  </si>
  <si>
    <t>Multas y Costas Procesales</t>
  </si>
  <si>
    <t>Bienes Muebles Diversos</t>
  </si>
  <si>
    <t>Mobiliarios</t>
  </si>
  <si>
    <t>Remuneraciones Diversas</t>
  </si>
  <si>
    <t>51202</t>
  </si>
  <si>
    <t>FPRESUPUESTO MUNICIPAL DE EGRESOS</t>
  </si>
  <si>
    <t>PRESUPUESTO MUNICIPAL DE EGRESOS</t>
  </si>
  <si>
    <t>PRESUPUESTO MUNICIPAL DE INVERSION POR ESTRUCTURA PRESUPUESTARIA</t>
  </si>
  <si>
    <t>Productos Agropecuarios y Forestales</t>
  </si>
  <si>
    <t>Productos de Cuero y Caucho</t>
  </si>
  <si>
    <t>Impresiones, Publicaciones y Reproducc.</t>
  </si>
  <si>
    <t>Arrendamiento de Bienes Muebles</t>
  </si>
  <si>
    <t>Servicios Generales y Arrendamientos Diversos</t>
  </si>
  <si>
    <t>Estudios e Investigaciones</t>
  </si>
  <si>
    <t>Consultorias, Estudios e Investigaciones</t>
  </si>
  <si>
    <t>Deposito de Desechos</t>
  </si>
  <si>
    <t>Moviliarios</t>
  </si>
  <si>
    <t>Maquinarias y Equipos</t>
  </si>
  <si>
    <t>Proy. Programas de Inversión Div.</t>
  </si>
  <si>
    <t>Viales</t>
  </si>
  <si>
    <t>De Producción de Bienes y Servicios</t>
  </si>
  <si>
    <t>Supervisión de Infraestructura</t>
  </si>
  <si>
    <t>Obras de Infraestrutura Diversas</t>
  </si>
  <si>
    <t>TOTAL GASTOS 0302</t>
  </si>
  <si>
    <t>FUENTE O SUBFUENTE DE FINANCIAMIENTO: FISDL/PFGL</t>
  </si>
  <si>
    <t>112</t>
  </si>
  <si>
    <t>32101</t>
  </si>
  <si>
    <t>Saldo inicial en Caja</t>
  </si>
  <si>
    <t>Servicios de Energía elctrica</t>
  </si>
  <si>
    <t>32201</t>
  </si>
  <si>
    <t>31308</t>
  </si>
  <si>
    <t>De Empresas Privadas Financieras</t>
  </si>
  <si>
    <t>Saldo Inicial en Bancos</t>
  </si>
  <si>
    <t>Por Serv. Certific. Visado de Docum.</t>
  </si>
  <si>
    <t>Por Expedic. Documentos de Identif.</t>
  </si>
  <si>
    <t>Viaticos por comisión Interna</t>
  </si>
  <si>
    <t>A Personas Naturales</t>
  </si>
  <si>
    <t>Herramientas, Repuestos y Acces.</t>
  </si>
  <si>
    <t>Mtto. Reparación de Bienes</t>
  </si>
  <si>
    <t>Mtto. Reparación de Vehiculos</t>
  </si>
  <si>
    <t>Mtto. Reparación de Bienes Muebles</t>
  </si>
  <si>
    <t>Pasajes y Víaticos</t>
  </si>
  <si>
    <t>Bienes de Uso y Consumo Diverso</t>
  </si>
  <si>
    <t>Gastos Diversos</t>
  </si>
  <si>
    <t>PRESUPUESTO DE EGRESOS DE INVERSIÓN</t>
  </si>
  <si>
    <t>02</t>
  </si>
  <si>
    <t>SERVICIOS MUNICIPALES</t>
  </si>
  <si>
    <t>0201</t>
  </si>
  <si>
    <t>Multa por Registro Civil</t>
  </si>
  <si>
    <t>Productos Farmaceuticos y Medicinales</t>
  </si>
  <si>
    <t>Libros, Textos, útiles de enseñanza y Public.</t>
  </si>
  <si>
    <t>Sevicios de Correos</t>
  </si>
  <si>
    <t>Servicios de Limpieza y Fumigaciones</t>
  </si>
  <si>
    <t>Pasajes al Interior</t>
  </si>
  <si>
    <t>Pasajes al Exterior</t>
  </si>
  <si>
    <t>Servicios de Contabilidad y auditoría</t>
  </si>
  <si>
    <t>Consultorias, estudios e Investigaciones Div.</t>
  </si>
  <si>
    <t>Primas y Gastos de Seguros de Bienes</t>
  </si>
  <si>
    <t xml:space="preserve"> TOTAL GASTOS FONDOS PROPIOS</t>
  </si>
  <si>
    <t>Libros, textos, Utiles de Enseñanza y Publica.</t>
  </si>
  <si>
    <t>Servicios de Correos</t>
  </si>
  <si>
    <t>Desarrollos Informáticos</t>
  </si>
  <si>
    <t>Consultorias, estudios e investigaciones div.</t>
  </si>
  <si>
    <t>Primas y Gastos de seguros de bienes</t>
  </si>
  <si>
    <t>A organismos sin fines de lucro</t>
  </si>
  <si>
    <t>Mobiliario</t>
  </si>
  <si>
    <t>Equipo Informático</t>
  </si>
  <si>
    <t>cuentas por Pagar de años anteriores</t>
  </si>
  <si>
    <t>Proyectos de Construcción</t>
  </si>
  <si>
    <t>Proyectos de Ampliación</t>
  </si>
  <si>
    <t>Programas de Inversión Social</t>
  </si>
  <si>
    <t>De Salud y Saneamiento Ambiental</t>
  </si>
  <si>
    <t>Educación y Recreación</t>
  </si>
  <si>
    <t>De vivienda y oficinas</t>
  </si>
  <si>
    <t>Electricas y Comunicaciones</t>
  </si>
  <si>
    <t>Nº</t>
  </si>
  <si>
    <t>APORTE PATRONAL</t>
  </si>
  <si>
    <t>TOTAL</t>
  </si>
  <si>
    <t>MENSUAL</t>
  </si>
  <si>
    <t>ANUAL</t>
  </si>
  <si>
    <t>LINEA DE TRABAJO</t>
  </si>
  <si>
    <t>CARGO O PUESTO</t>
  </si>
  <si>
    <t>Tercer Regidor Suplente</t>
  </si>
  <si>
    <t>ISSS 7,5%</t>
  </si>
  <si>
    <t>Impuestos</t>
  </si>
  <si>
    <t>Impuestos Municipales</t>
  </si>
  <si>
    <t>Tasas y Derechos</t>
  </si>
  <si>
    <t>Tasas</t>
  </si>
  <si>
    <t>Venta de Bienes y Servicios</t>
  </si>
  <si>
    <t>Venta de Bienes</t>
  </si>
  <si>
    <t>Ingresos Financieros y Otros</t>
  </si>
  <si>
    <t>Multas e intereses por Mora</t>
  </si>
  <si>
    <t>Otros Ingresos no Clasificados</t>
  </si>
  <si>
    <t>Transferencias Corrientes</t>
  </si>
  <si>
    <t>Transferencias de Capital</t>
  </si>
  <si>
    <t>Transf. De Capital al Sector Público</t>
  </si>
  <si>
    <t>Endeudamiento Público</t>
  </si>
  <si>
    <t>Saldos de Años Anteriores</t>
  </si>
  <si>
    <t>Saldos iniciales de Caja y bancos</t>
  </si>
  <si>
    <t>Rendimiento de Títulos Valores</t>
  </si>
  <si>
    <t>Otras Rentabiliddes Financieras</t>
  </si>
  <si>
    <t>Multas e Intereses Diversos</t>
  </si>
  <si>
    <t>Transf. Corrientes al Sect. Pubico</t>
  </si>
  <si>
    <t>DIETAS</t>
  </si>
  <si>
    <t>APORTACION PATRONAL</t>
  </si>
  <si>
    <t>INSAFOR</t>
  </si>
  <si>
    <t>Remuneraciones</t>
  </si>
  <si>
    <t>Remuneraciones Permanentes</t>
  </si>
  <si>
    <t>Remuneraciones Eventuales</t>
  </si>
  <si>
    <t>Adquisiciones de Bienes y Servicios</t>
  </si>
  <si>
    <t>Bienes de uso y Consumo</t>
  </si>
  <si>
    <t>Minerales  Metalicos y Prod. Deriv.</t>
  </si>
  <si>
    <t>Minerales no Metalicos y Prod. Deriv.</t>
  </si>
  <si>
    <t>Especies Municipales</t>
  </si>
  <si>
    <t>Bienes de Uso y Consumo Div.</t>
  </si>
  <si>
    <t>Servicios Basicos</t>
  </si>
  <si>
    <t>Alumbrado Publico</t>
  </si>
  <si>
    <t>Mtto. y Repa. De Bienes Muebles</t>
  </si>
  <si>
    <t>Mtto. y Repa. De Vehiculos</t>
  </si>
  <si>
    <t>Mtto. y Repa. De Bienes Inmuebles</t>
  </si>
  <si>
    <t>Transportes, Fletes y Almacenamiento</t>
  </si>
  <si>
    <t>Serv. De Limpieza y Fumigaciones</t>
  </si>
  <si>
    <t>Servicios Educativos</t>
  </si>
  <si>
    <t>Impresiones, Publicac. Y Reproducc.</t>
  </si>
  <si>
    <t>Arrendamiento de Bienes Inmuebles</t>
  </si>
  <si>
    <t>Ser. Grales. Y Arrend. Diversos</t>
  </si>
  <si>
    <t>Pasajes y Viaticos</t>
  </si>
  <si>
    <t>Viaticos por Comision interna</t>
  </si>
  <si>
    <t>Consultoria, Estudios e Investigaciones</t>
  </si>
  <si>
    <t>Serv. Del medio Ambiente y Rec. Nat.</t>
  </si>
  <si>
    <t>Servicios de Capacitacion</t>
  </si>
  <si>
    <t>Desarrollos Informaticos</t>
  </si>
  <si>
    <t>Tratamiento de Desechos</t>
  </si>
  <si>
    <t>Recolección de Desechos</t>
  </si>
  <si>
    <t>A Organismos sin fines de Lucro</t>
  </si>
  <si>
    <t>Inversiones e Activos Fijos</t>
  </si>
  <si>
    <t>Bienes Muebles</t>
  </si>
  <si>
    <t>Equipos Informaticos</t>
  </si>
  <si>
    <t>Estudios de Pre-Inversion</t>
  </si>
  <si>
    <t>Proyectos y Ampliaciones</t>
  </si>
  <si>
    <t>Programas de Inversion Social</t>
  </si>
  <si>
    <t>Proy. Y Prog. de Inversion Diversos</t>
  </si>
  <si>
    <t>Infraestructura</t>
  </si>
  <si>
    <t>De Produccion de Bienes y Servicios</t>
  </si>
  <si>
    <t>Supervision de Infraestructura</t>
  </si>
  <si>
    <t>A Organismos sin Fines de Lucro</t>
  </si>
  <si>
    <t>De Educacion y Recreación</t>
  </si>
  <si>
    <t>Seguros, Com. y Gastos Bancarios</t>
  </si>
  <si>
    <t>Transferencias Ctes. al Sector Privado</t>
  </si>
  <si>
    <t>Transf. de Capital al Sect. Privado</t>
  </si>
  <si>
    <t>Transf. Corrientes al Sector Publico</t>
  </si>
  <si>
    <t>Contribuciones Patron.Inst. de Seg. Pub.</t>
  </si>
  <si>
    <t>Contribuciones Patron.Inst. de Seg. Priv.</t>
  </si>
  <si>
    <t>AGUINALDOS</t>
  </si>
  <si>
    <t xml:space="preserve">Fiestas </t>
  </si>
  <si>
    <t>Gastos de Representación</t>
  </si>
  <si>
    <t>Primas y Gastos de Seguros de Personas</t>
  </si>
  <si>
    <t>Otros Gastos no Clasificados</t>
  </si>
  <si>
    <t>Maquinaria y Equipo</t>
  </si>
  <si>
    <t>Serv. Generales y Arrend. Div.</t>
  </si>
  <si>
    <t>Gastos Financieros y Otros</t>
  </si>
  <si>
    <t>DETALLE CONSOLIDADO DE EGRESOS POR ESPECIFICO Y FUENTE DE FINANCIAMIENTO</t>
  </si>
  <si>
    <t>Por Prestación de Servicios en el Exterior</t>
  </si>
  <si>
    <t>Servicios Generales y Arrendamientos div</t>
  </si>
  <si>
    <t>Serv. Del Medio Ambiente y Rec. Naturales</t>
  </si>
  <si>
    <t>Equipos Informáticos</t>
  </si>
  <si>
    <t>Llantas y Neumáticos</t>
  </si>
  <si>
    <t>DIRECCION SUPERIOR</t>
  </si>
  <si>
    <t>SERVICIOS MUNICIPALES DIVERSOS</t>
  </si>
  <si>
    <t xml:space="preserve">Servicios de Capacitacion </t>
  </si>
  <si>
    <t>Jornales</t>
  </si>
  <si>
    <t>Servicios Generales y Arrenda. Div.</t>
  </si>
  <si>
    <t>Herramientas, Repuestos y Accesorios</t>
  </si>
  <si>
    <t>Terrenos</t>
  </si>
  <si>
    <t>Productos de Papel y Carton</t>
  </si>
  <si>
    <t>productos de cuero y caucho</t>
  </si>
  <si>
    <t>Productos Farmaceuticos y medicinales</t>
  </si>
  <si>
    <t>Libros, textos y utiles de ensenanza</t>
  </si>
  <si>
    <t>A personas naturales</t>
  </si>
  <si>
    <t>0102</t>
  </si>
  <si>
    <t xml:space="preserve">PROYECTOS Y PROGRAMAS DE DESARROLLO SOCIAL </t>
  </si>
  <si>
    <t>ALCALDIA MUNICIPAL DE SAN PEDRO PERULAPAN</t>
  </si>
  <si>
    <t>EJERCICIO 2020</t>
  </si>
  <si>
    <t>PRESUPUESTO DE SALARIOS PARA EL EJERCICIO 2020</t>
  </si>
  <si>
    <t>FONDOS PROPIOS</t>
  </si>
  <si>
    <t>FONDOS FISDL</t>
  </si>
  <si>
    <t>AFP 7,25%</t>
  </si>
  <si>
    <t>ISSS 7,75%</t>
  </si>
  <si>
    <t>DEPARTAMENTO DE  CUSCATLAN</t>
  </si>
  <si>
    <t>DEPARTAMENTO DE CUSCATLAN</t>
  </si>
  <si>
    <t>Segundo Regidor Propietario</t>
  </si>
  <si>
    <t>Tercer Regidor Propietario</t>
  </si>
  <si>
    <t>Cuarto Regidor Propietario</t>
  </si>
  <si>
    <t>Quinto Regidor Propietario</t>
  </si>
  <si>
    <t>Sexto Regidor Propietario</t>
  </si>
  <si>
    <t>ISSS 7.5%</t>
  </si>
  <si>
    <t>INSAFORP</t>
  </si>
  <si>
    <t>AFP 7.75%</t>
  </si>
  <si>
    <t>FISDL</t>
  </si>
  <si>
    <t>DIRECCION Y ADMINISTRACION MUNICIPAL</t>
  </si>
  <si>
    <t>04</t>
  </si>
  <si>
    <t>Transporte</t>
  </si>
  <si>
    <t>Multas al Comercio</t>
  </si>
  <si>
    <t>Rentabilidad de cuentas Bancarias</t>
  </si>
  <si>
    <t>BONOS</t>
  </si>
  <si>
    <t>0303</t>
  </si>
  <si>
    <t>OSWALD SIBRIAN MIRANDA</t>
  </si>
  <si>
    <t xml:space="preserve">ALCALDE MUNICIPAL </t>
  </si>
  <si>
    <t xml:space="preserve">DIANA </t>
  </si>
  <si>
    <t>SECRETARIA DESPACHO ALCALDE</t>
  </si>
  <si>
    <t xml:space="preserve">OSCAR ARMANDO JOAQUIN RIVAS </t>
  </si>
  <si>
    <t xml:space="preserve">SINDICO MUNICIPAL </t>
  </si>
  <si>
    <t xml:space="preserve">MARIA JULIANA ESCOBAR MONTALVO </t>
  </si>
  <si>
    <t xml:space="preserve">SECRETARIA MUNICIPAL </t>
  </si>
  <si>
    <t xml:space="preserve">NELSON ADAN MARTINEZ </t>
  </si>
  <si>
    <t xml:space="preserve">MOTORISTA DESPACHO MUNICIPAL </t>
  </si>
  <si>
    <t xml:space="preserve">DOUGLAS FRANCISCO MARIN QUEZADA </t>
  </si>
  <si>
    <t xml:space="preserve">GERENTE GRAL </t>
  </si>
  <si>
    <t xml:space="preserve">HENRY DOUGLAS PALACIOS MONTENEGRO </t>
  </si>
  <si>
    <t>JEFE UACI</t>
  </si>
  <si>
    <t>ENCARG DE TESORERIA</t>
  </si>
  <si>
    <t xml:space="preserve">MILAGRO DE LOS ANGELES SEGURA </t>
  </si>
  <si>
    <t>ENCAR. DE COLECTURIA</t>
  </si>
  <si>
    <t xml:space="preserve">DAYSI MARGARITA ANGEL </t>
  </si>
  <si>
    <t>ENCAR. DE CONTABILIDAD</t>
  </si>
  <si>
    <t xml:space="preserve">ALISON CRISTIAN MEJIA </t>
  </si>
  <si>
    <t xml:space="preserve">AUXILIAR DE TESORERIA </t>
  </si>
  <si>
    <t xml:space="preserve">SARA YANIRA CAÑAS PORTILLO </t>
  </si>
  <si>
    <t>AUXLIIAR DE CONTABILIDAD</t>
  </si>
  <si>
    <t>MILAGRO ARELY HERNANDEZ MENJIVAR</t>
  </si>
  <si>
    <t xml:space="preserve">ENCAR. DE PRESUPUESTO </t>
  </si>
  <si>
    <t xml:space="preserve">SANTOS ENRIQUE MENDEZ GARCIA </t>
  </si>
  <si>
    <t xml:space="preserve">JEFE DE CATASTRO </t>
  </si>
  <si>
    <t>ANA DINORA JIMENES</t>
  </si>
  <si>
    <t xml:space="preserve">AUXILIAR DE CATASTRO </t>
  </si>
  <si>
    <t>ERICK ANTONIO MORALES GARCIA</t>
  </si>
  <si>
    <t xml:space="preserve">MARCO TULIO MATA MONTENEGRO </t>
  </si>
  <si>
    <t xml:space="preserve">AUXILIAR DE PROYECTOS </t>
  </si>
  <si>
    <t xml:space="preserve">KENIA </t>
  </si>
  <si>
    <t xml:space="preserve">AUXILIAR DE UACI </t>
  </si>
  <si>
    <t>ALEJANDRO GONZALEZ ANGELES</t>
  </si>
  <si>
    <t xml:space="preserve">SANTOS EMILIO FLORES BELTRAN </t>
  </si>
  <si>
    <t>AUXILIAR DE CUENTAS CORRIENTES</t>
  </si>
  <si>
    <t>MANUEL EDUARDO URQUILLA BAUTISTA</t>
  </si>
  <si>
    <t xml:space="preserve">KARLA KARINA COTO DE CALDERON </t>
  </si>
  <si>
    <t xml:space="preserve">JEFE DE CUENTAS CORRIENTES </t>
  </si>
  <si>
    <t xml:space="preserve">ENMA ELENA TEAS MOLINA DE MEJIA </t>
  </si>
  <si>
    <t>MARITZA HERNANDEZ DE SORIANO</t>
  </si>
  <si>
    <t>ELMER JOEL BELTRAN SEGURA</t>
  </si>
  <si>
    <t>JEFE DEL REGISTRO FAMILIAR</t>
  </si>
  <si>
    <t>GRISELDA ADALUZ LOVATO GONZALEZ</t>
  </si>
  <si>
    <t xml:space="preserve">AUXILIAR DEL REGISTRO FAMILIAR </t>
  </si>
  <si>
    <t>MARINA DEL ROSARIO RAMIREZ</t>
  </si>
  <si>
    <t>CARMEN GUADALUPE CARPIO</t>
  </si>
  <si>
    <t xml:space="preserve">ENCARGADA DE UNIDAD DE GENERO </t>
  </si>
  <si>
    <t>LETICIA GUILLERMINA DE MONTES</t>
  </si>
  <si>
    <t xml:space="preserve">ENCAR. DE DEPORTES </t>
  </si>
  <si>
    <t xml:space="preserve">WILLIAM ALFREDO MADRID GRACIAS </t>
  </si>
  <si>
    <t>ENCAR. DE INFORMATICA</t>
  </si>
  <si>
    <t>JOSE CARLOS AGUILAR</t>
  </si>
  <si>
    <t>ENCAR. DE UNIDAD DE AMBIENTAL</t>
  </si>
  <si>
    <t xml:space="preserve">ALEXANDER ANTONIO AGUILAR </t>
  </si>
  <si>
    <t>ENCARGADO DE UNIDAD DE COMUNICACIONES</t>
  </si>
  <si>
    <t>HENRI FRANKLIN SERRANO MEDRANO</t>
  </si>
  <si>
    <t xml:space="preserve">JEFE DE PROYECTOS </t>
  </si>
  <si>
    <t xml:space="preserve">XIOMARA NATALI SANCHEZ MARAVILLA </t>
  </si>
  <si>
    <t xml:space="preserve">ENCARGADA DE GESTION Y ARCHIVO DOCUMENTAL </t>
  </si>
  <si>
    <t>SALVADORA GARICA DE BELTRAN</t>
  </si>
  <si>
    <t xml:space="preserve">AUXILIAR DE ARCHIVO </t>
  </si>
  <si>
    <t xml:space="preserve">EVIN ALEXIS SANCHEZ PINTO </t>
  </si>
  <si>
    <t>ENCARGADO UNIDAD ACCESO INF. PUBLICA</t>
  </si>
  <si>
    <t xml:space="preserve">MIGUEL BELTRAN VASQUEZ </t>
  </si>
  <si>
    <t xml:space="preserve">JEFE DEL CAM </t>
  </si>
  <si>
    <t xml:space="preserve">JOSE MORIS BELTRAN MATIAS </t>
  </si>
  <si>
    <t>AUXILIAR AGENTE DEL CAM</t>
  </si>
  <si>
    <t>RIGOBERTO SANTOS</t>
  </si>
  <si>
    <t xml:space="preserve">JOSE RICARDO GARCIA </t>
  </si>
  <si>
    <t xml:space="preserve">JOSE ADELMO NAVAS PEREZ </t>
  </si>
  <si>
    <t>BAUDILIO GONZALEZ NAVARRO</t>
  </si>
  <si>
    <t xml:space="preserve">MIGUEL ANGEL ORELLANA GONZALEZ </t>
  </si>
  <si>
    <t xml:space="preserve">JEFE DE PROYECCION SOCIAL </t>
  </si>
  <si>
    <t>FRANCISCO PREZA HERNANDEZ</t>
  </si>
  <si>
    <t>AUXILIAR DE PROYECCION SOCIAL</t>
  </si>
  <si>
    <t xml:space="preserve">NANCY JAZMIN SANCHEZ AGUILAR </t>
  </si>
  <si>
    <t>HERBERT ALCIDES VIVAS HERNANDEZ</t>
  </si>
  <si>
    <t>MARVIN ANTONIO VIVAS MARTINEZ</t>
  </si>
  <si>
    <t>VICTOR AUGUSTO SANTOS VILLALOBO</t>
  </si>
  <si>
    <t xml:space="preserve">ALBA CAROLINA NIETO FLAMENCO </t>
  </si>
  <si>
    <t xml:space="preserve">RECEPCIONISTA </t>
  </si>
  <si>
    <t xml:space="preserve">NARCISO ANGEL PEREZ </t>
  </si>
  <si>
    <t>AUXILIAR DE SERVICIOS GENERALES</t>
  </si>
  <si>
    <t>JOSE FELIPE HERNANDEZ OPORTO</t>
  </si>
  <si>
    <t xml:space="preserve">YESSENIA ARACELY VIVAS RAYMUNDO </t>
  </si>
  <si>
    <t xml:space="preserve">ORDENANZA </t>
  </si>
  <si>
    <t>ADALBERTO FLORES</t>
  </si>
  <si>
    <t>MOTORISTA VEHICULO ADMON/OPERA.</t>
  </si>
  <si>
    <t xml:space="preserve">SARAI GUADALUPE BELTRAN MARTINEZ </t>
  </si>
  <si>
    <t>OSCAR OSMIN FLORES PEREZ</t>
  </si>
  <si>
    <t>MANUEL DE JESUS MUÑOZ</t>
  </si>
  <si>
    <t xml:space="preserve">MECANICO MUNICIPAL </t>
  </si>
  <si>
    <t>FRANCISCO DELGADO NAVARRO</t>
  </si>
  <si>
    <t>GUILLERMO ANTONIO RODRIGUEZ</t>
  </si>
  <si>
    <t>MOTORISTA VEHICULO ADMON/PFGL</t>
  </si>
  <si>
    <t>DOMINGO ARTURO RECINOS RAMOS</t>
  </si>
  <si>
    <t>TECNICO ELECTRICISTA</t>
  </si>
  <si>
    <t xml:space="preserve">JOSE GUILLERMO HURTADO </t>
  </si>
  <si>
    <t>MOTORISTA CAMION RECO. DES. SOLIDOS</t>
  </si>
  <si>
    <t xml:space="preserve">JOSE VASQUEZ MENDOZA </t>
  </si>
  <si>
    <t xml:space="preserve">AUXILIAR DEL TREN DE ASEO </t>
  </si>
  <si>
    <t xml:space="preserve">JAIME ROBERTO BAUTISTA </t>
  </si>
  <si>
    <t>LUIS ERNESTO LEMUS</t>
  </si>
  <si>
    <t xml:space="preserve">BARRENDERO SITIOS MUNICIPALES </t>
  </si>
  <si>
    <t xml:space="preserve">RAMIRO VALLE AGUILAR </t>
  </si>
  <si>
    <t xml:space="preserve">MARIA DE JESUS CORPEÑO </t>
  </si>
  <si>
    <t xml:space="preserve">MARIA MAGDALENA CAMPOS DE VIVAS </t>
  </si>
  <si>
    <t>Beneficios adicionales</t>
  </si>
  <si>
    <t>Materiales de defensa y seg. Publica</t>
  </si>
  <si>
    <t xml:space="preserve">Servicios de correo </t>
  </si>
  <si>
    <t xml:space="preserve">MAYRA LISSETHE  DE VASQUEZ </t>
  </si>
  <si>
    <t>IPSFA</t>
  </si>
  <si>
    <t>SERAFIN RUIZ RIVERA</t>
  </si>
  <si>
    <t>MOTORISTA MOTONIV.</t>
  </si>
  <si>
    <t xml:space="preserve">Beneficios adicionales </t>
  </si>
  <si>
    <t>Cont. Pat. Inst. Seg. Publica</t>
  </si>
  <si>
    <t>Cont. Pat.  Inst. Seg. Priv.</t>
  </si>
  <si>
    <t xml:space="preserve">Beneficios Adicionales </t>
  </si>
  <si>
    <t>Cont. Pat. Inst. Seg. Publ.</t>
  </si>
  <si>
    <t>Cont. Pat. Inst. Seg. Priv.</t>
  </si>
  <si>
    <t>Beneficios Adicionales</t>
  </si>
  <si>
    <t>Materiales de defensa y seg. Publ.</t>
  </si>
  <si>
    <t>Arrendamiento de bienes inmuebles</t>
  </si>
  <si>
    <t>L.T</t>
  </si>
  <si>
    <t>SALARIO MENSUAL</t>
  </si>
  <si>
    <t>BONO</t>
  </si>
  <si>
    <t>AGUINALDO</t>
  </si>
  <si>
    <t>SALARIO</t>
  </si>
  <si>
    <t>ISS/INSAF</t>
  </si>
  <si>
    <t>´0101</t>
  </si>
  <si>
    <t>Cont. Pat.Inst. Seg. Pub.</t>
  </si>
  <si>
    <t>Cont. Pat.Inst. Seg. Priv.</t>
  </si>
  <si>
    <t>´0102</t>
  </si>
  <si>
    <t>´0201</t>
  </si>
  <si>
    <t>´0303</t>
  </si>
  <si>
    <t>GRAN TOTAL</t>
  </si>
  <si>
    <t>Papel y Carton</t>
  </si>
  <si>
    <t>Vehiculos de Transporte</t>
  </si>
  <si>
    <t>Herramientas Repuestos Principales</t>
  </si>
  <si>
    <t>Maquinaria y Equipo de Producción</t>
  </si>
  <si>
    <t xml:space="preserve">ALCALDIA MUNICIPAL DE SAN PEDRO PERULAPAN </t>
  </si>
  <si>
    <t>Unidad Presupuestaria</t>
  </si>
  <si>
    <t>ok</t>
  </si>
  <si>
    <t>NIVELACION SALARIAL</t>
  </si>
  <si>
    <t>TOTAL SALARIO</t>
  </si>
  <si>
    <t>arrendamiento de bienes muebles</t>
  </si>
  <si>
    <t>arrendamiento de bienes inmuebles</t>
  </si>
  <si>
    <t>materiales informaticos</t>
  </si>
  <si>
    <t>Ctas. Por Pagar De Años Anteriores</t>
  </si>
  <si>
    <t>Gastos de Representación//Servicios en el Pais</t>
  </si>
  <si>
    <t>Complementos</t>
  </si>
  <si>
    <t>Por prestación de Servicios en el País</t>
  </si>
  <si>
    <t>Al personal permanente</t>
  </si>
  <si>
    <t>Indemnizaciones</t>
  </si>
  <si>
    <t>Materiales e Instrumental de Lab. Y Uso Med</t>
  </si>
  <si>
    <t>FODES</t>
  </si>
  <si>
    <t xml:space="preserve"> FONDO GENERAL</t>
  </si>
  <si>
    <t>Ctas. Por Pagar de Años Anteriores</t>
  </si>
  <si>
    <t>Fondos Propios 00</t>
  </si>
  <si>
    <t>Serv. De Lavanderia y Planchado</t>
  </si>
  <si>
    <t>Viaticos por Comision Externa</t>
  </si>
  <si>
    <t>Viales 2%</t>
  </si>
  <si>
    <t>Por prestaciones de servicios en el pais</t>
  </si>
  <si>
    <t>remuneraciones diversas</t>
  </si>
  <si>
    <t>Materiales e inst. de lab. Y uso med.</t>
  </si>
  <si>
    <t>Serv. De lavanderia y planchado</t>
  </si>
  <si>
    <t>Servicio de alimentacion</t>
  </si>
  <si>
    <t>viaticos por comisión externa</t>
  </si>
  <si>
    <t>ctas por pagar de años anteriores</t>
  </si>
  <si>
    <t>Cuentas por cobrar de años anteriores</t>
  </si>
  <si>
    <t>CUENTAS DE AÑOS ANTERIORES</t>
  </si>
  <si>
    <t>PERIODO</t>
  </si>
  <si>
    <t>RUBROS DE MORA</t>
  </si>
  <si>
    <t>SECTORES</t>
  </si>
  <si>
    <t>MESES</t>
  </si>
  <si>
    <t>% aumento</t>
  </si>
  <si>
    <t>TOTAL PROYECTADO</t>
  </si>
  <si>
    <t>materiales de defensa y seg, publica</t>
  </si>
  <si>
    <t>Maquinaria y equipo</t>
  </si>
  <si>
    <t>Remuneraciones Extraordinarias</t>
  </si>
  <si>
    <t>Horas Extraordinarias</t>
  </si>
  <si>
    <t>Desarrollo informatico</t>
  </si>
  <si>
    <t>maquinaria y equipo para la produccion</t>
  </si>
  <si>
    <t>FUENTE O SUBFUENTE DE FINANCIAMIENTO: FISDL</t>
  </si>
  <si>
    <t>A PERSONAS NATURALES</t>
  </si>
  <si>
    <t>TOTAL GASTOS 0101</t>
  </si>
  <si>
    <t>ISSS</t>
  </si>
  <si>
    <t>SALARIO ANUAL MÁS PRESTACIONES</t>
  </si>
  <si>
    <t>ENERO</t>
  </si>
  <si>
    <t>FEBRERO</t>
  </si>
  <si>
    <t>MARZO</t>
  </si>
  <si>
    <t>MAYO</t>
  </si>
  <si>
    <t>JUNIO</t>
  </si>
  <si>
    <t>JULIO</t>
  </si>
  <si>
    <t>ABRIL</t>
  </si>
  <si>
    <t>SEPTIEMBRE</t>
  </si>
  <si>
    <t>OCTUBRE</t>
  </si>
  <si>
    <t>Contratación de Emprestitos</t>
  </si>
  <si>
    <t xml:space="preserve"> </t>
  </si>
  <si>
    <t>Tasas Diversas</t>
  </si>
  <si>
    <t>a empresas privadas no financieras,(CDA)</t>
  </si>
  <si>
    <t>a empresas privadas no financieras (COMISION CAESS)</t>
  </si>
  <si>
    <t>Productos de cuero y caucho</t>
  </si>
  <si>
    <t xml:space="preserve">SUPERVISION </t>
  </si>
  <si>
    <t>al personal permante(indemnizaciones)</t>
  </si>
  <si>
    <t>PRESUPUESTO DE EGRESOS DE INVERSIÓN(2%)</t>
  </si>
  <si>
    <t xml:space="preserve">ESPECIFICO </t>
  </si>
  <si>
    <t>2-</t>
  </si>
  <si>
    <t>CODIGO</t>
  </si>
  <si>
    <t>COMISIONES Y GASTOS BANCARIOS</t>
  </si>
  <si>
    <t>3-</t>
  </si>
  <si>
    <t xml:space="preserve">MONTO </t>
  </si>
  <si>
    <t>4-</t>
  </si>
  <si>
    <t>ESPECIFICO</t>
  </si>
  <si>
    <r>
      <t>Transfer. de Capital del Sector Público</t>
    </r>
    <r>
      <rPr>
        <b/>
        <sz val="10"/>
        <rFont val="Arial"/>
        <family val="2"/>
      </rPr>
      <t>(75%fodes)</t>
    </r>
  </si>
  <si>
    <r>
      <t>Transfer. de Capital del Sector Público(</t>
    </r>
    <r>
      <rPr>
        <b/>
        <sz val="10"/>
        <rFont val="Arial"/>
        <family val="2"/>
      </rPr>
      <t>2%fodes</t>
    </r>
    <r>
      <rPr>
        <sz val="10"/>
        <rFont val="Arial"/>
        <family val="2"/>
      </rPr>
      <t>)</t>
    </r>
  </si>
  <si>
    <r>
      <t>Transfer. Corrientes del Sector Publico(</t>
    </r>
    <r>
      <rPr>
        <b/>
        <sz val="10"/>
        <rFont val="Arial"/>
        <family val="2"/>
      </rPr>
      <t>25%fodes)</t>
    </r>
  </si>
  <si>
    <t>GOES</t>
  </si>
  <si>
    <t>FONDOS EMERGENCIA COVID-19</t>
  </si>
  <si>
    <t>FONDOS EMERGENCIA  COVID-19 ( GOES)</t>
  </si>
  <si>
    <t xml:space="preserve">VIALES </t>
  </si>
  <si>
    <t>2. PROYECTOS A EJECUTAR 2021 DE PARTE DE PROYECTOS</t>
  </si>
  <si>
    <t>3. INFORMAION    DE  UACI Y PROYECTOS  SEGÚN AC. DE ADJUDICACION PROYECTO-2020</t>
  </si>
  <si>
    <t>FUENTE O SUBFUENTE DE FINANCIAMIENTO: FONDOS GOES ( EMERGENCIA COVID-19)</t>
  </si>
  <si>
    <t>Materiales e Instrumental  de laboratorio y uso medico</t>
  </si>
  <si>
    <t>109</t>
  </si>
  <si>
    <t xml:space="preserve">2. según decreto legislativos 650  </t>
  </si>
  <si>
    <t>SALDO DE AÑOS ANTERIORES(incluye  saldos de la transferencia con fondos GOES)</t>
  </si>
  <si>
    <t>Financiero</t>
  </si>
  <si>
    <t>Servicios de Esparcimiento</t>
  </si>
  <si>
    <t>Multa por declaracion Extempor</t>
  </si>
  <si>
    <t>Sueldos (por contrato)</t>
  </si>
  <si>
    <t>AÑO 2022</t>
  </si>
  <si>
    <t>Revision de Planos</t>
  </si>
  <si>
    <t>FUENTE O SUBFUENTE DE FINANCIAMIENTO:  LIBRE DISPONIBILIDAD</t>
  </si>
  <si>
    <t>FUENTE O SUBFUENTE DE FINANCIAMIENTO: LIBRE DISPONIBILIDAD</t>
  </si>
  <si>
    <t>Sueldos (EVENTUAL)</t>
  </si>
  <si>
    <t>Por Remuneraciones Permanentes (ISSS, IPSFA, INSAFORP)</t>
  </si>
  <si>
    <t>Por Remuneraciones Permanentes (AFP)</t>
  </si>
  <si>
    <t>Transferencias corrientes al sector publico(ASOMUC)</t>
  </si>
  <si>
    <t>Transf. Corrientes al Sector Publico (ASOMUC)</t>
  </si>
  <si>
    <t>A empresas privadas no financieras(Comision CAESS, CDA)</t>
  </si>
  <si>
    <t xml:space="preserve">Bienes Muebles Diversos (Para instrumentos musicales) </t>
  </si>
  <si>
    <t xml:space="preserve">3. HISTORIAL DE SALDOS BANCARIOS CONCILIADOS </t>
  </si>
  <si>
    <t>PRODUCTOS ALIMENTICIOS PARA PERSONAS</t>
  </si>
  <si>
    <t>BIENES DE USO Y COSUMO DIVERSOS</t>
  </si>
  <si>
    <t>LIBRE DISPONIBILIDAD 120</t>
  </si>
  <si>
    <t>TRANSFERENCIA(ISNA) 109</t>
  </si>
  <si>
    <t>Vehículos de Transporte</t>
  </si>
  <si>
    <t xml:space="preserve">VEHICULOS DE TRANSPORTE </t>
  </si>
  <si>
    <t xml:space="preserve">COMPRA DE VEHICULO RECOLECTOR DE DESECHOS SOLIDOS </t>
  </si>
  <si>
    <t xml:space="preserve">RECONSTRUCCION DE PAV. FLEXIBLE ESPESOR 5.0 CM CTRA. A TECOLUCO 1.2 KM DESDE EL LIMITE CTON EL PARAISO CON TECOLUCO SEC. FATIMA HASTA SEC DE LA CANCHA TECOLUCO </t>
  </si>
  <si>
    <t xml:space="preserve">RECONSTRUCCION DE PAVIMENTO FLEXIBLE ESPESOR 5.00 CM SEC. SAN DIEGO, CANTON EL RODEO </t>
  </si>
  <si>
    <t xml:space="preserve">TOTAL  </t>
  </si>
  <si>
    <t>120</t>
  </si>
  <si>
    <t xml:space="preserve"> TOTAL GASTOS FODES LIBRE DISPONIBILIDAD-0101</t>
  </si>
  <si>
    <t xml:space="preserve"> TOTAL GASTOS FODES LIBRE DISPONIBILIDAD-0102</t>
  </si>
  <si>
    <t xml:space="preserve"> TOTAL GASTOS FODES LIBRE DISPONIBILIDAD-0201</t>
  </si>
  <si>
    <t xml:space="preserve">Horas Extraordnarias </t>
  </si>
  <si>
    <t>proyectos y programas de invers.diversos</t>
  </si>
  <si>
    <t>FUENTE O SUBFUENTE DE FINANCIAMIENTO: FODES LIBRE DISONIBILIDAD( PROY. DEL 2021)</t>
  </si>
  <si>
    <t>54104</t>
  </si>
  <si>
    <t>Productos Textiles y vestuarios</t>
  </si>
  <si>
    <t xml:space="preserve">SUPERVISION INFRAESTRUCTURA </t>
  </si>
  <si>
    <t xml:space="preserve">TOTALES </t>
  </si>
  <si>
    <t>ctas por pagar de años anteriores(provision del complem.fodes de marz-abril-2021 por $ 177,685.99+23,814.58)</t>
  </si>
  <si>
    <t>ctas por pagar de años anteriores(cuota prov.del fodes 75%)</t>
  </si>
  <si>
    <t xml:space="preserve"> DETALLE DE PROYECTOS GOES</t>
  </si>
  <si>
    <t xml:space="preserve">PROYECTO SAN PEDRO SALUDABLE </t>
  </si>
  <si>
    <t xml:space="preserve">PROYECTO  : CUENTA BOLSON PARA PROYECTOS GOES </t>
  </si>
  <si>
    <t>TOTAL  GENERAL</t>
  </si>
  <si>
    <t>FUENTE O SUBFUENTE DE FINANCIAMIENTO: FODES 2% LIBRE DISPONIBILIDAD</t>
  </si>
  <si>
    <t>PROYECTOS 2021  DEL 2%A EJECUTARSE EN 2022</t>
  </si>
  <si>
    <t>ctas por pagar de años anteriores(provision del complem.fodes de marz-abril-2021 por $ 59,558.68)</t>
  </si>
  <si>
    <t>1-</t>
  </si>
  <si>
    <t xml:space="preserve">BESSIE ROCIO ORTEGA SANTOS </t>
  </si>
  <si>
    <t>EBER ARNOLDO  FACUNDO  PEREZ</t>
  </si>
  <si>
    <t>EDWIN  EZEQUIEL  PABLO MENDOZA</t>
  </si>
  <si>
    <t>CESAR ERNESTO HERNANDEZ RAMIREZ</t>
  </si>
  <si>
    <t>JAIME GIL BELTRAN</t>
  </si>
  <si>
    <t>CARLOS DERAS  VALLES</t>
  </si>
  <si>
    <t>ALFREDO  ALBERTO  FLORES</t>
  </si>
  <si>
    <t>ALEXANDER  APARICIO BAUTISTA</t>
  </si>
  <si>
    <t>MIGUEL ANTONIO DE LEON</t>
  </si>
  <si>
    <t>SILVIA  HAYDEE CANDELARIO BONIFACIO</t>
  </si>
  <si>
    <t>JOSE ALEJANDRO D BAUTISTA SEGURA</t>
  </si>
  <si>
    <t>CARLOS ERNESTO PAREDES GARCIA</t>
  </si>
  <si>
    <t>Segunda  Regidora Suplente</t>
  </si>
  <si>
    <t>Primer Regidor Suplente</t>
  </si>
  <si>
    <t>Octavo Regidor Propietario</t>
  </si>
  <si>
    <t>Cuarto Regidor Suplente</t>
  </si>
  <si>
    <t>Septimo Regidor Propietario</t>
  </si>
  <si>
    <t>Primera Regidora Propietaria</t>
  </si>
  <si>
    <t>2. SE  FORMULO EN BASE  AL DECRETO 204 SOBRE  CREACION DE FONDOS  DE LIBRE DISPONIBILIDAD</t>
  </si>
  <si>
    <t>vienen sumatoria</t>
  </si>
  <si>
    <t>SALDO DE MORA  ACUMULADA  SEGÚN REPORTE DE CTAS CTES</t>
  </si>
  <si>
    <t>PROYECCION DE IMUEBLES</t>
  </si>
  <si>
    <t>PROYECCION DE EMPRESAS</t>
  </si>
  <si>
    <t>MAS EL 10% APLICADO A INMUEBLES</t>
  </si>
  <si>
    <t xml:space="preserve">MAS EL 10%APLICADO A PROYECCION DE EMPRESAS </t>
  </si>
  <si>
    <t>INMEUBLES</t>
  </si>
  <si>
    <t>EMPRESAS</t>
  </si>
  <si>
    <t>AGOSO</t>
  </si>
  <si>
    <t xml:space="preserve">DICIEMBRE </t>
  </si>
  <si>
    <t xml:space="preserve">NOVIEMBRE </t>
  </si>
  <si>
    <t>PROYECCION DE RECUPERCION DE LA MORA  CORRIENTE  Y ANTIGUA PARA AÑO  2022</t>
  </si>
  <si>
    <t xml:space="preserve">PREINVERSION </t>
  </si>
  <si>
    <t>CON N° DE PROYECTOS 2021 A EJECUTARSE EN 2022  DE LIBRE DISPONIBILIDAD</t>
  </si>
  <si>
    <t>Servicios Diversos(pago de MIDES)</t>
  </si>
  <si>
    <r>
      <t>Becas(</t>
    </r>
    <r>
      <rPr>
        <sz val="8"/>
        <rFont val="Arial"/>
        <family val="2"/>
      </rPr>
      <t>en presupuesto de plan de trabajo, y presup.en ctas por cobrar años anteriores)</t>
    </r>
  </si>
  <si>
    <t>FAM</t>
  </si>
  <si>
    <t>Obligaciones y transferencias generales del estado (FAM)</t>
  </si>
  <si>
    <t>TRANSFERENCIAS DE CAPITAL (FAM)</t>
  </si>
  <si>
    <t>SERVICIOS BASICOS</t>
  </si>
  <si>
    <t>5001</t>
  </si>
  <si>
    <t>5002</t>
  </si>
  <si>
    <t>5003</t>
  </si>
  <si>
    <t>5004</t>
  </si>
  <si>
    <t>5005</t>
  </si>
  <si>
    <t xml:space="preserve">APOYO SOCIAL </t>
  </si>
  <si>
    <t>SERVICIOS DE ENERGIA ELECTRICA</t>
  </si>
  <si>
    <t xml:space="preserve">SERVICIOS DE AGUA </t>
  </si>
  <si>
    <t xml:space="preserve">SERVICIOS DE TELECOMUNICACIONES </t>
  </si>
  <si>
    <t xml:space="preserve">SERVICIOS DE ALUMBRADO PUBLICO </t>
  </si>
  <si>
    <t xml:space="preserve">RECOLECCION DE DESECHOS SOLIDOS </t>
  </si>
  <si>
    <t>5101</t>
  </si>
  <si>
    <t>5102</t>
  </si>
  <si>
    <t>5103</t>
  </si>
  <si>
    <t>5104</t>
  </si>
  <si>
    <t>5105</t>
  </si>
  <si>
    <t>5106</t>
  </si>
  <si>
    <t>5107</t>
  </si>
  <si>
    <t>BECAS</t>
  </si>
  <si>
    <t>PROYECTOS DE EMPRENDEDURISMO</t>
  </si>
  <si>
    <t>PROYECTOS DE ATENCION A MUJERES</t>
  </si>
  <si>
    <t xml:space="preserve">PROYECTOS DE APOYO Y ATENCION A LA JUVENTUD </t>
  </si>
  <si>
    <t>PROYECTOS DE APOYO Y ATENCION AL ADULTO MAYOR</t>
  </si>
  <si>
    <t>PROYECTOS DE VIVIENDA</t>
  </si>
  <si>
    <t xml:space="preserve">PROGRAMAS DE APOYO SOCIAL DIVERSOS </t>
  </si>
  <si>
    <t>AFP 8.75%</t>
  </si>
  <si>
    <t>PLANILLA DE SALARIO</t>
  </si>
  <si>
    <t>CIFRAS PRESUPUESTARIA</t>
  </si>
  <si>
    <t>CTA.CTE. 100200701193-4</t>
  </si>
  <si>
    <t xml:space="preserve"> FUNCIONAMIENTO LIBRE DISPONIBILIDAD</t>
  </si>
  <si>
    <t>N°</t>
  </si>
  <si>
    <t>CARGO</t>
  </si>
  <si>
    <t>DIA DE ASUETO LABORADO 02 DE NOVIEMBRE</t>
  </si>
  <si>
    <t xml:space="preserve">TOTAL DEVENGADO </t>
  </si>
  <si>
    <t>ISSS 3%</t>
  </si>
  <si>
    <t>INSAF 1%</t>
  </si>
  <si>
    <t>ISSS PATRONAL 7.50%</t>
  </si>
  <si>
    <t>AFP 7.25%</t>
  </si>
  <si>
    <t>IPSFA  6%</t>
  </si>
  <si>
    <t>VALOR SUJETO A RENTA</t>
  </si>
  <si>
    <t xml:space="preserve">IPSFA PATRONAL 6% </t>
  </si>
  <si>
    <t>ISR</t>
  </si>
  <si>
    <t xml:space="preserve"> DESCUENTOS DE PRESTAMOS</t>
  </si>
  <si>
    <t>TOTAL DESCUENTOS</t>
  </si>
  <si>
    <t>IMPORTE LIQUIDO</t>
  </si>
  <si>
    <t>FIRMA</t>
  </si>
  <si>
    <t xml:space="preserve">CONFIA </t>
  </si>
  <si>
    <t>CRECER</t>
  </si>
  <si>
    <t>0101 DIRECCION SUPERIOR</t>
  </si>
  <si>
    <t>ALCALDE MUNICIPAL</t>
  </si>
  <si>
    <t>SECRETARIA DESPACHO DEL  ALCALDE</t>
  </si>
  <si>
    <t>3</t>
  </si>
  <si>
    <t>4</t>
  </si>
  <si>
    <t>GERENCIA GRAL</t>
  </si>
  <si>
    <t>5</t>
  </si>
  <si>
    <t>JEFE UNIDAD JURIDICA</t>
  </si>
  <si>
    <t>6</t>
  </si>
  <si>
    <t>7</t>
  </si>
  <si>
    <t>MOTORISTA DESPACHO MPAL</t>
  </si>
  <si>
    <t>TOTAL UNIDAD 0101</t>
  </si>
  <si>
    <t>0102 ADMINISTRACION GENERAL Y OPERATIVA</t>
  </si>
  <si>
    <t>9</t>
  </si>
  <si>
    <t>10</t>
  </si>
  <si>
    <t>ENCARG. DE TESORERIA</t>
  </si>
  <si>
    <t>11</t>
  </si>
  <si>
    <t>AUX.TESORERIA</t>
  </si>
  <si>
    <t>12</t>
  </si>
  <si>
    <t>13</t>
  </si>
  <si>
    <t>ENCARG. DE CONTABILIDAD</t>
  </si>
  <si>
    <t>14</t>
  </si>
  <si>
    <t>15</t>
  </si>
  <si>
    <t>JEFA DE RECURSOS HUMANOS(talento humano)</t>
  </si>
  <si>
    <t>16</t>
  </si>
  <si>
    <t>JEFE UATM</t>
  </si>
  <si>
    <t>17</t>
  </si>
  <si>
    <t>JEFE DE CUENTAS CORRIENTES (interina)</t>
  </si>
  <si>
    <t>18</t>
  </si>
  <si>
    <t>19</t>
  </si>
  <si>
    <t>ENCARGADA DE RECUPERACION DE MORA (interina)</t>
  </si>
  <si>
    <t>20</t>
  </si>
  <si>
    <t>JEFA  DE CATASTRO  Y ORDENAM. TERRIT. (interin.-se desc.3 dias s/goce de sueldo )</t>
  </si>
  <si>
    <t>21</t>
  </si>
  <si>
    <t>AUXILIAR DE CATASTRO</t>
  </si>
  <si>
    <t>22</t>
  </si>
  <si>
    <t>23</t>
  </si>
  <si>
    <t>24</t>
  </si>
  <si>
    <r>
      <t>JEFE  DEL REG.FAMILIAR</t>
    </r>
    <r>
      <rPr>
        <sz val="8"/>
        <color rgb="FFFF0000"/>
        <rFont val="Arial Narrow"/>
        <family val="2"/>
      </rPr>
      <t xml:space="preserve"> </t>
    </r>
  </si>
  <si>
    <t>25</t>
  </si>
  <si>
    <t xml:space="preserve">AUX. DEL REG. DEL ESTADO FAMILIAR </t>
  </si>
  <si>
    <t>26</t>
  </si>
  <si>
    <t>27</t>
  </si>
  <si>
    <t>28</t>
  </si>
  <si>
    <t>JEFA DE LA UNIDAD DE PROYECCION SOCIAL Y PARTIC.CIUD.</t>
  </si>
  <si>
    <t>29</t>
  </si>
  <si>
    <t xml:space="preserve">AUX.PROYECCION SOCIAL </t>
  </si>
  <si>
    <t>30</t>
  </si>
  <si>
    <t>AUX. DE PROYECCION SOCIAL</t>
  </si>
  <si>
    <t>31</t>
  </si>
  <si>
    <t>32</t>
  </si>
  <si>
    <t>33</t>
  </si>
  <si>
    <t>JEFE DE INFORMATICA</t>
  </si>
  <si>
    <t>34</t>
  </si>
  <si>
    <r>
      <t>JEFA DE LA UNIDAD DE LA MUJER</t>
    </r>
    <r>
      <rPr>
        <sz val="8"/>
        <color rgb="FFFF0000"/>
        <rFont val="Arial Narrow"/>
        <family val="2"/>
      </rPr>
      <t xml:space="preserve"> </t>
    </r>
  </si>
  <si>
    <t>35</t>
  </si>
  <si>
    <t>MOTORISTA NIVELADORA</t>
  </si>
  <si>
    <t>36</t>
  </si>
  <si>
    <t>MOTORISTA MAQUINARIA</t>
  </si>
  <si>
    <t>TOTAL UNIDAD 0201</t>
  </si>
  <si>
    <t>37</t>
  </si>
  <si>
    <t>38</t>
  </si>
  <si>
    <t>39</t>
  </si>
  <si>
    <t>40</t>
  </si>
  <si>
    <t>JEFE DE COMUNICACIONES</t>
  </si>
  <si>
    <t>41</t>
  </si>
  <si>
    <t>42</t>
  </si>
  <si>
    <t>43</t>
  </si>
  <si>
    <t>AUX. AGENTE DEL CAM SPP</t>
  </si>
  <si>
    <t>44</t>
  </si>
  <si>
    <t>45</t>
  </si>
  <si>
    <t>AUXILIAR DEL CAM</t>
  </si>
  <si>
    <t>46</t>
  </si>
  <si>
    <t>47</t>
  </si>
  <si>
    <t>48</t>
  </si>
  <si>
    <t>49</t>
  </si>
  <si>
    <t>JEFA DE SERVICIOS GENERALES</t>
  </si>
  <si>
    <t>50</t>
  </si>
  <si>
    <t>51</t>
  </si>
  <si>
    <t>AUX. DE SERVICIOS GENERALES</t>
  </si>
  <si>
    <t>52</t>
  </si>
  <si>
    <t>ORDENANZA DE DESPACHO</t>
  </si>
  <si>
    <t>53</t>
  </si>
  <si>
    <t>ORDENANZA</t>
  </si>
  <si>
    <t>54</t>
  </si>
  <si>
    <t>55</t>
  </si>
  <si>
    <t>57</t>
  </si>
  <si>
    <t>MOTORISTA VEHICULO ADMINIST/OPERATIV</t>
  </si>
  <si>
    <t>58</t>
  </si>
  <si>
    <t>59</t>
  </si>
  <si>
    <t>MOTORISTA CAMION  RECOL.DESECHOS SOL.</t>
  </si>
  <si>
    <t>60</t>
  </si>
  <si>
    <t>61</t>
  </si>
  <si>
    <t>62</t>
  </si>
  <si>
    <t>BARRENDERO DE SITIOS MPALES</t>
  </si>
  <si>
    <t>63</t>
  </si>
  <si>
    <t>64</t>
  </si>
  <si>
    <t>65</t>
  </si>
  <si>
    <t>BARRENDERA SITIOS MUNICIPALES</t>
  </si>
  <si>
    <t>BONO DE EMPLEADOS</t>
  </si>
  <si>
    <t>Salarios del Año</t>
  </si>
  <si>
    <t>fondo comun</t>
  </si>
  <si>
    <t>120 libre disponibilidad</t>
  </si>
  <si>
    <t>FONDO COMUN</t>
  </si>
  <si>
    <t xml:space="preserve">COMPLEMENTOS </t>
  </si>
  <si>
    <t xml:space="preserve">DIETAS DE CONCEJO Y  COTIZACIONES PATRONALES </t>
  </si>
  <si>
    <t>SALARIOS POR JORNAL</t>
  </si>
  <si>
    <t xml:space="preserve">POR CONTRATOS </t>
  </si>
  <si>
    <t>PAGO</t>
  </si>
  <si>
    <t>MESUAL</t>
  </si>
  <si>
    <t xml:space="preserve">ANUAL </t>
  </si>
  <si>
    <t>HORAS EXTRAORDINARIAS</t>
  </si>
  <si>
    <t>LIBRE DISPONIBILIDAD</t>
  </si>
  <si>
    <t>COD. PRES.</t>
  </si>
  <si>
    <t>NOMBRE DE CUENTA</t>
  </si>
  <si>
    <t>AGOSTO</t>
  </si>
  <si>
    <t>NOVIEMBRE</t>
  </si>
  <si>
    <t>DICIEMBRE</t>
  </si>
  <si>
    <t>COMERCIO</t>
  </si>
  <si>
    <t>INDUSTRIA</t>
  </si>
  <si>
    <t>SERVICIOS</t>
  </si>
  <si>
    <t>VALLAS PUBLICITARIAS</t>
  </si>
  <si>
    <t>ALUMBRADO</t>
  </si>
  <si>
    <t>ASEO PUBLICO</t>
  </si>
  <si>
    <t>PAVIMENTACION</t>
  </si>
  <si>
    <t>FONDOS FAM 216</t>
  </si>
  <si>
    <t>FUENTE O SUBFUENTE DE FINANCIAMIENTO: FONDOS FAM</t>
  </si>
  <si>
    <t>216</t>
  </si>
  <si>
    <t>05</t>
  </si>
  <si>
    <t>USOS</t>
  </si>
  <si>
    <t>PROYECTOS O PROGRAMAS</t>
  </si>
  <si>
    <t>MONTO A ASIGNAR MENSUAL</t>
  </si>
  <si>
    <t xml:space="preserve">INGRESOS </t>
  </si>
  <si>
    <t>$</t>
  </si>
  <si>
    <t>Mujeres</t>
  </si>
  <si>
    <t>Apoyo Mujeres</t>
  </si>
  <si>
    <t>Juventud</t>
  </si>
  <si>
    <t>Escuela de futbol</t>
  </si>
  <si>
    <t>Apoyo al deporte</t>
  </si>
  <si>
    <t>Atencion adulto mayor</t>
  </si>
  <si>
    <t>Adulto mayor</t>
  </si>
  <si>
    <t>Proyectos de vivienda</t>
  </si>
  <si>
    <t>Emprendedurismo</t>
  </si>
  <si>
    <t>Remanente</t>
  </si>
  <si>
    <t>ENERGIA ELECTRICA</t>
  </si>
  <si>
    <t>DETALLE</t>
  </si>
  <si>
    <t>AGUA</t>
  </si>
  <si>
    <t>TELECOMUNICACIONES</t>
  </si>
  <si>
    <t>ALUBRADO PUBLICO</t>
  </si>
  <si>
    <t>sueldos</t>
  </si>
  <si>
    <t>servicio de alumbrado publico</t>
  </si>
  <si>
    <t>Becas</t>
  </si>
  <si>
    <t>Minerales NO Metalicos y Prod. Derivados</t>
  </si>
  <si>
    <t>GASTOS DE FIESTAS PATRONALES</t>
  </si>
  <si>
    <t>POLVORA</t>
  </si>
  <si>
    <t>FESTIVIDADES NAVIDEÑAS</t>
  </si>
  <si>
    <t>REMANENTES</t>
  </si>
  <si>
    <t>Apoyo social diversos</t>
  </si>
  <si>
    <t>FESTIVAL DEL TAMAL</t>
  </si>
  <si>
    <t>FRANCISCO MORAZAN</t>
  </si>
  <si>
    <t>INDEPENDENCIA</t>
  </si>
  <si>
    <t>FIESTAS COPATRONALES</t>
  </si>
  <si>
    <t>EVENTOS DE LA UNIDAD DE LA NIÑEZ</t>
  </si>
  <si>
    <t>REPARACION DE CALLES NO PAVIMENTADAS Y MANTENIMIENTO  DEL EQUIPO DE TERRACERIA</t>
  </si>
  <si>
    <t>PAVIMENTACIÓN TRAMO DE CALLE SECTOR IGLESIA CATÓLICA, CANTÓN LA ESPERANZA, MUNICIPIO DE SAN PEDRO PERULAPAN</t>
  </si>
  <si>
    <t>PAVIMENTACIÓN TRAMO DE CALLE SECTOR LA PILONA CANTÓN EL CARMEN, MUNICIPIO DE SAN PEDRO PERULAPAN</t>
  </si>
  <si>
    <t xml:space="preserve">poryectos </t>
  </si>
  <si>
    <t>saldo para unidades</t>
  </si>
  <si>
    <t>programas y proyectos</t>
  </si>
  <si>
    <t>RENDICION DE CUENTAS</t>
  </si>
  <si>
    <t>SUMAS</t>
  </si>
  <si>
    <t>SALDO</t>
  </si>
  <si>
    <t>SUMA</t>
  </si>
  <si>
    <t xml:space="preserve">SALDOS </t>
  </si>
  <si>
    <t>MEDIO AMBIENTE</t>
  </si>
  <si>
    <t>COMUNICACIONES</t>
  </si>
  <si>
    <t>CAM</t>
  </si>
  <si>
    <t xml:space="preserve">CONTABILIDAD </t>
  </si>
  <si>
    <t>UNIDAD DE LA MUJER</t>
  </si>
  <si>
    <t>REF</t>
  </si>
  <si>
    <t>DESPACHO MUNICIPAL</t>
  </si>
  <si>
    <t>UNIDAD DE LA NIÑEZ</t>
  </si>
  <si>
    <t xml:space="preserve">  </t>
  </si>
  <si>
    <t>UAIP</t>
  </si>
  <si>
    <t>SERVICIOS GENERALES</t>
  </si>
  <si>
    <t xml:space="preserve">AUDITORIA </t>
  </si>
  <si>
    <t>AUDITORIA INTERNA</t>
  </si>
  <si>
    <t>PRESUPUESTO</t>
  </si>
  <si>
    <t xml:space="preserve">GERENCIA </t>
  </si>
  <si>
    <t>UGDA</t>
  </si>
  <si>
    <t>PROYECTO MUSICAL</t>
  </si>
  <si>
    <t>CONSTRUCCION DE OBRAS DE PASO ENTRE ZONAS 1 Y 2 DE CANTON EL LIMON SAN PEDRO PERULAPAN</t>
  </si>
  <si>
    <t>MEJORAS EN EL EDIFICIO DE LA ALCALADIA MSPP</t>
  </si>
  <si>
    <t>TALENTO HUMANO</t>
  </si>
  <si>
    <t>INCLUYE FIESTA NAVIDEÑA</t>
  </si>
  <si>
    <t>UNIDAD JURIDICA</t>
  </si>
  <si>
    <t>UATM</t>
  </si>
  <si>
    <t>DIA DE LOS DIFUNTOS</t>
  </si>
  <si>
    <t xml:space="preserve">TESORERIA </t>
  </si>
  <si>
    <t>INFORMATICA</t>
  </si>
  <si>
    <t>PROYECCION SOCIAL</t>
  </si>
  <si>
    <t>PROYECTOS</t>
  </si>
  <si>
    <t>DISPONIBLE</t>
  </si>
  <si>
    <t xml:space="preserve">TOTAL DE ASIGNACION PARA UNIDADES </t>
  </si>
  <si>
    <t>Nombre</t>
  </si>
  <si>
    <t>No de factura</t>
  </si>
  <si>
    <t>Descripcion</t>
  </si>
  <si>
    <t>Descripcion de la cuenta</t>
  </si>
  <si>
    <t>Unidad Solicitante o Encargado de Carpeta.</t>
  </si>
  <si>
    <t>Monto a Cancelar</t>
  </si>
  <si>
    <t xml:space="preserve">DETALLES DE LOS GASTOS DE LA CUENTA TMSPP/ FONDO COMUN  </t>
  </si>
  <si>
    <t>TMSPP/FONDO COMUN</t>
  </si>
  <si>
    <t>Servicios Generales</t>
  </si>
  <si>
    <t>DETALLES DE LOS GASTOS DE LA CUENTA TMSPP/FODES 25% LD</t>
  </si>
  <si>
    <t>TMSPP/Fodes 25% LD</t>
  </si>
  <si>
    <t>No de factura O Recibo</t>
  </si>
  <si>
    <t>COMPAÑÍA DE TELECOMUNICACIONES DE EL SALVADOR, S.A. DE C.V.</t>
  </si>
  <si>
    <t>UFI</t>
  </si>
  <si>
    <t>ANDA</t>
  </si>
  <si>
    <t>Medio Ambiente</t>
  </si>
  <si>
    <t>COTIZACION</t>
  </si>
  <si>
    <t>CUENTA BANCARIA</t>
  </si>
  <si>
    <t xml:space="preserve">N% DE CUENTA BANCARIA </t>
  </si>
  <si>
    <t>SALDO PARA EL  PRESUPUESTO</t>
  </si>
  <si>
    <t>200-200-912131-5</t>
  </si>
  <si>
    <t>TOTAL FONDOS GOES</t>
  </si>
  <si>
    <t>200-200-912449-7</t>
  </si>
  <si>
    <t>TOTAL FONDOS FAM</t>
  </si>
  <si>
    <t xml:space="preserve">TOTAL FONDOS FODES </t>
  </si>
  <si>
    <t>00</t>
  </si>
  <si>
    <t>100-200-701192-6</t>
  </si>
  <si>
    <t>200-200-911475-0</t>
  </si>
  <si>
    <t>MUNICIPALIDAD DE SAN PEDRO PERULAPAN, CUENTA CORRIENTE TRASNFERENCIA BANCO AGRICOLA</t>
  </si>
  <si>
    <t>TOTAL FONDOS PROPIOS</t>
  </si>
  <si>
    <t>FONDOS INDEPENDIENTES ISNA</t>
  </si>
  <si>
    <t>100-200-701172-1</t>
  </si>
  <si>
    <t>TESORERIA MUNICIPAL SPP( FISDL)</t>
  </si>
  <si>
    <t>200-200-811410-2</t>
  </si>
  <si>
    <t>TOTAL DE DISPONIBILIDAD</t>
  </si>
  <si>
    <t>TOTAL FONDOS FISDL</t>
  </si>
  <si>
    <t>PROTECCION CIVIL</t>
  </si>
  <si>
    <t>TOTAL ASIGNACION PARA UNIDADES</t>
  </si>
  <si>
    <t>MONTO A ASIGNAR MENSUALMENTE</t>
  </si>
  <si>
    <r>
      <t>TRANSFERENCIAS CORRIENTES 120%</t>
    </r>
    <r>
      <rPr>
        <b/>
        <sz val="10"/>
        <rFont val="Arial Narrow"/>
        <family val="2"/>
      </rPr>
      <t>(LIBRE DISPONIBILIDAD)</t>
    </r>
  </si>
  <si>
    <t xml:space="preserve">INVERSION E INFRAESTRUCTURA MUNICIPAL GOES Y FONDOS FAM </t>
  </si>
  <si>
    <t>01
03</t>
  </si>
  <si>
    <t>SALDO DISPONIBLE PARA ADMINISTRACION</t>
  </si>
  <si>
    <t>ESTRUCTURA PRESUPUESTARIA, EJERCICIO 2024</t>
  </si>
  <si>
    <t>PRESUPUESTO POR RUBROS DE AGRUPACION, AÑO 2024</t>
  </si>
  <si>
    <t>PRESUPUESTO MUNICIPAL DE INGRESOS 2024</t>
  </si>
  <si>
    <t>PRESUPUESTO MUNICIPAL DE EGRESOS 2024</t>
  </si>
  <si>
    <t>EJERCICIO 2024</t>
  </si>
  <si>
    <t>AÑO 2024</t>
  </si>
  <si>
    <t>Proyeccion de los ingresos, por recuperacion de mora corriente y antigua (impuestos y tasas) para el año 2024 que según calculos han estimado un valor de $4,101.4266 mas 5% mesuales (informacion proporcionada por UATM)</t>
  </si>
  <si>
    <t>FAM 216</t>
  </si>
  <si>
    <t>PRESUPUESTO DE SALARIOS PARA EL EJERCICIO 2024 REGISTROS AUXILIARES</t>
  </si>
  <si>
    <t>ENC.PRESUPUESTO Y ADHONOREM UFI</t>
  </si>
  <si>
    <t>JEFE DE LA UNIDAD DE PROYECTOS</t>
  </si>
  <si>
    <t xml:space="preserve">FONDO COMUN </t>
  </si>
  <si>
    <t xml:space="preserve">MONTO DE RECAUDACION </t>
  </si>
  <si>
    <t>U.A.T.M. SEGÚN SISTEMA</t>
  </si>
  <si>
    <t>MES</t>
  </si>
  <si>
    <t xml:space="preserve">ENERO </t>
  </si>
  <si>
    <t>SUB TOTAL</t>
  </si>
  <si>
    <t>TOTAL CONSOLIDAD 2023…...............................</t>
  </si>
  <si>
    <t>Auxiliar de la Unidad Juridica</t>
  </si>
  <si>
    <t>JEFE DE UCP</t>
  </si>
  <si>
    <t xml:space="preserve"> AUX. UCP</t>
  </si>
  <si>
    <t>ENCARGA. DE ACTIVO FIJO Y AUXILIAR DE CONTABILIDAD</t>
  </si>
  <si>
    <t>AFP PATRONAL 8.75%</t>
  </si>
  <si>
    <t>ENCARGADO DE MEDIO AMBIENTE</t>
  </si>
  <si>
    <t>JEFE UNIDAD DE DEPORTES</t>
  </si>
  <si>
    <t xml:space="preserve">SECRETARIA MPAL </t>
  </si>
  <si>
    <t>ENCARGA. DE CEMENTERIOS Y AUXIL DE CATASTRO</t>
  </si>
  <si>
    <t>JEFA  DEL UGDA</t>
  </si>
  <si>
    <t>MOTORISTA MUNICIPAL/ AUX. SERVICIOS GENERALES</t>
  </si>
  <si>
    <t>AUXILIAR DE TREN DE ASEO/AUX. DE MEDIO AMBIENTE</t>
  </si>
  <si>
    <t>programa de escuela de futbol</t>
  </si>
  <si>
    <t>programa fomento a las acti. Deportivas</t>
  </si>
  <si>
    <t>programa de proyecto musical</t>
  </si>
  <si>
    <t>programa de viviendas Humildes</t>
  </si>
  <si>
    <t>programa de emprendedurismo</t>
  </si>
  <si>
    <t>programa de apoyo a centros educativos</t>
  </si>
  <si>
    <t>programa de apoyo a jovenes con becas</t>
  </si>
  <si>
    <t xml:space="preserve">Apoyo de centros educativos </t>
  </si>
  <si>
    <t>UCP</t>
  </si>
  <si>
    <t>Derechos de Propiedad Intelectual</t>
  </si>
  <si>
    <t>Servicios de Fiscalizacion</t>
  </si>
  <si>
    <t>Obras de Infraestructura Diversas</t>
  </si>
  <si>
    <t>PROGRAMA DE ALUMBRADO PUBLICO</t>
  </si>
  <si>
    <t>FODES LIBRE DISPONIBILIDAD 2024</t>
  </si>
  <si>
    <t>PROGRAMA DE PERULAPAN CERO BASURA 2024.</t>
  </si>
  <si>
    <t>PROGRAMA DE APOYO A LAS ESCUELAS DE FUTBOL DEL MUNICIPIO DE SPP 2024 FAM.</t>
  </si>
  <si>
    <t>PROGRAMA DE APOYO A MUJERES LIDERES DEL MUNICIPIO DE SPP 2024 FAM.</t>
  </si>
  <si>
    <t>PROGRAMA DE PROYECTO MUSICAL 2024, FONDOS FAM</t>
  </si>
  <si>
    <t>PROGRAMA DE EMPRENDEDURISMO A LOS HABITANTES DEL MUNICIPIO DE SPP 2024</t>
  </si>
  <si>
    <t>MONTO A ASIGNAR TOTAL DE ENERO A DICIEMBRE 2024</t>
  </si>
  <si>
    <t>MONTO A ASIGNAR DE REMANENTES FAM 2023</t>
  </si>
  <si>
    <t>TOTAL POR PROYECTO FAM 2024 MAS REMANENTES FAM 2023</t>
  </si>
  <si>
    <t>FUENTE O SUBFUENTE DE FINANCIAMIENTO: INSTITUTO CRECER JUNTOS</t>
  </si>
  <si>
    <t>PRESUPUESTO DIETAS PARA EL EJERCICIO 2024</t>
  </si>
  <si>
    <t xml:space="preserve"> TOTAL GASTOS FONDOS FAM</t>
  </si>
  <si>
    <t>cuentas por Pagar de años anteriores(cuota prov.de fodes de nov y dici 23 comp.$108281)</t>
  </si>
  <si>
    <t>Intangibles</t>
  </si>
  <si>
    <t xml:space="preserve">Viales </t>
  </si>
  <si>
    <t>Obras de Infraestructura diversas</t>
  </si>
  <si>
    <t xml:space="preserve">1. SE TOMO EL PRESUPUESTO DE GASTOS FIJOS DE CADA DEPTO  DEL PLAN DE TRABAJO-2023 </t>
  </si>
  <si>
    <t>cuenta bolson fondos FAM</t>
  </si>
  <si>
    <t>Por remuneraciones Permanentes ISSS</t>
  </si>
  <si>
    <t>Por remuneraciones Permanentes AFP</t>
  </si>
  <si>
    <t>PROGRAMA PERULAPAN CERO BASURA, DE LA MUNICIPALIDAD DE SAN PEDRO PERULAPAN AÑO 2024.</t>
  </si>
  <si>
    <t>SERVICIOS GENERALES Y ARREND. DIVERSOS</t>
  </si>
  <si>
    <t>PRODUCTOS DE CUERO Y CAUCHO</t>
  </si>
  <si>
    <t>PRODUCTOS QUIMICOS</t>
  </si>
  <si>
    <t>LLANTAS Y NEUMATICOS</t>
  </si>
  <si>
    <t>BIENES DE USO Y CONSUMO DIVERSOS</t>
  </si>
  <si>
    <t>COMBUSTIBLES Y LUBRICANTES</t>
  </si>
  <si>
    <t>MATTOS. Y REPARACIONES DE VEHICULOS</t>
  </si>
  <si>
    <t>54399</t>
  </si>
  <si>
    <t>CUENTA BOLSON FAM</t>
  </si>
  <si>
    <t>Transferencia  de capial del Sector publico( transf. Al ICJ 2024 )</t>
  </si>
  <si>
    <t xml:space="preserve">MAPFRE SEGUROS EL SALVADOR, S.A. </t>
  </si>
  <si>
    <t>Poliza-202-90802-0</t>
  </si>
  <si>
    <r>
      <t xml:space="preserve">Pago por prima de poliza de seguro para vehiculos municipales con placas N-7778, N-10863, N-5462, N-6828,                     N-13689 propiedad de la Alcaldia Municipal de San Pedro Perulapan.                                                                                                                                                                                                  Cuota: </t>
    </r>
    <r>
      <rPr>
        <b/>
        <sz val="10"/>
        <color theme="1"/>
        <rFont val="Arial Narrow"/>
        <family val="2"/>
      </rPr>
      <t xml:space="preserve">9/12 </t>
    </r>
    <r>
      <rPr>
        <sz val="10"/>
        <color theme="1"/>
        <rFont val="Arial Narrow"/>
        <family val="2"/>
      </rPr>
      <t xml:space="preserve">     </t>
    </r>
  </si>
  <si>
    <t>INVERSIONES VIDA, S.A. DE C.V.</t>
  </si>
  <si>
    <t>FACT-09694</t>
  </si>
  <si>
    <t xml:space="preserve">Pago por la compra de 22 garrafones agua embotellada para comsumo de contribuyentes y empleados municipales de la Alcaldia de San Pedro Perulapan.  </t>
  </si>
  <si>
    <t>MARIA TRANSITO FIGUEROA GASOLINERA TEXACO</t>
  </si>
  <si>
    <t>FACT- VARIAS</t>
  </si>
  <si>
    <r>
      <t xml:space="preserve">Pago por 387 galones de combustible para vehiculos municipales con placas                                                                             N-5462 N-7778, N-10863  maquinaria pesada Retroexcavadora, Motoniveladora, Motocicleta municipal con placa M-681331 propiedad de la Alcaldia de San Pedro Perulapan. Corespondiente: </t>
    </r>
    <r>
      <rPr>
        <b/>
        <sz val="10"/>
        <color theme="1"/>
        <rFont val="Arial Narrow"/>
        <family val="2"/>
      </rPr>
      <t>Diciembre 2023.</t>
    </r>
  </si>
  <si>
    <t>SALDOS BANCARIOS AL 31/12/2023</t>
  </si>
  <si>
    <t>EQUIPOS ELECTRONICOS VALDES, S.A. DE C.V.</t>
  </si>
  <si>
    <t>Pago por compra de impresora multifuncional HP color LaserJet Managed E47528f más kit de toner incluidos para uso de la unidad de Compras de la Alcaldia de San Pedro Perulapan.</t>
  </si>
  <si>
    <t>100-200-701300-7</t>
  </si>
  <si>
    <t>56</t>
  </si>
  <si>
    <t>66</t>
  </si>
  <si>
    <t>67</t>
  </si>
  <si>
    <t>68</t>
  </si>
  <si>
    <t>SUBJEFA DEL REGISTRO FAMILIAR</t>
  </si>
  <si>
    <t>OFICIAL DE LA UAIP</t>
  </si>
  <si>
    <t>JEFE DEL CAM SPP</t>
  </si>
  <si>
    <t>MOTORISTA CAMION RECOLECTOR/AUX. MEDIO AMBIENTE</t>
  </si>
  <si>
    <t>AUX. DE CAMION RECOLECTOR/AUX. DE MEDIO AMBIENTES</t>
  </si>
  <si>
    <t>MOTORISTA MUNICIPAL /AUX. DE SERV. GENERALES</t>
  </si>
  <si>
    <t>meter</t>
  </si>
  <si>
    <t>DETALLES DE LOS GASTOS DE LA CUENTA TMSPP//SERVICIOS BASICOS 2023 DL 477 FAM</t>
  </si>
  <si>
    <t xml:space="preserve">TMSPP//SERVICIOS BASICOS 2023 </t>
  </si>
  <si>
    <t>MARGARITA ALVARADO VDA. DE ORTIZ</t>
  </si>
  <si>
    <t>REC-008</t>
  </si>
  <si>
    <t>Unidad Juridica</t>
  </si>
  <si>
    <t>Pago servicio de Arrendamiento de Inmueble Ubicado en Canton Istagua a favor de la Alcaldia Municipal y asi apoyar a la Policia Nacional Civil mes de Diciembre del 2023</t>
  </si>
  <si>
    <t>Daniel Isaac Bautista Cortez</t>
  </si>
  <si>
    <t>Rec-001</t>
  </si>
  <si>
    <t>Pago por servicio Mecanico en la municipalidad periodo de 30 noviembre al 30 de diciembre del 2023</t>
  </si>
  <si>
    <t>141383189</t>
  </si>
  <si>
    <t>Pago de Comision por cobro de tasas e Impuestos municipales del municipio de San Pedro Perulapan Correspondiente Dici. 2023</t>
  </si>
  <si>
    <t>DIRECCION GENERAL DE TESORERIA</t>
  </si>
  <si>
    <t>Tesoreria</t>
  </si>
  <si>
    <t>CESAR EMIGDIO CORTEZ CORTEZ</t>
  </si>
  <si>
    <t>FACT-4513</t>
  </si>
  <si>
    <t>Pago por la Primera compra de 1,296 bolsas solidarias para apoyo alimentario al adulto mayor y personas con discapacidad especiales y de escasos recurso en el Municipio de San Pedro Perulapan</t>
  </si>
  <si>
    <t>TMSPP/Progama de apoyo Alimentario a los Adultos Mayores y Personas con Discapacidad que presenten extrema Pobreza en El Municipio de San Pedro Perulapan, año 2023</t>
  </si>
  <si>
    <t>Proyeccion Social</t>
  </si>
  <si>
    <t>DETALLES DE LOS GASTOS DE LA CUENTA TMSPP/PROGRAMA DE APOYO ALIMENTARIO A LOS ADULTOS MAYORES Y PERSONAS CON DISCAPACIDAD QUE PRESENTEN EXTREMA POBREZA EN EL MUNICIPIO DE SAN PEDRO PERULAPAN, AÑO 2023</t>
  </si>
  <si>
    <t>FACT-4599</t>
  </si>
  <si>
    <t>100-200-701301-5</t>
  </si>
  <si>
    <t>SALDO AL 31/12/2023</t>
  </si>
  <si>
    <t>100-200-701297-3</t>
  </si>
  <si>
    <t>8792016,8792020, 8792014</t>
  </si>
  <si>
    <t>Pago de 3 facturas por Servicio de acueducto y alcantarillado para la alcaldia de San Pedro Perulapan, Dpto. de Cuscatlan</t>
  </si>
  <si>
    <t>0164882305</t>
  </si>
  <si>
    <t>Pago servicios de Linea Fija n° 2322-2400 conmutador de la Alcaldia de San P. P periodo de 22 nov. Al 21 dic. 2023</t>
  </si>
  <si>
    <t xml:space="preserve">CAESS, S.A. DE C.V. </t>
  </si>
  <si>
    <t>141485086</t>
  </si>
  <si>
    <t>Pago por Consumo de Luminarias encendidas las 24 horas en el municipio de San Pedro Perulapan</t>
  </si>
  <si>
    <t>DETALLES DE LOS GASTOS DE LA CUENTA TMSPP/PROGRAMA PERULAPAN CERO BASURA DE LA MUNICIPALIDAD DE SAN PEDRO PERULAPAN, AÑO 2023 , FONDOS FAM DECRETO N° 477.</t>
  </si>
  <si>
    <t>100-200-701302-3</t>
  </si>
  <si>
    <t>PRONOBIS, S.A. DE C.V.</t>
  </si>
  <si>
    <t>FACT-00183</t>
  </si>
  <si>
    <t>Pago por Servicios de Tratamiento y disposicion final de desechos solidos  comunes Municipales perido fact. 01 al 15 dic. 2023</t>
  </si>
  <si>
    <t>TMSPP/ PROGRAMA PERULAPAN CERO BASURA DL 477</t>
  </si>
  <si>
    <t>FACT-00201</t>
  </si>
  <si>
    <t>Pago por Servicios de Tratamiento y disposicion final de desechos solidos  comunes Municipales perido fact. 16 al 31 dic. 2023</t>
  </si>
  <si>
    <t>TEXACO AUTOPISTA (MARIA TRANSITO FIGUEROA)</t>
  </si>
  <si>
    <t>FACT-116480-120489,124094,128341,131294,135255,135256,135546</t>
  </si>
  <si>
    <t>Pago por suministro de Combustible para camion recolector de desechos solidos municipal placa N-20129 Propiedad de la Alcaldia de San Pedro Perulapan Periodo Correspo. Diciembre 2023</t>
  </si>
  <si>
    <t>DETALLES DE LOS GASTOS DE LA CUENTA TMSPP/ PROGRAMA DE APOYO SOCIAL A LA POBLACION ESTUDIANTIL DE LOS CENTROS ESCOLARES PUBLICOS DE SAN PEDRO PERULAPAN, AÑO 2023 FONDOS FAM, DECRETO N°477.</t>
  </si>
  <si>
    <t xml:space="preserve">Proyeccion Social </t>
  </si>
  <si>
    <t>Pago por la compra de 19 pantallas Smart TV 32" FHD 9 Parlantes de escritorio doble, 12 proyectores de 3,400 lumenes XGA 2 impresoras multifuncional como apoyo a la poblacion estudiantil de lo 30 centros escolares oficiales de san Pedro Perulapan año 2023</t>
  </si>
  <si>
    <t>TMSPP/PROGRAMA DE APOYO SOCIAL A LA POBLACION ESTUDIANTIL DE C.E. PUBLICOS DE SPP 2023</t>
  </si>
  <si>
    <t>100-200-701338-4</t>
  </si>
  <si>
    <t>FOMENTO A LAS ACTIVIDADES DEPORTIVAS PARA UNA MEJOR CONVIVENCIA ENTRE LAS FAMILIAS DE NUESTRO MUNICIPIO DE SAN PEDRO PERULAPAN; DEPARTAMENTO DE CUSCATLAN AÑO 2023 FONDOS FAM DECRETO 477</t>
  </si>
  <si>
    <t>100-200-701298-1</t>
  </si>
  <si>
    <t>FORTALECIMIENTO A LAS ACTIVIDADES EDUCATIVAS CULTURALES Y DE RECREACION DEL PROYECTO MUSICAL MUNICIPAL DE SAN PEDRO P. AÑO 2023 DPTO. DE CUSCATLAN , FONDOS FAM  DECRETO 477</t>
  </si>
  <si>
    <t>100-200-701309-0</t>
  </si>
  <si>
    <t>ESCUELAS MUNICIPALES DE FUTBOL DE SAN PEDRO PERULAPAN AÑO 2023, FONDOS FAM DECRETO N°477 MUNICIPIO DE SAN PEDRO PERULAPAN, CUSCATLAN</t>
  </si>
  <si>
    <t>FONDO DE APOYO PARA ATENDER , ACTIVIDADES SOCIALES Y DE SERVICIOS DEL MUNICIPIO DE SAN PEDRO PERULAPAN  DEPTO. DE CUSCATLAN, DECRETO 477</t>
  </si>
  <si>
    <t>FORTALECIMIENTO DE LOS DERECHOS DE LAS MUJERES CON ENFASIS EN LIDERAZGO Y ECONOMIA CON PERPECTIVA DE GENERO EN EL MUNICIPIO DE SAN PEDRO PERULAPAN, AÑO 2023, FONDOS FAM DECRETO N° 477</t>
  </si>
  <si>
    <t>100-200-701318-0</t>
  </si>
  <si>
    <t>100-200-701299-0</t>
  </si>
  <si>
    <t>100-200-701329-5</t>
  </si>
  <si>
    <t>TMSPP/APOYO DE MATERIALES VARIOS PARA VIVIENDAS HUMILDES DEL MUNICIPIO DE SAN PEDRO PERULAPAN AÑO 2023</t>
  </si>
  <si>
    <t>TMSPP/REPARACION DE CALLE NO PAVIMENTADAS Y MTTO. DE EQUIPO DE TERRACERIA AÑO 2023, MUNICIPIO DE SAN PEDRO PERULAPAN, DEPARTAMENTO DE CUSCATLAN; FONDOS FODES</t>
  </si>
  <si>
    <t>100-200-701313-9</t>
  </si>
  <si>
    <t>200-200-912655-4</t>
  </si>
  <si>
    <t>TMSPP/FODES LIBRE DISPONIBILIDAD 2023/2024</t>
  </si>
  <si>
    <t>5% FIESTAS PATRONALES , PERIODO 2021-2024 CON FECHA DE APERTURA 06 DE MAYO 2021</t>
  </si>
  <si>
    <t>100-200-701303-1</t>
  </si>
  <si>
    <t>TMSPP/FIESTAS PATRONALES DE LOS DIFERENTES CANTONES DEL MUNICIPIO DE SAN PEDRO PERULAPAN AÑO 2023 DPTO. DE CUSCATLAN FONDO COMUN</t>
  </si>
  <si>
    <t>TMSPP/PROTECCION Y BIENESTAR ANIMAL DE SAN PEDRO PERULAPAN AÑO 2023, FONDO COMUN</t>
  </si>
  <si>
    <t>100-200-701339-2</t>
  </si>
  <si>
    <t>TMSPP/INSTITUTO CRECER JUNTOS SAN PEDRO PERULAPAN/FONDOS PROVENIENTES DE TRANSFERENCIA CTES. PARA CENTRO DE BIENESTAR INFANTIL 2023</t>
  </si>
  <si>
    <t>100-200-701337-6</t>
  </si>
  <si>
    <t>TMSPP/REMANENTES GOES LIBRES DIPONIBILDAD DECRETO 323, DE FECHA 22 DE MARZO DE 2022</t>
  </si>
  <si>
    <t>TOTAL FONDOS ISNA MAS INSTITUTO CRECER JUNTOS</t>
  </si>
  <si>
    <t>TRANSFERENCIA (INSTITUTO CRECER JUNTOS) E ISNA</t>
  </si>
  <si>
    <t xml:space="preserve">Direccion General de Tesoreria </t>
  </si>
  <si>
    <t>Mandamiento de pago</t>
  </si>
  <si>
    <t>Pago de 1% retencion de IVA y 10 de renta del mes diciembre del 2023</t>
  </si>
  <si>
    <t>IPSFA, ISSS, AFP CRECER Y AFP CONFIA</t>
  </si>
  <si>
    <t>PLANILLAS</t>
  </si>
  <si>
    <t>PAGO DE PRESTACIONES SOCIALES DEL MES DICIEMBRE DEL 2023</t>
  </si>
  <si>
    <t xml:space="preserve">Pago por la compra de 500 carnet de Menoridad para identificacion Personal, mas 1% iva mas renta empleados y concejo municipal </t>
  </si>
  <si>
    <t>CAESS, S.A. DE C.V.</t>
  </si>
  <si>
    <t>DIRECCION GENERAL DE TESORERIA, AFP CRECER E ISSS</t>
  </si>
  <si>
    <t>Planillas</t>
  </si>
  <si>
    <t>Provision de planillas y pago isss, afp</t>
  </si>
  <si>
    <t>1% IVA Y RENTA</t>
  </si>
  <si>
    <t>TMSPP/ Fortalec. A las act. Educativas y de recreacion musical</t>
  </si>
  <si>
    <t>RECIBO MDTO.</t>
  </si>
  <si>
    <t>Provision y pago de planilla 1% IVA mes diciembre 2023</t>
  </si>
  <si>
    <t>TESORERIA</t>
  </si>
  <si>
    <t>MAND. DE PAGO</t>
  </si>
  <si>
    <t>PAGO DE 1% IVA mes diciembre 2023</t>
  </si>
  <si>
    <t xml:space="preserve">DIRECCION GENERAL DE TESORERIA </t>
  </si>
  <si>
    <t>MTO PAGO</t>
  </si>
  <si>
    <t>Pago de  IVA del mes de diciembre 2023</t>
  </si>
  <si>
    <t>tesoreria</t>
  </si>
  <si>
    <t xml:space="preserve">MTO </t>
  </si>
  <si>
    <t>DE PAGO</t>
  </si>
  <si>
    <t>PAGO DE RENTA MES DICIEMBRE 2023</t>
  </si>
  <si>
    <t>TMSPP/ESCUELAS MUNIC. DE FUTBOL</t>
  </si>
  <si>
    <t>PAGO DE 1% IVA MES DICIEMBRE 2023</t>
  </si>
  <si>
    <t>TMSPP/APOYO MAT VARIOS</t>
  </si>
  <si>
    <t>10-200-701329-5</t>
  </si>
  <si>
    <t xml:space="preserve">TMSPP/ FOMENT. A ACT. DEPORTIVAS </t>
  </si>
  <si>
    <t>MTO. DE PAGO</t>
  </si>
  <si>
    <t>PAGO DE 1% IVA Y RENTA MES DICIEMBRE 2023</t>
  </si>
  <si>
    <t>TMSPP/INTITUTO CRECER JUNTOS</t>
  </si>
  <si>
    <t>ESTE PAGO PERTENECE A INST. CRECER JUNTOS PERO EL DINERO ESTA EN ISNA TESORERIA HARA LOS AJUSTES PERTINETES PARA HACER LOS TRASLADOS A ICJ</t>
  </si>
  <si>
    <t xml:space="preserve">SUELDOS </t>
  </si>
  <si>
    <t>5. DONACIONES DEL ICJ</t>
  </si>
  <si>
    <r>
      <t xml:space="preserve">Obligaciones y Transferencias Generales del estado de Capital del sector publico </t>
    </r>
    <r>
      <rPr>
        <b/>
        <sz val="10"/>
        <rFont val="Arial"/>
        <family val="2"/>
      </rPr>
      <t>Libre Disponibilidad año 2024</t>
    </r>
  </si>
  <si>
    <t xml:space="preserve">Cuentas por cobrar de años anteriores//Fodes  y FAM pendientes de 2023 del mes de diciembre </t>
  </si>
  <si>
    <t xml:space="preserve">3. SE  CONSOLIDO LOS SALDOS  DE LAS CONCILIACIONES BANCARIAS A DIC-23 , SE PROVISIONA EL FODES DE NOV. DICIEMBRE , Y FAM NOV Y DICIEMBRE 2023. </t>
  </si>
  <si>
    <t xml:space="preserve">               ALCALDIA MUNICIPAL DE SAN PEDRO PERULAPAN</t>
  </si>
  <si>
    <t>TOTAL  GENERAL  AÑO 2024 DE UNIDADES PRESUPUESTARIAS:0101-0102-Y 0201 DE LIBRE DISPONIBILIDAD</t>
  </si>
  <si>
    <t>PROGR. DE FOMEN A LAS ACTIVID DEPORT PARA CONVIV EN FAMILIA, SPP. 2024, FAM</t>
  </si>
  <si>
    <t>PROGR. DE VIVIENDAS HUMILDES A FAMILIAS VULNERABLES DEL MUNICIPIO SPP 2024.</t>
  </si>
  <si>
    <t>PROG. DE APOYO AL ADULTO MAYOR Y PERS DISCAP., ALIMENT, Y DE RECR. SOCI SPP 2024.</t>
  </si>
  <si>
    <t>PROGR DE APOYO CENTROS EDUC DEL MUNIC DE SAN PEDRO PERULAPAN 2024.</t>
  </si>
  <si>
    <t>PROGR SOC DE APOYO CON BECAS EN ESTUD SUPERIO A JOVENES DE ESCA REC. DEL MUNIC DE SPP 2024</t>
  </si>
  <si>
    <t xml:space="preserve">                                  ALCALDIA MUNICIPAL DE SAN PEDRO PERULAPAN</t>
  </si>
  <si>
    <t>Sindico municipal</t>
  </si>
  <si>
    <t>EDWIN  STANLEY MIRANDA RAMIREZ</t>
  </si>
  <si>
    <t xml:space="preserve"> ALCALDIA MUNICIPAL DE SAN PEDRO PERULAPAN  PROYECCION DE RECUPERACION DE MORA PARA AÑO 2024</t>
  </si>
  <si>
    <t>69</t>
  </si>
  <si>
    <t>FUEGOLANDIA</t>
  </si>
  <si>
    <t>FACT-311-316, 318</t>
  </si>
  <si>
    <t>Pago por la compra de show de luces chinas en difeferentes cantones del municip SPP 2023</t>
  </si>
  <si>
    <t>TMSPP/FIESTAS PATRONALES Y COPAT. DIFERENTES CANTONES</t>
  </si>
  <si>
    <t>Proyecc. Social</t>
  </si>
  <si>
    <t>DISTRIBUCION DE LOS FONDOS FAM POR PROGRAMAS SOCIALES  2024.</t>
  </si>
  <si>
    <t>INVERSIONES EN ACTIVOS FIJOS</t>
  </si>
  <si>
    <t>6. CUOTAS PENDIENTES DE TRANSFERENCIA DE SECTOR PUBLICO DE  FUNCIONAMIENTO (LIBRE DISPONIBILIDAD)FODES MES DE NOVIEMBRE - DICIEMBRE 2023 Y FONDOS FAM 2023</t>
  </si>
  <si>
    <t>TRANSFERENCIA DE CAPITAL (ICJ)</t>
  </si>
  <si>
    <t>CUENTAS POR PAGAR AL 31 DE DICIEMBRE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</si>
</sst>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;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&quot;$&quot;\ * #,##0.00_);_(&quot;$&quot;\ * \(#,##0.00\);_(&quot;$&quot;\ * &quot;-&quot;??_);_(@_)"/>
    <numFmt numFmtId="166" formatCode="_ [$$-300A]\ * #,##0.00_ ;_ [$$-300A]\ * \-#,##0.00_ ;_ [$$-300A]\ * &quot;-&quot;??_ ;_ @_ "/>
    <numFmt numFmtId="167" formatCode="_-[$€-2]* #,##0.00_-;\-[$€-2]* #,##0.00_-;_-[$€-2]* &quot;-&quot;??_-"/>
    <numFmt numFmtId="168" formatCode="_([$$-440A]* #,##0.00_);_([$$-440A]* \(#,##0.00\);_([$$-440A]* &quot;-&quot;??_);_(@_)"/>
    <numFmt numFmtId="169" formatCode="_-[$$-300A]\ * #,##0.00_ ;_-[$$-300A]\ * \-#,##0.00\ ;_-[$$-300A]\ * &quot;-&quot;??_ ;_-@_ "/>
    <numFmt numFmtId="170" formatCode="_-[$$-440A]* #,##0.00_ ;_-[$$-440A]* \-#,##0.00\ ;_-[$$-440A]* &quot;-&quot;??_ ;_-@_ "/>
    <numFmt numFmtId="171" formatCode="&quot;$&quot;#,##0.00"/>
    <numFmt numFmtId="172" formatCode="_-[$$-440A]* #,##0.00_-;\-[$$-440A]* #,##0.00_-;_-[$$-440A]* &quot;-&quot;??_-;_-@_-"/>
    <numFmt numFmtId="173" formatCode="_([$$-300A]\ * #,##0.00_);_([$$-300A]\ * \(#,##0.00\);_([$$-300A]\ * &quot;-&quot;??_);_(@_)"/>
    <numFmt numFmtId="174" formatCode="_-[$$-80A]* #,##0.00_-;\-[$$-80A]* #,##0.00_-;_-[$$-80A]* &quot;-&quot;??_-;_-@_-"/>
    <numFmt numFmtId="175" formatCode="_ [$$-300A]* #,##0.00_ ;_ [$$-300A]* \-#,##0.00_ ;_ [$$-300A]* &quot;-&quot;??_ ;_ @_ "/>
  </numFmts>
  <fonts count="11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b/>
      <u val="singleAccounting"/>
      <sz val="14"/>
      <name val="Arial"/>
      <family val="2"/>
    </font>
    <font>
      <b/>
      <u/>
      <sz val="14"/>
      <name val="Arial"/>
      <family val="2"/>
    </font>
    <font>
      <i/>
      <sz val="14"/>
      <name val="Arial"/>
      <family val="2"/>
    </font>
    <font>
      <b/>
      <u val="singleAccounting"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i/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rgb="FF0070C0"/>
      <name val="Arial"/>
      <family val="2"/>
    </font>
    <font>
      <b/>
      <sz val="10.5"/>
      <name val="Arial"/>
      <family val="2"/>
    </font>
    <font>
      <b/>
      <sz val="8"/>
      <name val="Arial"/>
      <family val="2"/>
    </font>
    <font>
      <b/>
      <sz val="10"/>
      <color rgb="FF000000"/>
      <name val="Arial"/>
      <family val="2"/>
    </font>
    <font>
      <b/>
      <sz val="18"/>
      <name val="Arial Narrow"/>
      <family val="2"/>
    </font>
    <font>
      <sz val="18"/>
      <name val="Arial Narrow"/>
      <family val="2"/>
    </font>
    <font>
      <b/>
      <u/>
      <sz val="18"/>
      <name val="Arial Narrow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sz val="10"/>
      <name val="Arial Narrow"/>
      <family val="2"/>
    </font>
    <font>
      <b/>
      <sz val="14"/>
      <name val="Arial Narrow"/>
      <family val="2"/>
    </font>
    <font>
      <b/>
      <sz val="10"/>
      <name val="Arial Narrow"/>
      <family val="2"/>
    </font>
    <font>
      <b/>
      <u val="doubleAccounting"/>
      <sz val="10"/>
      <name val="Arial Narrow"/>
      <family val="2"/>
    </font>
    <font>
      <sz val="8"/>
      <name val="Arial"/>
      <family val="2"/>
    </font>
    <font>
      <sz val="11"/>
      <color rgb="FF000000"/>
      <name val="Calibri"/>
      <family val="2"/>
    </font>
    <font>
      <b/>
      <i/>
      <u/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sz val="8"/>
      <color rgb="FFFF0000"/>
      <name val="Calibri"/>
      <family val="2"/>
    </font>
    <font>
      <b/>
      <sz val="7"/>
      <color rgb="FFFF0000"/>
      <name val="Calibri"/>
      <family val="2"/>
    </font>
    <font>
      <b/>
      <sz val="8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name val="Calibri"/>
      <family val="2"/>
    </font>
    <font>
      <b/>
      <sz val="9"/>
      <color rgb="FF000000"/>
      <name val="Calibri"/>
      <family val="2"/>
    </font>
    <font>
      <b/>
      <i/>
      <sz val="11"/>
      <color rgb="FF000000"/>
      <name val="Calibri"/>
      <family val="2"/>
    </font>
    <font>
      <b/>
      <sz val="9"/>
      <name val="Arial Narrow"/>
      <family val="2"/>
    </font>
    <font>
      <sz val="8"/>
      <name val="Arial Narrow"/>
      <family val="2"/>
    </font>
    <font>
      <sz val="13"/>
      <name val="Arial Narrow"/>
      <family val="2"/>
    </font>
    <font>
      <sz val="13"/>
      <name val="Calibri"/>
      <family val="2"/>
    </font>
    <font>
      <sz val="13"/>
      <color rgb="FF000000"/>
      <name val="Calibri"/>
      <family val="2"/>
    </font>
    <font>
      <sz val="10"/>
      <color rgb="FFFF0000"/>
      <name val="Calibri"/>
      <family val="2"/>
    </font>
    <font>
      <b/>
      <sz val="13"/>
      <color rgb="FF000000"/>
      <name val="Calibri"/>
      <family val="2"/>
    </font>
    <font>
      <b/>
      <sz val="13"/>
      <name val="Calibri"/>
      <family val="2"/>
    </font>
    <font>
      <sz val="7"/>
      <name val="Arial Narrow"/>
      <family val="2"/>
    </font>
    <font>
      <sz val="8"/>
      <color rgb="FF000000"/>
      <name val="Arial Narrow"/>
      <family val="2"/>
    </font>
    <font>
      <b/>
      <sz val="8"/>
      <name val="Arial Narrow"/>
      <family val="2"/>
    </font>
    <font>
      <b/>
      <sz val="13"/>
      <name val="Arial Narrow"/>
      <family val="2"/>
    </font>
    <font>
      <sz val="8"/>
      <color rgb="FFFF0000"/>
      <name val="Arial Narrow"/>
      <family val="2"/>
    </font>
    <font>
      <sz val="13"/>
      <color rgb="FF000000"/>
      <name val="Arial Narrow"/>
      <family val="2"/>
    </font>
    <font>
      <b/>
      <sz val="12"/>
      <color rgb="FF000000"/>
      <name val="Calibri"/>
      <family val="2"/>
    </font>
    <font>
      <sz val="10"/>
      <color rgb="FF000000"/>
      <name val="Calibri"/>
      <family val="2"/>
    </font>
    <font>
      <sz val="9"/>
      <name val="Arial Narrow"/>
      <family val="2"/>
    </font>
    <font>
      <sz val="12"/>
      <name val="Arial Narrow"/>
      <family val="2"/>
    </font>
    <font>
      <sz val="11"/>
      <name val="Arial Narrow"/>
      <family val="2"/>
    </font>
    <font>
      <sz val="10"/>
      <name val="Arial"/>
      <family val="2"/>
    </font>
    <font>
      <b/>
      <sz val="11"/>
      <color rgb="FFFF0000"/>
      <name val="Arial"/>
      <family val="2"/>
    </font>
    <font>
      <b/>
      <u val="singleAccounting"/>
      <sz val="12"/>
      <color rgb="FFFF0000"/>
      <name val="Arial"/>
      <family val="2"/>
    </font>
    <font>
      <b/>
      <i/>
      <sz val="10"/>
      <name val="Arial"/>
      <family val="2"/>
    </font>
    <font>
      <b/>
      <sz val="16"/>
      <color rgb="FF000000"/>
      <name val="Calibri"/>
      <family val="2"/>
    </font>
    <font>
      <b/>
      <sz val="7"/>
      <color rgb="FF000000"/>
      <name val="Calibri"/>
      <family val="2"/>
    </font>
    <font>
      <b/>
      <sz val="9"/>
      <name val="Calibri"/>
      <family val="2"/>
    </font>
    <font>
      <b/>
      <sz val="6"/>
      <color rgb="FF000000"/>
      <name val="Calibri"/>
      <family val="2"/>
    </font>
    <font>
      <b/>
      <sz val="8"/>
      <name val="Calibri"/>
      <family val="2"/>
    </font>
    <font>
      <sz val="9"/>
      <color rgb="FF000000"/>
      <name val="Calibri"/>
      <family val="2"/>
    </font>
    <font>
      <sz val="8"/>
      <color rgb="FF000000"/>
      <name val="Calibri"/>
      <family val="2"/>
    </font>
    <font>
      <sz val="11"/>
      <color rgb="FFFF0000"/>
      <name val="Calibri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FF0000"/>
      <name val="Arial Narrow"/>
      <family val="2"/>
    </font>
    <font>
      <b/>
      <sz val="11"/>
      <color rgb="FFFF0000"/>
      <name val="Arial Narrow"/>
      <family val="2"/>
    </font>
    <font>
      <b/>
      <sz val="11"/>
      <color theme="4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22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20"/>
      <color theme="1"/>
      <name val="Arial Narrow"/>
      <family val="2"/>
    </font>
    <font>
      <b/>
      <sz val="14"/>
      <color rgb="FFFF0000"/>
      <name val="Arial"/>
      <family val="2"/>
    </font>
    <font>
      <b/>
      <sz val="12"/>
      <color rgb="FFFF0000"/>
      <name val="Arial Narrow"/>
      <family val="2"/>
    </font>
    <font>
      <b/>
      <sz val="12"/>
      <color theme="1"/>
      <name val="Arial Narrow"/>
      <family val="2"/>
    </font>
    <font>
      <sz val="9"/>
      <color rgb="FFFF0000"/>
      <name val="Arial"/>
      <family val="2"/>
    </font>
    <font>
      <b/>
      <sz val="11"/>
      <name val="Arial Narrow"/>
      <family val="2"/>
    </font>
    <font>
      <sz val="12"/>
      <color theme="1"/>
      <name val="Arial "/>
    </font>
    <font>
      <sz val="11"/>
      <color theme="1"/>
      <name val="Arial"/>
      <family val="2"/>
    </font>
    <font>
      <sz val="8"/>
      <name val="Arial"/>
      <family val="2"/>
    </font>
    <font>
      <sz val="12"/>
      <color theme="1"/>
      <name val="Arial Narrow"/>
      <family val="2"/>
    </font>
    <font>
      <i/>
      <sz val="11"/>
      <name val="Arial"/>
      <family val="2"/>
    </font>
    <font>
      <b/>
      <u val="singleAccounting"/>
      <sz val="11"/>
      <name val="Arial"/>
      <family val="2"/>
    </font>
    <font>
      <b/>
      <u val="singleAccounting"/>
      <sz val="12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theme="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gray125">
        <fgColor indexed="22"/>
        <bgColor theme="6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gray125">
        <fgColor indexed="2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125">
        <bgColor theme="8" tint="0.79998168889431442"/>
      </patternFill>
    </fill>
    <fill>
      <patternFill patternType="lightTrellis">
        <fgColor indexed="22"/>
        <bgColor theme="8" tint="0.79998168889431442"/>
      </patternFill>
    </fill>
    <fill>
      <patternFill patternType="gray125">
        <fgColor indexed="22"/>
        <bgColor theme="8" tint="0.79998168889431442"/>
      </patternFill>
    </fill>
    <fill>
      <patternFill patternType="lightTrellis">
        <fgColor indexed="2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BDBDB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0CECE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rgb="FF000000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26" fillId="4" borderId="0" applyNumberFormat="0" applyBorder="0" applyAlignment="0" applyProtection="0"/>
    <xf numFmtId="167" fontId="3" fillId="0" borderId="0" applyFont="0" applyFill="0" applyBorder="0" applyAlignment="0" applyProtection="0"/>
    <xf numFmtId="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8" fillId="0" borderId="0"/>
    <xf numFmtId="0" fontId="5" fillId="0" borderId="0"/>
    <xf numFmtId="9" fontId="2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3" fillId="0" borderId="0"/>
    <xf numFmtId="43" fontId="78" fillId="0" borderId="0" applyFont="0" applyFill="0" applyBorder="0" applyAlignment="0" applyProtection="0"/>
  </cellStyleXfs>
  <cellXfs count="1330">
    <xf numFmtId="0" fontId="0" fillId="0" borderId="0" xfId="0"/>
    <xf numFmtId="49" fontId="7" fillId="2" borderId="1" xfId="0" applyNumberFormat="1" applyFont="1" applyFill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/>
    </xf>
    <xf numFmtId="0" fontId="11" fillId="2" borderId="0" xfId="0" applyFont="1" applyFill="1"/>
    <xf numFmtId="0" fontId="10" fillId="0" borderId="0" xfId="0" applyFont="1" applyAlignment="1">
      <alignment horizontal="center"/>
    </xf>
    <xf numFmtId="0" fontId="7" fillId="2" borderId="4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49" fontId="7" fillId="2" borderId="8" xfId="0" applyNumberFormat="1" applyFont="1" applyFill="1" applyBorder="1" applyAlignment="1">
      <alignment horizontal="center"/>
    </xf>
    <xf numFmtId="49" fontId="7" fillId="2" borderId="9" xfId="0" applyNumberFormat="1" applyFont="1" applyFill="1" applyBorder="1" applyAlignment="1">
      <alignment horizontal="center"/>
    </xf>
    <xf numFmtId="0" fontId="7" fillId="2" borderId="10" xfId="0" applyFont="1" applyFill="1" applyBorder="1" applyAlignment="1">
      <alignment horizontal="left"/>
    </xf>
    <xf numFmtId="164" fontId="7" fillId="2" borderId="2" xfId="4" applyNumberFormat="1" applyFont="1" applyFill="1" applyBorder="1" applyAlignment="1">
      <alignment horizontal="right"/>
    </xf>
    <xf numFmtId="166" fontId="7" fillId="2" borderId="9" xfId="4" applyNumberFormat="1" applyFont="1" applyFill="1" applyBorder="1" applyAlignment="1">
      <alignment horizontal="right"/>
    </xf>
    <xf numFmtId="166" fontId="7" fillId="2" borderId="2" xfId="4" applyNumberFormat="1" applyFont="1" applyFill="1" applyBorder="1" applyAlignment="1">
      <alignment horizontal="right"/>
    </xf>
    <xf numFmtId="49" fontId="7" fillId="2" borderId="11" xfId="0" applyNumberFormat="1" applyFont="1" applyFill="1" applyBorder="1" applyAlignment="1">
      <alignment horizontal="center"/>
    </xf>
    <xf numFmtId="166" fontId="7" fillId="2" borderId="3" xfId="4" applyNumberFormat="1" applyFont="1" applyFill="1" applyBorder="1" applyAlignment="1">
      <alignment horizontal="right"/>
    </xf>
    <xf numFmtId="0" fontId="7" fillId="2" borderId="12" xfId="0" applyFont="1" applyFill="1" applyBorder="1" applyAlignment="1">
      <alignment horizontal="center"/>
    </xf>
    <xf numFmtId="0" fontId="3" fillId="2" borderId="0" xfId="0" applyFont="1" applyFill="1"/>
    <xf numFmtId="0" fontId="11" fillId="0" borderId="0" xfId="0" applyFont="1" applyAlignment="1">
      <alignment vertical="center"/>
    </xf>
    <xf numFmtId="0" fontId="3" fillId="0" borderId="0" xfId="0" applyFont="1"/>
    <xf numFmtId="49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165" fontId="3" fillId="2" borderId="9" xfId="4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49" fontId="3" fillId="2" borderId="0" xfId="0" applyNumberFormat="1" applyFont="1" applyFill="1" applyAlignment="1">
      <alignment horizontal="center" vertical="center"/>
    </xf>
    <xf numFmtId="0" fontId="16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164" fontId="3" fillId="2" borderId="0" xfId="4" applyNumberFormat="1" applyFont="1" applyFill="1" applyBorder="1" applyAlignment="1">
      <alignment horizontal="right"/>
    </xf>
    <xf numFmtId="0" fontId="9" fillId="2" borderId="0" xfId="0" applyFont="1" applyFill="1"/>
    <xf numFmtId="0" fontId="11" fillId="0" borderId="0" xfId="0" applyFont="1" applyAlignment="1">
      <alignment horizontal="center" vertical="center" wrapText="1"/>
    </xf>
    <xf numFmtId="49" fontId="15" fillId="0" borderId="0" xfId="0" applyNumberFormat="1" applyFont="1" applyAlignment="1">
      <alignment vertical="center" wrapText="1"/>
    </xf>
    <xf numFmtId="168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64" fontId="13" fillId="0" borderId="1" xfId="4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49" fontId="7" fillId="2" borderId="11" xfId="0" applyNumberFormat="1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49" fontId="7" fillId="2" borderId="15" xfId="0" applyNumberFormat="1" applyFont="1" applyFill="1" applyBorder="1" applyAlignment="1">
      <alignment horizontal="center"/>
    </xf>
    <xf numFmtId="49" fontId="7" fillId="2" borderId="16" xfId="0" applyNumberFormat="1" applyFont="1" applyFill="1" applyBorder="1" applyAlignment="1">
      <alignment horizontal="center"/>
    </xf>
    <xf numFmtId="0" fontId="14" fillId="5" borderId="18" xfId="1" applyFont="1" applyFill="1" applyBorder="1" applyAlignment="1">
      <alignment horizontal="center" vertical="center" textRotation="90" wrapText="1"/>
    </xf>
    <xf numFmtId="0" fontId="14" fillId="5" borderId="19" xfId="1" applyFont="1" applyFill="1" applyBorder="1" applyAlignment="1">
      <alignment horizontal="center" vertical="center" textRotation="90" wrapText="1"/>
    </xf>
    <xf numFmtId="0" fontId="14" fillId="5" borderId="20" xfId="1" applyFont="1" applyFill="1" applyBorder="1" applyAlignment="1">
      <alignment horizontal="center" vertical="center" textRotation="90" wrapText="1"/>
    </xf>
    <xf numFmtId="0" fontId="14" fillId="5" borderId="21" xfId="1" applyFont="1" applyFill="1" applyBorder="1" applyAlignment="1">
      <alignment horizontal="center" vertical="center" textRotation="90" wrapText="1"/>
    </xf>
    <xf numFmtId="0" fontId="12" fillId="5" borderId="22" xfId="1" applyFont="1" applyFill="1" applyBorder="1" applyAlignment="1">
      <alignment horizontal="center"/>
    </xf>
    <xf numFmtId="166" fontId="12" fillId="5" borderId="23" xfId="1" applyNumberFormat="1" applyFont="1" applyFill="1" applyBorder="1" applyAlignment="1">
      <alignment horizontal="center"/>
    </xf>
    <xf numFmtId="0" fontId="9" fillId="0" borderId="0" xfId="0" applyFont="1" applyAlignment="1">
      <alignment vertical="center"/>
    </xf>
    <xf numFmtId="165" fontId="16" fillId="2" borderId="0" xfId="0" applyNumberFormat="1" applyFont="1" applyFill="1" applyAlignment="1">
      <alignment vertical="center"/>
    </xf>
    <xf numFmtId="0" fontId="3" fillId="2" borderId="9" xfId="0" applyFont="1" applyFill="1" applyBorder="1" applyAlignment="1">
      <alignment horizontal="left" vertical="center" wrapText="1"/>
    </xf>
    <xf numFmtId="166" fontId="3" fillId="0" borderId="0" xfId="0" applyNumberFormat="1" applyFont="1"/>
    <xf numFmtId="168" fontId="3" fillId="0" borderId="0" xfId="0" applyNumberFormat="1" applyFont="1"/>
    <xf numFmtId="169" fontId="11" fillId="2" borderId="0" xfId="0" applyNumberFormat="1" applyFont="1" applyFill="1"/>
    <xf numFmtId="0" fontId="3" fillId="0" borderId="6" xfId="0" applyFont="1" applyBorder="1" applyAlignment="1">
      <alignment horizontal="center" vertical="center"/>
    </xf>
    <xf numFmtId="44" fontId="11" fillId="0" borderId="24" xfId="4" applyNumberFormat="1" applyFont="1" applyFill="1" applyBorder="1" applyAlignment="1">
      <alignment horizontal="center" vertical="center"/>
    </xf>
    <xf numFmtId="164" fontId="13" fillId="0" borderId="13" xfId="4" applyNumberFormat="1" applyFont="1" applyBorder="1" applyAlignment="1">
      <alignment horizontal="center" vertical="center"/>
    </xf>
    <xf numFmtId="0" fontId="13" fillId="0" borderId="11" xfId="0" applyFont="1" applyBorder="1" applyAlignment="1">
      <alignment horizontal="left" vertical="center"/>
    </xf>
    <xf numFmtId="170" fontId="3" fillId="0" borderId="8" xfId="0" applyNumberFormat="1" applyFont="1" applyBorder="1" applyAlignment="1">
      <alignment horizontal="center" vertical="center"/>
    </xf>
    <xf numFmtId="44" fontId="20" fillId="6" borderId="23" xfId="4" applyNumberFormat="1" applyFont="1" applyFill="1" applyBorder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2" borderId="9" xfId="0" applyFont="1" applyFill="1" applyBorder="1" applyAlignment="1">
      <alignment horizontal="left" vertical="center"/>
    </xf>
    <xf numFmtId="165" fontId="3" fillId="2" borderId="9" xfId="4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 wrapText="1"/>
    </xf>
    <xf numFmtId="165" fontId="11" fillId="2" borderId="9" xfId="4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0" borderId="9" xfId="0" applyFont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justify" vertical="center" wrapText="1"/>
    </xf>
    <xf numFmtId="0" fontId="11" fillId="2" borderId="9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1" fillId="6" borderId="25" xfId="0" applyFont="1" applyFill="1" applyBorder="1" applyAlignment="1">
      <alignment horizontal="center" vertical="center" wrapText="1"/>
    </xf>
    <xf numFmtId="0" fontId="11" fillId="6" borderId="26" xfId="0" applyFont="1" applyFill="1" applyBorder="1" applyAlignment="1">
      <alignment horizontal="center" vertical="center" wrapText="1"/>
    </xf>
    <xf numFmtId="0" fontId="11" fillId="6" borderId="27" xfId="0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center" vertical="center"/>
    </xf>
    <xf numFmtId="44" fontId="20" fillId="7" borderId="0" xfId="4" applyNumberFormat="1" applyFont="1" applyFill="1" applyBorder="1" applyAlignment="1">
      <alignment horizontal="center" vertical="center"/>
    </xf>
    <xf numFmtId="165" fontId="3" fillId="7" borderId="9" xfId="4" applyFont="1" applyFill="1" applyBorder="1" applyAlignment="1">
      <alignment horizontal="left" vertical="center"/>
    </xf>
    <xf numFmtId="49" fontId="11" fillId="2" borderId="0" xfId="0" applyNumberFormat="1" applyFont="1" applyFill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49" fontId="3" fillId="0" borderId="8" xfId="0" applyNumberFormat="1" applyFont="1" applyBorder="1" applyAlignment="1">
      <alignment horizontal="left" vertical="center"/>
    </xf>
    <xf numFmtId="164" fontId="13" fillId="0" borderId="15" xfId="4" applyNumberFormat="1" applyFont="1" applyBorder="1" applyAlignment="1">
      <alignment horizontal="center" vertical="center"/>
    </xf>
    <xf numFmtId="0" fontId="13" fillId="0" borderId="8" xfId="0" quotePrefix="1" applyFont="1" applyBorder="1" applyAlignment="1">
      <alignment horizontal="center" vertical="center"/>
    </xf>
    <xf numFmtId="0" fontId="13" fillId="0" borderId="15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3" fillId="8" borderId="13" xfId="0" applyFont="1" applyFill="1" applyBorder="1" applyAlignment="1">
      <alignment horizontal="left" vertical="center"/>
    </xf>
    <xf numFmtId="0" fontId="13" fillId="8" borderId="15" xfId="0" applyFont="1" applyFill="1" applyBorder="1" applyAlignment="1">
      <alignment horizontal="left" vertical="center"/>
    </xf>
    <xf numFmtId="170" fontId="3" fillId="8" borderId="8" xfId="0" applyNumberFormat="1" applyFont="1" applyFill="1" applyBorder="1" applyAlignment="1">
      <alignment horizontal="center" vertical="center"/>
    </xf>
    <xf numFmtId="164" fontId="13" fillId="8" borderId="1" xfId="4" applyNumberFormat="1" applyFont="1" applyFill="1" applyBorder="1" applyAlignment="1">
      <alignment horizontal="center" vertical="center"/>
    </xf>
    <xf numFmtId="164" fontId="13" fillId="8" borderId="13" xfId="4" applyNumberFormat="1" applyFont="1" applyFill="1" applyBorder="1" applyAlignment="1">
      <alignment horizontal="center" vertical="center"/>
    </xf>
    <xf numFmtId="49" fontId="3" fillId="8" borderId="8" xfId="0" applyNumberFormat="1" applyFont="1" applyFill="1" applyBorder="1" applyAlignment="1">
      <alignment horizontal="center" vertical="center"/>
    </xf>
    <xf numFmtId="9" fontId="11" fillId="6" borderId="25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6" borderId="29" xfId="0" applyFont="1" applyFill="1" applyBorder="1" applyAlignment="1">
      <alignment horizontal="center" vertical="center" wrapText="1"/>
    </xf>
    <xf numFmtId="0" fontId="11" fillId="7" borderId="29" xfId="0" applyFont="1" applyFill="1" applyBorder="1" applyAlignment="1">
      <alignment horizontal="center" vertical="center" wrapText="1"/>
    </xf>
    <xf numFmtId="0" fontId="11" fillId="8" borderId="27" xfId="0" applyFont="1" applyFill="1" applyBorder="1" applyAlignment="1">
      <alignment horizontal="center" vertical="center" wrapText="1"/>
    </xf>
    <xf numFmtId="0" fontId="11" fillId="7" borderId="26" xfId="0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center" vertical="center" wrapText="1"/>
    </xf>
    <xf numFmtId="0" fontId="11" fillId="8" borderId="29" xfId="0" applyFont="1" applyFill="1" applyBorder="1" applyAlignment="1">
      <alignment horizontal="center" vertical="center" wrapText="1"/>
    </xf>
    <xf numFmtId="0" fontId="11" fillId="8" borderId="25" xfId="0" applyFont="1" applyFill="1" applyBorder="1" applyAlignment="1">
      <alignment horizontal="center" vertical="center" wrapText="1"/>
    </xf>
    <xf numFmtId="0" fontId="11" fillId="7" borderId="25" xfId="0" applyFont="1" applyFill="1" applyBorder="1" applyAlignment="1">
      <alignment horizontal="center" vertical="center" wrapText="1"/>
    </xf>
    <xf numFmtId="49" fontId="3" fillId="7" borderId="8" xfId="0" applyNumberFormat="1" applyFont="1" applyFill="1" applyBorder="1" applyAlignment="1">
      <alignment horizontal="center" vertical="center"/>
    </xf>
    <xf numFmtId="170" fontId="3" fillId="7" borderId="8" xfId="0" applyNumberFormat="1" applyFont="1" applyFill="1" applyBorder="1" applyAlignment="1">
      <alignment horizontal="center" vertical="center"/>
    </xf>
    <xf numFmtId="164" fontId="3" fillId="7" borderId="13" xfId="4" applyNumberFormat="1" applyFont="1" applyFill="1" applyBorder="1" applyAlignment="1">
      <alignment horizontal="center" vertical="center"/>
    </xf>
    <xf numFmtId="164" fontId="3" fillId="7" borderId="1" xfId="4" applyNumberFormat="1" applyFont="1" applyFill="1" applyBorder="1" applyAlignment="1">
      <alignment horizontal="center" vertical="center"/>
    </xf>
    <xf numFmtId="164" fontId="3" fillId="8" borderId="13" xfId="4" applyNumberFormat="1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49" fontId="3" fillId="6" borderId="8" xfId="0" applyNumberFormat="1" applyFont="1" applyFill="1" applyBorder="1" applyAlignment="1">
      <alignment horizontal="center" vertical="center"/>
    </xf>
    <xf numFmtId="170" fontId="11" fillId="6" borderId="8" xfId="0" applyNumberFormat="1" applyFont="1" applyFill="1" applyBorder="1" applyAlignment="1">
      <alignment horizontal="center" vertical="center"/>
    </xf>
    <xf numFmtId="170" fontId="11" fillId="7" borderId="8" xfId="0" applyNumberFormat="1" applyFont="1" applyFill="1" applyBorder="1" applyAlignment="1">
      <alignment horizontal="center" vertical="center"/>
    </xf>
    <xf numFmtId="170" fontId="11" fillId="7" borderId="15" xfId="0" applyNumberFormat="1" applyFont="1" applyFill="1" applyBorder="1" applyAlignment="1">
      <alignment horizontal="center" vertical="center"/>
    </xf>
    <xf numFmtId="0" fontId="3" fillId="0" borderId="8" xfId="0" quotePrefix="1" applyFont="1" applyBorder="1" applyAlignment="1">
      <alignment horizontal="center" vertical="center"/>
    </xf>
    <xf numFmtId="164" fontId="3" fillId="8" borderId="1" xfId="4" applyNumberFormat="1" applyFont="1" applyFill="1" applyBorder="1" applyAlignment="1">
      <alignment horizontal="center" vertical="center"/>
    </xf>
    <xf numFmtId="164" fontId="3" fillId="0" borderId="13" xfId="4" applyNumberFormat="1" applyFont="1" applyBorder="1" applyAlignment="1">
      <alignment horizontal="center" vertical="center"/>
    </xf>
    <xf numFmtId="164" fontId="3" fillId="0" borderId="15" xfId="4" applyNumberFormat="1" applyFont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horizontal="left" vertical="center"/>
    </xf>
    <xf numFmtId="170" fontId="11" fillId="6" borderId="1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171" fontId="3" fillId="0" borderId="0" xfId="0" applyNumberFormat="1" applyFont="1" applyAlignment="1">
      <alignment horizontal="center" vertical="center"/>
    </xf>
    <xf numFmtId="171" fontId="11" fillId="8" borderId="0" xfId="0" applyNumberFormat="1" applyFont="1" applyFill="1" applyAlignment="1">
      <alignment horizontal="center" vertical="center"/>
    </xf>
    <xf numFmtId="171" fontId="11" fillId="0" borderId="0" xfId="0" applyNumberFormat="1" applyFont="1" applyAlignment="1">
      <alignment horizontal="center" vertical="center"/>
    </xf>
    <xf numFmtId="0" fontId="11" fillId="7" borderId="27" xfId="0" applyFont="1" applyFill="1" applyBorder="1" applyAlignment="1">
      <alignment horizontal="center" vertical="center" wrapText="1"/>
    </xf>
    <xf numFmtId="0" fontId="3" fillId="9" borderId="0" xfId="0" applyFont="1" applyFill="1" applyAlignment="1">
      <alignment horizontal="center" vertical="center"/>
    </xf>
    <xf numFmtId="171" fontId="3" fillId="9" borderId="0" xfId="0" applyNumberFormat="1" applyFont="1" applyFill="1" applyAlignment="1">
      <alignment horizontal="center" vertical="center"/>
    </xf>
    <xf numFmtId="165" fontId="22" fillId="0" borderId="0" xfId="4" applyFont="1" applyAlignment="1">
      <alignment horizontal="center" vertical="center"/>
    </xf>
    <xf numFmtId="165" fontId="4" fillId="0" borderId="0" xfId="4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70" fontId="27" fillId="7" borderId="8" xfId="0" applyNumberFormat="1" applyFont="1" applyFill="1" applyBorder="1" applyAlignment="1">
      <alignment horizontal="center" vertical="center"/>
    </xf>
    <xf numFmtId="0" fontId="28" fillId="7" borderId="26" xfId="0" applyFont="1" applyFill="1" applyBorder="1" applyAlignment="1">
      <alignment horizontal="center" vertical="center" wrapText="1"/>
    </xf>
    <xf numFmtId="164" fontId="27" fillId="7" borderId="13" xfId="4" applyNumberFormat="1" applyFont="1" applyFill="1" applyBorder="1" applyAlignment="1">
      <alignment horizontal="center" vertical="center"/>
    </xf>
    <xf numFmtId="165" fontId="3" fillId="0" borderId="0" xfId="4" applyFont="1"/>
    <xf numFmtId="164" fontId="3" fillId="0" borderId="0" xfId="0" applyNumberFormat="1" applyFont="1"/>
    <xf numFmtId="0" fontId="29" fillId="0" borderId="30" xfId="0" applyFont="1" applyBorder="1" applyAlignment="1">
      <alignment vertical="center"/>
    </xf>
    <xf numFmtId="0" fontId="30" fillId="0" borderId="30" xfId="0" applyFont="1" applyBorder="1" applyAlignment="1">
      <alignment vertical="center"/>
    </xf>
    <xf numFmtId="165" fontId="3" fillId="10" borderId="0" xfId="4" applyFont="1" applyFill="1"/>
    <xf numFmtId="165" fontId="3" fillId="0" borderId="0" xfId="4" applyFont="1" applyFill="1"/>
    <xf numFmtId="165" fontId="27" fillId="0" borderId="0" xfId="4" applyFont="1"/>
    <xf numFmtId="0" fontId="7" fillId="11" borderId="2" xfId="0" applyFont="1" applyFill="1" applyBorder="1" applyAlignment="1">
      <alignment horizontal="center" vertical="center" wrapText="1"/>
    </xf>
    <xf numFmtId="0" fontId="7" fillId="11" borderId="4" xfId="0" applyFont="1" applyFill="1" applyBorder="1" applyAlignment="1">
      <alignment horizontal="left"/>
    </xf>
    <xf numFmtId="168" fontId="10" fillId="0" borderId="0" xfId="0" applyNumberFormat="1" applyFont="1" applyAlignment="1">
      <alignment horizontal="center"/>
    </xf>
    <xf numFmtId="173" fontId="9" fillId="2" borderId="0" xfId="0" applyNumberFormat="1" applyFont="1" applyFill="1"/>
    <xf numFmtId="173" fontId="11" fillId="2" borderId="0" xfId="0" applyNumberFormat="1" applyFont="1" applyFill="1"/>
    <xf numFmtId="0" fontId="11" fillId="12" borderId="31" xfId="0" applyFont="1" applyFill="1" applyBorder="1" applyAlignment="1">
      <alignment horizontal="center" vertical="center" textRotation="90" wrapText="1"/>
    </xf>
    <xf numFmtId="0" fontId="11" fillId="12" borderId="23" xfId="0" applyFont="1" applyFill="1" applyBorder="1" applyAlignment="1">
      <alignment horizontal="center" vertical="center" textRotation="90" wrapText="1"/>
    </xf>
    <xf numFmtId="44" fontId="3" fillId="0" borderId="0" xfId="0" applyNumberFormat="1" applyFont="1" applyAlignment="1">
      <alignment vertical="center"/>
    </xf>
    <xf numFmtId="44" fontId="3" fillId="2" borderId="0" xfId="0" applyNumberFormat="1" applyFont="1" applyFill="1" applyAlignment="1">
      <alignment vertical="center"/>
    </xf>
    <xf numFmtId="44" fontId="9" fillId="0" borderId="0" xfId="0" applyNumberFormat="1" applyFont="1" applyAlignment="1">
      <alignment vertical="center"/>
    </xf>
    <xf numFmtId="165" fontId="11" fillId="13" borderId="9" xfId="4" applyFont="1" applyFill="1" applyBorder="1" applyAlignment="1">
      <alignment horizontal="left" vertical="center"/>
    </xf>
    <xf numFmtId="0" fontId="11" fillId="13" borderId="3" xfId="0" applyFont="1" applyFill="1" applyBorder="1" applyAlignment="1">
      <alignment horizontal="left" vertical="center"/>
    </xf>
    <xf numFmtId="0" fontId="11" fillId="13" borderId="3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165" fontId="3" fillId="0" borderId="9" xfId="4" applyFont="1" applyFill="1" applyBorder="1" applyAlignment="1">
      <alignment horizontal="left" vertical="center"/>
    </xf>
    <xf numFmtId="165" fontId="3" fillId="0" borderId="0" xfId="4" applyFont="1" applyAlignment="1">
      <alignment vertical="center"/>
    </xf>
    <xf numFmtId="0" fontId="3" fillId="14" borderId="0" xfId="0" applyFont="1" applyFill="1" applyAlignment="1">
      <alignment vertical="center"/>
    </xf>
    <xf numFmtId="49" fontId="7" fillId="2" borderId="28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44" fontId="3" fillId="0" borderId="0" xfId="0" applyNumberFormat="1" applyFont="1"/>
    <xf numFmtId="165" fontId="3" fillId="0" borderId="0" xfId="0" applyNumberFormat="1" applyFont="1" applyAlignment="1">
      <alignment vertical="center"/>
    </xf>
    <xf numFmtId="165" fontId="11" fillId="0" borderId="0" xfId="0" applyNumberFormat="1" applyFont="1" applyAlignment="1">
      <alignment vertical="center"/>
    </xf>
    <xf numFmtId="44" fontId="11" fillId="0" borderId="0" xfId="0" applyNumberFormat="1" applyFont="1" applyAlignment="1">
      <alignment vertical="center"/>
    </xf>
    <xf numFmtId="174" fontId="11" fillId="0" borderId="0" xfId="0" applyNumberFormat="1" applyFont="1" applyAlignment="1">
      <alignment vertical="center"/>
    </xf>
    <xf numFmtId="165" fontId="10" fillId="0" borderId="0" xfId="4" applyFont="1" applyAlignment="1">
      <alignment horizontal="center"/>
    </xf>
    <xf numFmtId="44" fontId="3" fillId="8" borderId="0" xfId="0" applyNumberFormat="1" applyFont="1" applyFill="1"/>
    <xf numFmtId="166" fontId="7" fillId="0" borderId="2" xfId="4" applyNumberFormat="1" applyFont="1" applyFill="1" applyBorder="1" applyAlignment="1">
      <alignment horizontal="right"/>
    </xf>
    <xf numFmtId="166" fontId="7" fillId="0" borderId="3" xfId="4" applyNumberFormat="1" applyFont="1" applyFill="1" applyBorder="1" applyAlignment="1">
      <alignment horizontal="right"/>
    </xf>
    <xf numFmtId="0" fontId="0" fillId="0" borderId="0" xfId="0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 wrapText="1"/>
    </xf>
    <xf numFmtId="165" fontId="22" fillId="0" borderId="1" xfId="4" applyFont="1" applyBorder="1" applyAlignment="1">
      <alignment vertical="center"/>
    </xf>
    <xf numFmtId="165" fontId="23" fillId="0" borderId="33" xfId="4" applyFont="1" applyBorder="1" applyAlignment="1">
      <alignment horizontal="center" vertical="center"/>
    </xf>
    <xf numFmtId="2" fontId="0" fillId="0" borderId="0" xfId="0" applyNumberFormat="1"/>
    <xf numFmtId="172" fontId="0" fillId="0" borderId="0" xfId="0" applyNumberFormat="1"/>
    <xf numFmtId="0" fontId="12" fillId="2" borderId="0" xfId="0" applyFont="1" applyFill="1" applyAlignment="1">
      <alignment vertical="center"/>
    </xf>
    <xf numFmtId="0" fontId="3" fillId="7" borderId="3" xfId="0" applyFont="1" applyFill="1" applyBorder="1" applyAlignment="1">
      <alignment horizontal="left" vertical="center" wrapText="1"/>
    </xf>
    <xf numFmtId="0" fontId="3" fillId="7" borderId="3" xfId="0" applyFont="1" applyFill="1" applyBorder="1" applyAlignment="1">
      <alignment horizontal="left" vertical="center"/>
    </xf>
    <xf numFmtId="166" fontId="31" fillId="0" borderId="9" xfId="4" applyNumberFormat="1" applyFont="1" applyFill="1" applyBorder="1" applyAlignment="1">
      <alignment horizontal="right"/>
    </xf>
    <xf numFmtId="49" fontId="7" fillId="7" borderId="9" xfId="0" applyNumberFormat="1" applyFont="1" applyFill="1" applyBorder="1" applyAlignment="1">
      <alignment horizontal="center"/>
    </xf>
    <xf numFmtId="0" fontId="7" fillId="7" borderId="10" xfId="0" applyFont="1" applyFill="1" applyBorder="1" applyAlignment="1">
      <alignment horizontal="left"/>
    </xf>
    <xf numFmtId="49" fontId="7" fillId="2" borderId="28" xfId="0" applyNumberFormat="1" applyFont="1" applyFill="1" applyBorder="1" applyAlignment="1">
      <alignment horizontal="center" vertical="center"/>
    </xf>
    <xf numFmtId="166" fontId="7" fillId="0" borderId="3" xfId="4" applyNumberFormat="1" applyFont="1" applyFill="1" applyBorder="1" applyAlignment="1">
      <alignment horizontal="right" vertical="center"/>
    </xf>
    <xf numFmtId="49" fontId="7" fillId="2" borderId="24" xfId="0" applyNumberFormat="1" applyFont="1" applyFill="1" applyBorder="1" applyAlignment="1">
      <alignment horizontal="center"/>
    </xf>
    <xf numFmtId="0" fontId="23" fillId="15" borderId="23" xfId="0" applyFont="1" applyFill="1" applyBorder="1" applyAlignment="1">
      <alignment horizontal="center" vertical="center" wrapText="1"/>
    </xf>
    <xf numFmtId="0" fontId="11" fillId="15" borderId="23" xfId="0" applyFont="1" applyFill="1" applyBorder="1" applyAlignment="1">
      <alignment horizontal="center" vertical="center" textRotation="90" wrapText="1"/>
    </xf>
    <xf numFmtId="0" fontId="11" fillId="12" borderId="23" xfId="0" applyFont="1" applyFill="1" applyBorder="1" applyAlignment="1">
      <alignment horizontal="center" vertical="center" wrapText="1"/>
    </xf>
    <xf numFmtId="165" fontId="11" fillId="16" borderId="9" xfId="4" applyFont="1" applyFill="1" applyBorder="1" applyAlignment="1">
      <alignment horizontal="center" vertical="center"/>
    </xf>
    <xf numFmtId="0" fontId="11" fillId="18" borderId="9" xfId="0" applyFont="1" applyFill="1" applyBorder="1" applyAlignment="1">
      <alignment horizontal="left" vertical="center" wrapText="1"/>
    </xf>
    <xf numFmtId="0" fontId="11" fillId="18" borderId="9" xfId="0" applyFont="1" applyFill="1" applyBorder="1" applyAlignment="1">
      <alignment horizontal="justify" vertical="center" wrapText="1"/>
    </xf>
    <xf numFmtId="165" fontId="11" fillId="18" borderId="9" xfId="4" applyFont="1" applyFill="1" applyBorder="1" applyAlignment="1">
      <alignment horizontal="center" vertical="center"/>
    </xf>
    <xf numFmtId="0" fontId="11" fillId="18" borderId="2" xfId="0" applyFont="1" applyFill="1" applyBorder="1" applyAlignment="1">
      <alignment horizontal="left" vertical="center"/>
    </xf>
    <xf numFmtId="0" fontId="11" fillId="18" borderId="2" xfId="0" applyFont="1" applyFill="1" applyBorder="1" applyAlignment="1">
      <alignment horizontal="left" vertical="center" wrapText="1"/>
    </xf>
    <xf numFmtId="165" fontId="11" fillId="18" borderId="9" xfId="4" applyFont="1" applyFill="1" applyBorder="1" applyAlignment="1">
      <alignment horizontal="left" vertical="center"/>
    </xf>
    <xf numFmtId="165" fontId="3" fillId="18" borderId="9" xfId="4" applyFont="1" applyFill="1" applyBorder="1" applyAlignment="1">
      <alignment horizontal="left" vertical="center"/>
    </xf>
    <xf numFmtId="165" fontId="3" fillId="18" borderId="9" xfId="4" applyFont="1" applyFill="1" applyBorder="1" applyAlignment="1">
      <alignment horizontal="center" vertical="center"/>
    </xf>
    <xf numFmtId="0" fontId="11" fillId="18" borderId="9" xfId="0" applyFont="1" applyFill="1" applyBorder="1" applyAlignment="1">
      <alignment horizontal="left" vertical="center"/>
    </xf>
    <xf numFmtId="0" fontId="11" fillId="18" borderId="3" xfId="0" applyFont="1" applyFill="1" applyBorder="1" applyAlignment="1">
      <alignment horizontal="left" vertical="center"/>
    </xf>
    <xf numFmtId="0" fontId="11" fillId="18" borderId="3" xfId="0" applyFont="1" applyFill="1" applyBorder="1" applyAlignment="1">
      <alignment horizontal="left" vertical="center" wrapText="1"/>
    </xf>
    <xf numFmtId="0" fontId="11" fillId="17" borderId="17" xfId="0" applyFont="1" applyFill="1" applyBorder="1" applyAlignment="1">
      <alignment horizontal="left" vertical="center" wrapText="1"/>
    </xf>
    <xf numFmtId="0" fontId="11" fillId="17" borderId="17" xfId="0" applyFont="1" applyFill="1" applyBorder="1" applyAlignment="1">
      <alignment horizontal="justify" vertical="center" wrapText="1"/>
    </xf>
    <xf numFmtId="0" fontId="11" fillId="16" borderId="17" xfId="0" applyFont="1" applyFill="1" applyBorder="1" applyAlignment="1">
      <alignment horizontal="left" vertical="center" wrapText="1"/>
    </xf>
    <xf numFmtId="0" fontId="11" fillId="16" borderId="17" xfId="0" applyFont="1" applyFill="1" applyBorder="1" applyAlignment="1">
      <alignment horizontal="justify" vertical="center" wrapText="1"/>
    </xf>
    <xf numFmtId="0" fontId="11" fillId="16" borderId="2" xfId="0" applyFont="1" applyFill="1" applyBorder="1" applyAlignment="1">
      <alignment horizontal="left" vertical="center"/>
    </xf>
    <xf numFmtId="0" fontId="11" fillId="16" borderId="2" xfId="0" applyFont="1" applyFill="1" applyBorder="1" applyAlignment="1">
      <alignment horizontal="left" vertical="center" wrapText="1"/>
    </xf>
    <xf numFmtId="165" fontId="11" fillId="16" borderId="9" xfId="4" applyFont="1" applyFill="1" applyBorder="1" applyAlignment="1">
      <alignment horizontal="left" vertical="center"/>
    </xf>
    <xf numFmtId="0" fontId="11" fillId="16" borderId="3" xfId="0" applyFont="1" applyFill="1" applyBorder="1" applyAlignment="1">
      <alignment horizontal="left" vertical="center"/>
    </xf>
    <xf numFmtId="0" fontId="11" fillId="16" borderId="3" xfId="0" applyFont="1" applyFill="1" applyBorder="1" applyAlignment="1">
      <alignment horizontal="left" vertical="center" wrapText="1"/>
    </xf>
    <xf numFmtId="0" fontId="29" fillId="16" borderId="2" xfId="0" applyFont="1" applyFill="1" applyBorder="1" applyAlignment="1">
      <alignment vertical="center"/>
    </xf>
    <xf numFmtId="0" fontId="11" fillId="11" borderId="18" xfId="1" applyFont="1" applyFill="1" applyBorder="1" applyAlignment="1">
      <alignment horizontal="center" vertical="center" textRotation="90" wrapText="1"/>
    </xf>
    <xf numFmtId="0" fontId="11" fillId="11" borderId="19" xfId="1" applyFont="1" applyFill="1" applyBorder="1" applyAlignment="1">
      <alignment horizontal="center" vertical="center" textRotation="90" wrapText="1"/>
    </xf>
    <xf numFmtId="0" fontId="11" fillId="11" borderId="43" xfId="1" applyFont="1" applyFill="1" applyBorder="1" applyAlignment="1">
      <alignment horizontal="center" vertical="center" textRotation="90" wrapText="1"/>
    </xf>
    <xf numFmtId="0" fontId="11" fillId="11" borderId="20" xfId="1" applyFont="1" applyFill="1" applyBorder="1" applyAlignment="1">
      <alignment horizontal="center" vertical="center" textRotation="90" wrapText="1"/>
    </xf>
    <xf numFmtId="0" fontId="14" fillId="11" borderId="18" xfId="1" applyFont="1" applyFill="1" applyBorder="1" applyAlignment="1">
      <alignment horizontal="center" vertical="center" textRotation="90" wrapText="1"/>
    </xf>
    <xf numFmtId="0" fontId="14" fillId="11" borderId="19" xfId="1" applyFont="1" applyFill="1" applyBorder="1" applyAlignment="1">
      <alignment horizontal="center" vertical="center" textRotation="90" wrapText="1"/>
    </xf>
    <xf numFmtId="0" fontId="14" fillId="11" borderId="21" xfId="1" applyFont="1" applyFill="1" applyBorder="1" applyAlignment="1">
      <alignment horizontal="center" vertical="center" textRotation="90" wrapText="1"/>
    </xf>
    <xf numFmtId="0" fontId="14" fillId="11" borderId="20" xfId="1" applyFont="1" applyFill="1" applyBorder="1" applyAlignment="1">
      <alignment horizontal="center" vertical="center" textRotation="90" wrapText="1"/>
    </xf>
    <xf numFmtId="166" fontId="17" fillId="16" borderId="23" xfId="1" applyNumberFormat="1" applyFont="1" applyFill="1" applyBorder="1" applyAlignment="1">
      <alignment horizontal="center"/>
    </xf>
    <xf numFmtId="0" fontId="18" fillId="16" borderId="22" xfId="1" applyFont="1" applyFill="1" applyBorder="1" applyAlignment="1">
      <alignment horizontal="center" vertical="center"/>
    </xf>
    <xf numFmtId="166" fontId="18" fillId="16" borderId="23" xfId="1" applyNumberFormat="1" applyFont="1" applyFill="1" applyBorder="1" applyAlignment="1">
      <alignment horizontal="center" vertical="center"/>
    </xf>
    <xf numFmtId="0" fontId="18" fillId="16" borderId="22" xfId="1" applyFont="1" applyFill="1" applyBorder="1" applyAlignment="1">
      <alignment horizontal="center"/>
    </xf>
    <xf numFmtId="166" fontId="18" fillId="16" borderId="23" xfId="1" applyNumberFormat="1" applyFont="1" applyFill="1" applyBorder="1" applyAlignment="1">
      <alignment horizontal="center"/>
    </xf>
    <xf numFmtId="0" fontId="11" fillId="11" borderId="31" xfId="0" applyFont="1" applyFill="1" applyBorder="1" applyAlignment="1">
      <alignment horizontal="center" vertical="center" wrapText="1"/>
    </xf>
    <xf numFmtId="44" fontId="20" fillId="16" borderId="23" xfId="4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165" fontId="3" fillId="0" borderId="8" xfId="4" applyFont="1" applyFill="1" applyBorder="1" applyAlignment="1">
      <alignment horizontal="center" vertical="center"/>
    </xf>
    <xf numFmtId="165" fontId="3" fillId="0" borderId="15" xfId="4" applyFont="1" applyFill="1" applyBorder="1" applyAlignment="1">
      <alignment horizontal="center" vertical="center"/>
    </xf>
    <xf numFmtId="165" fontId="3" fillId="0" borderId="40" xfId="4" applyFont="1" applyFill="1" applyBorder="1" applyAlignment="1">
      <alignment horizontal="center" vertical="center"/>
    </xf>
    <xf numFmtId="165" fontId="3" fillId="0" borderId="13" xfId="4" applyFont="1" applyFill="1" applyBorder="1" applyAlignment="1">
      <alignment horizontal="center" vertical="center"/>
    </xf>
    <xf numFmtId="165" fontId="3" fillId="0" borderId="24" xfId="4" applyFont="1" applyFill="1" applyBorder="1" applyAlignment="1">
      <alignment horizontal="center" vertical="center"/>
    </xf>
    <xf numFmtId="0" fontId="3" fillId="0" borderId="48" xfId="0" applyFont="1" applyBorder="1" applyAlignment="1">
      <alignment vertical="center"/>
    </xf>
    <xf numFmtId="172" fontId="0" fillId="0" borderId="46" xfId="0" applyNumberFormat="1" applyBorder="1" applyAlignment="1">
      <alignment horizontal="center" vertical="center"/>
    </xf>
    <xf numFmtId="9" fontId="3" fillId="0" borderId="46" xfId="7" applyFont="1" applyFill="1" applyBorder="1" applyAlignment="1">
      <alignment horizontal="center" vertical="center"/>
    </xf>
    <xf numFmtId="172" fontId="0" fillId="0" borderId="47" xfId="0" applyNumberFormat="1" applyBorder="1" applyAlignment="1">
      <alignment vertical="center"/>
    </xf>
    <xf numFmtId="0" fontId="3" fillId="0" borderId="6" xfId="0" applyFont="1" applyBorder="1" applyAlignment="1">
      <alignment vertical="center"/>
    </xf>
    <xf numFmtId="9" fontId="3" fillId="0" borderId="1" xfId="7" applyFont="1" applyFill="1" applyBorder="1" applyAlignment="1">
      <alignment horizontal="center" vertical="center"/>
    </xf>
    <xf numFmtId="9" fontId="0" fillId="0" borderId="1" xfId="7" applyFont="1" applyFill="1" applyBorder="1" applyAlignment="1">
      <alignment horizontal="center" vertical="center"/>
    </xf>
    <xf numFmtId="0" fontId="11" fillId="0" borderId="39" xfId="0" applyFont="1" applyBorder="1" applyAlignment="1">
      <alignment horizontal="center" vertical="center" wrapText="1"/>
    </xf>
    <xf numFmtId="172" fontId="11" fillId="0" borderId="33" xfId="0" applyNumberFormat="1" applyFont="1" applyBorder="1" applyAlignment="1">
      <alignment vertical="center"/>
    </xf>
    <xf numFmtId="0" fontId="0" fillId="0" borderId="33" xfId="0" applyBorder="1" applyAlignment="1">
      <alignment horizontal="center" vertical="center"/>
    </xf>
    <xf numFmtId="164" fontId="9" fillId="16" borderId="22" xfId="1" applyNumberFormat="1" applyFont="1" applyFill="1" applyBorder="1" applyAlignment="1">
      <alignment horizontal="center" vertical="center"/>
    </xf>
    <xf numFmtId="0" fontId="11" fillId="20" borderId="23" xfId="0" applyFont="1" applyFill="1" applyBorder="1" applyAlignment="1">
      <alignment vertical="center" wrapText="1"/>
    </xf>
    <xf numFmtId="0" fontId="11" fillId="20" borderId="23" xfId="0" applyFont="1" applyFill="1" applyBorder="1" applyAlignment="1">
      <alignment horizontal="center" vertical="center" wrapText="1"/>
    </xf>
    <xf numFmtId="0" fontId="11" fillId="17" borderId="9" xfId="0" applyFont="1" applyFill="1" applyBorder="1" applyAlignment="1">
      <alignment horizontal="left" vertical="center"/>
    </xf>
    <xf numFmtId="0" fontId="11" fillId="17" borderId="9" xfId="0" applyFont="1" applyFill="1" applyBorder="1" applyAlignment="1">
      <alignment horizontal="left" vertical="center" wrapText="1"/>
    </xf>
    <xf numFmtId="0" fontId="11" fillId="17" borderId="2" xfId="0" applyFont="1" applyFill="1" applyBorder="1" applyAlignment="1">
      <alignment horizontal="left" vertical="center"/>
    </xf>
    <xf numFmtId="0" fontId="11" fillId="17" borderId="2" xfId="0" applyFont="1" applyFill="1" applyBorder="1" applyAlignment="1">
      <alignment horizontal="left" vertical="center" wrapText="1"/>
    </xf>
    <xf numFmtId="0" fontId="11" fillId="17" borderId="3" xfId="0" applyFont="1" applyFill="1" applyBorder="1" applyAlignment="1">
      <alignment horizontal="left" vertical="center"/>
    </xf>
    <xf numFmtId="0" fontId="11" fillId="17" borderId="3" xfId="0" applyFont="1" applyFill="1" applyBorder="1" applyAlignment="1">
      <alignment horizontal="left" vertical="center" wrapText="1"/>
    </xf>
    <xf numFmtId="165" fontId="17" fillId="16" borderId="23" xfId="4" applyFont="1" applyFill="1" applyBorder="1" applyAlignment="1">
      <alignment horizontal="right"/>
    </xf>
    <xf numFmtId="165" fontId="3" fillId="2" borderId="0" xfId="4" applyFont="1" applyFill="1" applyBorder="1" applyAlignment="1">
      <alignment horizontal="right" vertical="center"/>
    </xf>
    <xf numFmtId="165" fontId="11" fillId="2" borderId="0" xfId="4" applyFont="1" applyFill="1" applyAlignment="1">
      <alignment vertical="center"/>
    </xf>
    <xf numFmtId="165" fontId="11" fillId="7" borderId="9" xfId="4" applyFont="1" applyFill="1" applyBorder="1" applyAlignment="1">
      <alignment horizontal="left" vertical="center"/>
    </xf>
    <xf numFmtId="165" fontId="22" fillId="0" borderId="11" xfId="4" applyFont="1" applyBorder="1" applyAlignment="1">
      <alignment vertical="center"/>
    </xf>
    <xf numFmtId="0" fontId="11" fillId="0" borderId="23" xfId="0" applyFont="1" applyBorder="1"/>
    <xf numFmtId="0" fontId="7" fillId="2" borderId="4" xfId="0" applyFont="1" applyFill="1" applyBorder="1" applyAlignment="1">
      <alignment horizontal="left" wrapText="1"/>
    </xf>
    <xf numFmtId="0" fontId="18" fillId="8" borderId="22" xfId="1" applyFont="1" applyFill="1" applyBorder="1" applyAlignment="1">
      <alignment horizontal="center" vertical="center"/>
    </xf>
    <xf numFmtId="0" fontId="11" fillId="15" borderId="45" xfId="0" applyFont="1" applyFill="1" applyBorder="1" applyAlignment="1">
      <alignment horizontal="center" vertical="center" textRotation="90" wrapText="1"/>
    </xf>
    <xf numFmtId="0" fontId="11" fillId="15" borderId="29" xfId="0" applyFont="1" applyFill="1" applyBorder="1" applyAlignment="1">
      <alignment horizontal="center" vertical="center"/>
    </xf>
    <xf numFmtId="165" fontId="3" fillId="2" borderId="0" xfId="0" applyNumberFormat="1" applyFont="1" applyFill="1" applyAlignment="1">
      <alignment vertical="center"/>
    </xf>
    <xf numFmtId="165" fontId="27" fillId="2" borderId="9" xfId="4" applyFont="1" applyFill="1" applyBorder="1" applyAlignment="1">
      <alignment horizontal="left" vertical="center"/>
    </xf>
    <xf numFmtId="0" fontId="11" fillId="15" borderId="30" xfId="0" applyFont="1" applyFill="1" applyBorder="1" applyAlignment="1">
      <alignment horizontal="center" vertical="center"/>
    </xf>
    <xf numFmtId="165" fontId="23" fillId="21" borderId="23" xfId="4" applyFont="1" applyFill="1" applyBorder="1" applyAlignment="1">
      <alignment vertical="center" wrapText="1"/>
    </xf>
    <xf numFmtId="0" fontId="22" fillId="2" borderId="3" xfId="0" applyFont="1" applyFill="1" applyBorder="1" applyAlignment="1">
      <alignment horizontal="left" vertical="center"/>
    </xf>
    <xf numFmtId="0" fontId="7" fillId="0" borderId="56" xfId="0" applyFont="1" applyBorder="1" applyAlignment="1">
      <alignment horizontal="center" vertical="center" wrapText="1"/>
    </xf>
    <xf numFmtId="166" fontId="7" fillId="0" borderId="5" xfId="4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0" fontId="18" fillId="16" borderId="45" xfId="1" applyFont="1" applyFill="1" applyBorder="1" applyAlignment="1">
      <alignment horizontal="center" vertical="center"/>
    </xf>
    <xf numFmtId="166" fontId="7" fillId="0" borderId="1" xfId="4" applyNumberFormat="1" applyFont="1" applyFill="1" applyBorder="1" applyAlignment="1">
      <alignment horizontal="right" vertical="center"/>
    </xf>
    <xf numFmtId="166" fontId="18" fillId="16" borderId="25" xfId="1" applyNumberFormat="1" applyFont="1" applyFill="1" applyBorder="1" applyAlignment="1">
      <alignment horizontal="center" vertical="center"/>
    </xf>
    <xf numFmtId="0" fontId="3" fillId="0" borderId="1" xfId="0" applyFont="1" applyBorder="1"/>
    <xf numFmtId="0" fontId="0" fillId="0" borderId="1" xfId="0" applyBorder="1"/>
    <xf numFmtId="165" fontId="0" fillId="0" borderId="1" xfId="4" applyFont="1" applyBorder="1"/>
    <xf numFmtId="0" fontId="0" fillId="0" borderId="1" xfId="0" applyBorder="1" applyAlignment="1">
      <alignment horizontal="left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165" fontId="11" fillId="0" borderId="1" xfId="4" applyFont="1" applyFill="1" applyBorder="1" applyAlignment="1">
      <alignment horizontal="center" vertical="center"/>
    </xf>
    <xf numFmtId="49" fontId="32" fillId="0" borderId="8" xfId="0" applyNumberFormat="1" applyFont="1" applyBorder="1" applyAlignment="1">
      <alignment horizontal="left" vertical="center"/>
    </xf>
    <xf numFmtId="165" fontId="11" fillId="0" borderId="9" xfId="4" applyFont="1" applyFill="1" applyBorder="1" applyAlignment="1">
      <alignment horizontal="left" vertical="center"/>
    </xf>
    <xf numFmtId="44" fontId="35" fillId="0" borderId="23" xfId="0" applyNumberFormat="1" applyFont="1" applyBorder="1"/>
    <xf numFmtId="44" fontId="3" fillId="0" borderId="0" xfId="0" applyNumberFormat="1" applyFont="1" applyAlignment="1">
      <alignment horizontal="center" vertical="center"/>
    </xf>
    <xf numFmtId="0" fontId="11" fillId="12" borderId="23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left"/>
    </xf>
    <xf numFmtId="166" fontId="31" fillId="0" borderId="2" xfId="4" applyNumberFormat="1" applyFont="1" applyFill="1" applyBorder="1" applyAlignment="1">
      <alignment horizontal="right"/>
    </xf>
    <xf numFmtId="0" fontId="22" fillId="2" borderId="0" xfId="0" applyFont="1" applyFill="1" applyAlignment="1">
      <alignment vertical="center"/>
    </xf>
    <xf numFmtId="8" fontId="3" fillId="0" borderId="0" xfId="0" applyNumberFormat="1" applyFont="1" applyAlignment="1">
      <alignment horizontal="center" vertical="center"/>
    </xf>
    <xf numFmtId="165" fontId="11" fillId="23" borderId="9" xfId="4" applyFont="1" applyFill="1" applyBorder="1" applyAlignment="1">
      <alignment horizontal="left" vertical="center"/>
    </xf>
    <xf numFmtId="165" fontId="3" fillId="23" borderId="9" xfId="4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left" vertical="center"/>
    </xf>
    <xf numFmtId="165" fontId="23" fillId="2" borderId="9" xfId="4" applyFont="1" applyFill="1" applyBorder="1" applyAlignment="1">
      <alignment horizontal="left" vertical="center"/>
    </xf>
    <xf numFmtId="165" fontId="23" fillId="17" borderId="9" xfId="4" applyFont="1" applyFill="1" applyBorder="1" applyAlignment="1">
      <alignment horizontal="center" vertical="center"/>
    </xf>
    <xf numFmtId="165" fontId="22" fillId="17" borderId="9" xfId="4" applyFont="1" applyFill="1" applyBorder="1" applyAlignment="1">
      <alignment horizontal="center" vertical="center"/>
    </xf>
    <xf numFmtId="165" fontId="23" fillId="0" borderId="9" xfId="4" applyFont="1" applyFill="1" applyBorder="1" applyAlignment="1">
      <alignment horizontal="center" vertical="center"/>
    </xf>
    <xf numFmtId="165" fontId="22" fillId="2" borderId="9" xfId="4" applyFont="1" applyFill="1" applyBorder="1" applyAlignment="1">
      <alignment horizontal="center" vertical="center"/>
    </xf>
    <xf numFmtId="165" fontId="23" fillId="2" borderId="9" xfId="4" applyFont="1" applyFill="1" applyBorder="1" applyAlignment="1">
      <alignment horizontal="center" vertical="center"/>
    </xf>
    <xf numFmtId="165" fontId="22" fillId="0" borderId="9" xfId="4" applyFont="1" applyFill="1" applyBorder="1" applyAlignment="1">
      <alignment horizontal="left" vertical="center"/>
    </xf>
    <xf numFmtId="165" fontId="22" fillId="2" borderId="9" xfId="4" applyFont="1" applyFill="1" applyBorder="1" applyAlignment="1">
      <alignment horizontal="left" vertical="center"/>
    </xf>
    <xf numFmtId="165" fontId="23" fillId="17" borderId="9" xfId="4" applyFont="1" applyFill="1" applyBorder="1" applyAlignment="1">
      <alignment horizontal="left" vertical="center"/>
    </xf>
    <xf numFmtId="165" fontId="22" fillId="17" borderId="9" xfId="4" applyFont="1" applyFill="1" applyBorder="1" applyAlignment="1">
      <alignment horizontal="left" vertical="center"/>
    </xf>
    <xf numFmtId="165" fontId="23" fillId="0" borderId="9" xfId="4" applyFont="1" applyFill="1" applyBorder="1" applyAlignment="1">
      <alignment horizontal="left" vertical="center"/>
    </xf>
    <xf numFmtId="165" fontId="22" fillId="2" borderId="2" xfId="4" applyFont="1" applyFill="1" applyBorder="1" applyAlignment="1">
      <alignment horizontal="left" vertical="center"/>
    </xf>
    <xf numFmtId="165" fontId="22" fillId="2" borderId="2" xfId="4" applyFont="1" applyFill="1" applyBorder="1" applyAlignment="1">
      <alignment horizontal="center" vertical="center"/>
    </xf>
    <xf numFmtId="0" fontId="30" fillId="0" borderId="30" xfId="0" applyFont="1" applyBorder="1" applyAlignment="1">
      <alignment vertical="center" wrapText="1"/>
    </xf>
    <xf numFmtId="0" fontId="3" fillId="2" borderId="3" xfId="0" applyFont="1" applyFill="1" applyBorder="1" applyAlignment="1">
      <alignment horizontal="left" vertical="top" wrapText="1"/>
    </xf>
    <xf numFmtId="0" fontId="11" fillId="22" borderId="23" xfId="0" applyFont="1" applyFill="1" applyBorder="1" applyAlignment="1">
      <alignment vertical="center" wrapText="1"/>
    </xf>
    <xf numFmtId="0" fontId="11" fillId="22" borderId="23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left" vertical="center" wrapText="1"/>
    </xf>
    <xf numFmtId="0" fontId="23" fillId="16" borderId="22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 wrapText="1"/>
    </xf>
    <xf numFmtId="175" fontId="12" fillId="24" borderId="23" xfId="0" applyNumberFormat="1" applyFont="1" applyFill="1" applyBorder="1"/>
    <xf numFmtId="165" fontId="7" fillId="0" borderId="9" xfId="4" applyFont="1" applyFill="1" applyBorder="1" applyAlignment="1">
      <alignment horizontal="right" vertical="center"/>
    </xf>
    <xf numFmtId="165" fontId="7" fillId="0" borderId="2" xfId="4" applyFont="1" applyFill="1" applyBorder="1" applyAlignment="1">
      <alignment horizontal="right" vertical="center"/>
    </xf>
    <xf numFmtId="0" fontId="11" fillId="0" borderId="0" xfId="0" applyFont="1"/>
    <xf numFmtId="0" fontId="2" fillId="0" borderId="0" xfId="0" applyFont="1"/>
    <xf numFmtId="0" fontId="22" fillId="0" borderId="0" xfId="0" applyFont="1"/>
    <xf numFmtId="0" fontId="11" fillId="0" borderId="0" xfId="0" applyFont="1" applyAlignment="1">
      <alignment horizontal="left"/>
    </xf>
    <xf numFmtId="0" fontId="7" fillId="2" borderId="5" xfId="0" applyFont="1" applyFill="1" applyBorder="1" applyAlignment="1">
      <alignment horizontal="left" wrapText="1"/>
    </xf>
    <xf numFmtId="44" fontId="11" fillId="0" borderId="23" xfId="0" applyNumberFormat="1" applyFont="1" applyBorder="1"/>
    <xf numFmtId="165" fontId="11" fillId="0" borderId="6" xfId="4" applyFont="1" applyBorder="1"/>
    <xf numFmtId="0" fontId="3" fillId="2" borderId="5" xfId="0" applyFont="1" applyFill="1" applyBorder="1" applyAlignment="1">
      <alignment horizontal="left" wrapText="1"/>
    </xf>
    <xf numFmtId="165" fontId="11" fillId="0" borderId="0" xfId="0" applyNumberFormat="1" applyFont="1"/>
    <xf numFmtId="165" fontId="3" fillId="0" borderId="1" xfId="4" applyFont="1" applyBorder="1"/>
    <xf numFmtId="165" fontId="35" fillId="0" borderId="1" xfId="0" applyNumberFormat="1" applyFont="1" applyBorder="1"/>
    <xf numFmtId="44" fontId="35" fillId="0" borderId="1" xfId="0" applyNumberFormat="1" applyFont="1" applyBorder="1"/>
    <xf numFmtId="0" fontId="35" fillId="0" borderId="23" xfId="0" applyFont="1" applyBorder="1"/>
    <xf numFmtId="166" fontId="31" fillId="0" borderId="3" xfId="4" applyNumberFormat="1" applyFont="1" applyFill="1" applyBorder="1" applyAlignment="1">
      <alignment horizontal="right"/>
    </xf>
    <xf numFmtId="165" fontId="36" fillId="15" borderId="23" xfId="4" applyFont="1" applyFill="1" applyBorder="1" applyAlignment="1">
      <alignment vertical="center" wrapText="1"/>
    </xf>
    <xf numFmtId="165" fontId="11" fillId="0" borderId="8" xfId="4" applyFont="1" applyFill="1" applyBorder="1" applyAlignment="1">
      <alignment horizontal="center" vertical="center"/>
    </xf>
    <xf numFmtId="165" fontId="11" fillId="0" borderId="40" xfId="4" applyFont="1" applyFill="1" applyBorder="1" applyAlignment="1">
      <alignment horizontal="center" vertical="center"/>
    </xf>
    <xf numFmtId="165" fontId="11" fillId="25" borderId="8" xfId="4" applyFont="1" applyFill="1" applyBorder="1" applyAlignment="1">
      <alignment horizontal="center" vertical="center"/>
    </xf>
    <xf numFmtId="165" fontId="11" fillId="25" borderId="40" xfId="4" applyFont="1" applyFill="1" applyBorder="1" applyAlignment="1">
      <alignment horizontal="center" vertical="center"/>
    </xf>
    <xf numFmtId="165" fontId="11" fillId="25" borderId="13" xfId="4" applyFont="1" applyFill="1" applyBorder="1" applyAlignment="1">
      <alignment horizontal="center" vertical="center"/>
    </xf>
    <xf numFmtId="165" fontId="11" fillId="25" borderId="24" xfId="4" applyFont="1" applyFill="1" applyBorder="1" applyAlignment="1">
      <alignment horizontal="center" vertical="center"/>
    </xf>
    <xf numFmtId="44" fontId="20" fillId="11" borderId="23" xfId="4" applyNumberFormat="1" applyFont="1" applyFill="1" applyBorder="1" applyAlignment="1">
      <alignment horizontal="center" vertical="center"/>
    </xf>
    <xf numFmtId="49" fontId="37" fillId="0" borderId="8" xfId="0" applyNumberFormat="1" applyFont="1" applyBorder="1" applyAlignment="1">
      <alignment horizontal="center" vertical="center"/>
    </xf>
    <xf numFmtId="165" fontId="11" fillId="11" borderId="19" xfId="4" applyFont="1" applyFill="1" applyBorder="1" applyAlignment="1">
      <alignment horizontal="center" vertical="center"/>
    </xf>
    <xf numFmtId="172" fontId="0" fillId="0" borderId="8" xfId="0" applyNumberFormat="1" applyBorder="1" applyAlignment="1">
      <alignment horizontal="center" vertical="center"/>
    </xf>
    <xf numFmtId="172" fontId="0" fillId="0" borderId="41" xfId="0" applyNumberFormat="1" applyBorder="1" applyAlignment="1">
      <alignment vertical="center"/>
    </xf>
    <xf numFmtId="172" fontId="0" fillId="0" borderId="40" xfId="0" applyNumberFormat="1" applyBorder="1" applyAlignment="1">
      <alignment vertical="center"/>
    </xf>
    <xf numFmtId="0" fontId="11" fillId="0" borderId="25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23" fillId="0" borderId="0" xfId="0" applyFont="1"/>
    <xf numFmtId="0" fontId="34" fillId="0" borderId="0" xfId="0" applyFont="1"/>
    <xf numFmtId="0" fontId="11" fillId="0" borderId="0" xfId="0" applyFont="1" applyAlignment="1">
      <alignment wrapText="1"/>
    </xf>
    <xf numFmtId="0" fontId="13" fillId="2" borderId="4" xfId="0" applyFont="1" applyFill="1" applyBorder="1" applyAlignment="1">
      <alignment horizontal="center" wrapText="1"/>
    </xf>
    <xf numFmtId="166" fontId="13" fillId="0" borderId="2" xfId="4" applyNumberFormat="1" applyFont="1" applyFill="1" applyBorder="1" applyAlignment="1">
      <alignment horizontal="right"/>
    </xf>
    <xf numFmtId="0" fontId="11" fillId="22" borderId="0" xfId="0" applyFont="1" applyFill="1" applyAlignment="1">
      <alignment vertical="center" wrapText="1"/>
    </xf>
    <xf numFmtId="165" fontId="36" fillId="15" borderId="0" xfId="4" applyFont="1" applyFill="1" applyBorder="1" applyAlignment="1">
      <alignment vertical="center" wrapText="1"/>
    </xf>
    <xf numFmtId="175" fontId="11" fillId="2" borderId="0" xfId="0" applyNumberFormat="1" applyFont="1" applyFill="1"/>
    <xf numFmtId="0" fontId="23" fillId="22" borderId="0" xfId="0" applyFont="1" applyFill="1" applyAlignment="1">
      <alignment horizontal="center" vertical="center" wrapText="1"/>
    </xf>
    <xf numFmtId="165" fontId="23" fillId="15" borderId="0" xfId="4" applyFont="1" applyFill="1" applyBorder="1" applyAlignment="1">
      <alignment vertical="center" wrapText="1"/>
    </xf>
    <xf numFmtId="0" fontId="38" fillId="18" borderId="9" xfId="0" applyFont="1" applyFill="1" applyBorder="1" applyAlignment="1">
      <alignment horizontal="center" vertical="center" wrapText="1"/>
    </xf>
    <xf numFmtId="49" fontId="42" fillId="0" borderId="0" xfId="0" applyNumberFormat="1" applyFont="1" applyAlignment="1">
      <alignment horizontal="center" vertical="center" wrapText="1"/>
    </xf>
    <xf numFmtId="49" fontId="43" fillId="0" borderId="0" xfId="0" applyNumberFormat="1" applyFont="1" applyAlignment="1">
      <alignment vertical="center" wrapText="1"/>
    </xf>
    <xf numFmtId="0" fontId="44" fillId="0" borderId="0" xfId="0" applyFont="1" applyAlignment="1">
      <alignment wrapText="1"/>
    </xf>
    <xf numFmtId="49" fontId="45" fillId="0" borderId="0" xfId="0" applyNumberFormat="1" applyFont="1" applyAlignment="1">
      <alignment vertical="center" wrapText="1"/>
    </xf>
    <xf numFmtId="49" fontId="42" fillId="0" borderId="0" xfId="0" applyNumberFormat="1" applyFont="1" applyAlignment="1">
      <alignment vertical="center" wrapText="1"/>
    </xf>
    <xf numFmtId="0" fontId="46" fillId="11" borderId="31" xfId="0" applyFont="1" applyFill="1" applyBorder="1" applyAlignment="1">
      <alignment horizontal="center" vertical="center" wrapText="1"/>
    </xf>
    <xf numFmtId="0" fontId="46" fillId="11" borderId="23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44" fillId="0" borderId="7" xfId="0" applyFont="1" applyBorder="1" applyAlignment="1">
      <alignment horizontal="center" vertical="center" wrapText="1"/>
    </xf>
    <xf numFmtId="0" fontId="44" fillId="0" borderId="8" xfId="0" applyFont="1" applyBorder="1" applyAlignment="1">
      <alignment vertical="center" wrapText="1"/>
    </xf>
    <xf numFmtId="168" fontId="44" fillId="0" borderId="40" xfId="0" applyNumberFormat="1" applyFont="1" applyBorder="1" applyAlignment="1">
      <alignment vertical="center" wrapText="1"/>
    </xf>
    <xf numFmtId="0" fontId="44" fillId="0" borderId="0" xfId="0" applyFont="1" applyAlignment="1">
      <alignment vertical="center" wrapText="1"/>
    </xf>
    <xf numFmtId="0" fontId="44" fillId="0" borderId="6" xfId="0" applyFont="1" applyBorder="1" applyAlignment="1">
      <alignment horizontal="center" vertical="center" wrapText="1"/>
    </xf>
    <xf numFmtId="0" fontId="44" fillId="0" borderId="1" xfId="0" applyFont="1" applyBorder="1" applyAlignment="1">
      <alignment vertical="center" wrapText="1"/>
    </xf>
    <xf numFmtId="168" fontId="44" fillId="0" borderId="24" xfId="0" applyNumberFormat="1" applyFont="1" applyBorder="1" applyAlignment="1">
      <alignment vertical="center" wrapText="1"/>
    </xf>
    <xf numFmtId="0" fontId="44" fillId="0" borderId="12" xfId="0" applyFont="1" applyBorder="1" applyAlignment="1">
      <alignment horizontal="center" vertical="center" wrapText="1"/>
    </xf>
    <xf numFmtId="0" fontId="44" fillId="0" borderId="11" xfId="0" applyFont="1" applyBorder="1" applyAlignment="1">
      <alignment vertical="center" wrapText="1"/>
    </xf>
    <xf numFmtId="168" fontId="44" fillId="0" borderId="42" xfId="0" applyNumberFormat="1" applyFont="1" applyBorder="1" applyAlignment="1">
      <alignment vertical="center" wrapText="1"/>
    </xf>
    <xf numFmtId="168" fontId="47" fillId="16" borderId="23" xfId="0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 vertical="center" wrapText="1"/>
    </xf>
    <xf numFmtId="168" fontId="44" fillId="0" borderId="0" xfId="0" applyNumberFormat="1" applyFont="1" applyAlignment="1">
      <alignment vertical="center" wrapText="1"/>
    </xf>
    <xf numFmtId="168" fontId="44" fillId="0" borderId="26" xfId="0" applyNumberFormat="1" applyFont="1" applyBorder="1" applyAlignment="1">
      <alignment vertical="center" wrapText="1"/>
    </xf>
    <xf numFmtId="165" fontId="22" fillId="7" borderId="9" xfId="4" applyFont="1" applyFill="1" applyBorder="1" applyAlignment="1">
      <alignment horizontal="left" vertical="center"/>
    </xf>
    <xf numFmtId="0" fontId="11" fillId="15" borderId="9" xfId="0" applyFont="1" applyFill="1" applyBorder="1" applyAlignment="1">
      <alignment horizontal="center" vertical="center"/>
    </xf>
    <xf numFmtId="49" fontId="40" fillId="7" borderId="26" xfId="0" applyNumberFormat="1" applyFont="1" applyFill="1" applyBorder="1" applyAlignment="1">
      <alignment horizontal="center" vertical="center" wrapText="1"/>
    </xf>
    <xf numFmtId="49" fontId="40" fillId="7" borderId="57" xfId="0" applyNumberFormat="1" applyFont="1" applyFill="1" applyBorder="1" applyAlignment="1">
      <alignment vertical="center" wrapText="1"/>
    </xf>
    <xf numFmtId="0" fontId="40" fillId="7" borderId="0" xfId="0" applyFont="1" applyFill="1" applyAlignment="1">
      <alignment vertical="center" wrapText="1"/>
    </xf>
    <xf numFmtId="0" fontId="39" fillId="7" borderId="0" xfId="0" applyFont="1" applyFill="1" applyAlignment="1">
      <alignment horizontal="center" vertical="center" wrapText="1"/>
    </xf>
    <xf numFmtId="49" fontId="39" fillId="7" borderId="27" xfId="0" applyNumberFormat="1" applyFont="1" applyFill="1" applyBorder="1" applyAlignment="1">
      <alignment horizontal="center" vertical="center" wrapText="1"/>
    </xf>
    <xf numFmtId="49" fontId="39" fillId="7" borderId="27" xfId="0" applyNumberFormat="1" applyFont="1" applyFill="1" applyBorder="1" applyAlignment="1">
      <alignment vertical="center" wrapText="1"/>
    </xf>
    <xf numFmtId="49" fontId="39" fillId="7" borderId="26" xfId="0" applyNumberFormat="1" applyFont="1" applyFill="1" applyBorder="1" applyAlignment="1">
      <alignment horizontal="center" vertical="center" wrapText="1"/>
    </xf>
    <xf numFmtId="49" fontId="40" fillId="7" borderId="26" xfId="0" applyNumberFormat="1" applyFont="1" applyFill="1" applyBorder="1" applyAlignment="1">
      <alignment vertical="center" wrapText="1"/>
    </xf>
    <xf numFmtId="49" fontId="40" fillId="7" borderId="27" xfId="0" applyNumberFormat="1" applyFont="1" applyFill="1" applyBorder="1" applyAlignment="1">
      <alignment horizontal="center" vertical="center" wrapText="1"/>
    </xf>
    <xf numFmtId="49" fontId="40" fillId="7" borderId="25" xfId="0" quotePrefix="1" applyNumberFormat="1" applyFont="1" applyFill="1" applyBorder="1" applyAlignment="1">
      <alignment horizontal="center" vertical="center" wrapText="1"/>
    </xf>
    <xf numFmtId="49" fontId="40" fillId="7" borderId="25" xfId="0" applyNumberFormat="1" applyFont="1" applyFill="1" applyBorder="1" applyAlignment="1">
      <alignment vertical="center" wrapText="1"/>
    </xf>
    <xf numFmtId="49" fontId="39" fillId="7" borderId="57" xfId="0" applyNumberFormat="1" applyFont="1" applyFill="1" applyBorder="1" applyAlignment="1">
      <alignment vertical="center" wrapText="1"/>
    </xf>
    <xf numFmtId="49" fontId="40" fillId="7" borderId="25" xfId="0" applyNumberFormat="1" applyFont="1" applyFill="1" applyBorder="1" applyAlignment="1">
      <alignment horizontal="center" vertical="center" wrapText="1"/>
    </xf>
    <xf numFmtId="49" fontId="40" fillId="7" borderId="58" xfId="0" applyNumberFormat="1" applyFont="1" applyFill="1" applyBorder="1" applyAlignment="1">
      <alignment vertical="center" wrapText="1"/>
    </xf>
    <xf numFmtId="49" fontId="40" fillId="7" borderId="0" xfId="0" applyNumberFormat="1" applyFont="1" applyFill="1" applyAlignment="1">
      <alignment horizontal="center" vertical="center" wrapText="1"/>
    </xf>
    <xf numFmtId="49" fontId="40" fillId="7" borderId="0" xfId="0" applyNumberFormat="1" applyFont="1" applyFill="1" applyAlignment="1">
      <alignment vertical="center" wrapText="1"/>
    </xf>
    <xf numFmtId="49" fontId="39" fillId="7" borderId="30" xfId="0" applyNumberFormat="1" applyFont="1" applyFill="1" applyBorder="1" applyAlignment="1">
      <alignment vertical="center"/>
    </xf>
    <xf numFmtId="49" fontId="41" fillId="7" borderId="0" xfId="0" applyNumberFormat="1" applyFont="1" applyFill="1" applyAlignment="1">
      <alignment vertical="center" wrapText="1"/>
    </xf>
    <xf numFmtId="0" fontId="39" fillId="7" borderId="0" xfId="0" applyFont="1" applyFill="1" applyAlignment="1">
      <alignment vertical="center" wrapText="1"/>
    </xf>
    <xf numFmtId="49" fontId="40" fillId="7" borderId="0" xfId="0" applyNumberFormat="1" applyFont="1" applyFill="1" applyAlignment="1">
      <alignment horizontal="right" vertical="center" wrapText="1"/>
    </xf>
    <xf numFmtId="49" fontId="40" fillId="7" borderId="0" xfId="0" applyNumberFormat="1" applyFont="1" applyFill="1" applyAlignment="1">
      <alignment horizontal="left" vertical="center" wrapText="1" indent="1"/>
    </xf>
    <xf numFmtId="49" fontId="40" fillId="7" borderId="0" xfId="0" applyNumberFormat="1" applyFont="1" applyFill="1" applyAlignment="1">
      <alignment horizontal="left" vertical="center" wrapText="1"/>
    </xf>
    <xf numFmtId="0" fontId="39" fillId="16" borderId="31" xfId="0" applyFont="1" applyFill="1" applyBorder="1" applyAlignment="1">
      <alignment horizontal="center" vertical="center" wrapText="1"/>
    </xf>
    <xf numFmtId="0" fontId="39" fillId="16" borderId="23" xfId="0" applyFont="1" applyFill="1" applyBorder="1" applyAlignment="1">
      <alignment horizontal="center" vertical="center" wrapText="1"/>
    </xf>
    <xf numFmtId="0" fontId="39" fillId="16" borderId="22" xfId="0" applyFont="1" applyFill="1" applyBorder="1" applyAlignment="1">
      <alignment horizontal="center" vertical="center" wrapText="1"/>
    </xf>
    <xf numFmtId="49" fontId="39" fillId="7" borderId="37" xfId="0" applyNumberFormat="1" applyFont="1" applyFill="1" applyBorder="1" applyAlignment="1">
      <alignment vertical="center" wrapText="1"/>
    </xf>
    <xf numFmtId="0" fontId="49" fillId="0" borderId="0" xfId="0" applyFont="1"/>
    <xf numFmtId="0" fontId="50" fillId="0" borderId="0" xfId="0" applyFont="1" applyAlignment="1">
      <alignment horizontal="center"/>
    </xf>
    <xf numFmtId="0" fontId="51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51" fillId="0" borderId="0" xfId="0" applyFont="1" applyAlignment="1">
      <alignment horizontal="center" vertical="center"/>
    </xf>
    <xf numFmtId="0" fontId="51" fillId="27" borderId="33" xfId="0" applyFont="1" applyFill="1" applyBorder="1" applyAlignment="1">
      <alignment vertical="center"/>
    </xf>
    <xf numFmtId="0" fontId="58" fillId="0" borderId="0" xfId="0" applyFont="1" applyAlignment="1">
      <alignment horizontal="left"/>
    </xf>
    <xf numFmtId="49" fontId="59" fillId="0" borderId="7" xfId="0" applyNumberFormat="1" applyFont="1" applyBorder="1" applyAlignment="1">
      <alignment horizontal="center" vertical="center" wrapText="1"/>
    </xf>
    <xf numFmtId="0" fontId="60" fillId="0" borderId="15" xfId="0" applyFont="1" applyBorder="1" applyAlignment="1">
      <alignment vertical="center" wrapText="1"/>
    </xf>
    <xf numFmtId="44" fontId="61" fillId="0" borderId="8" xfId="4" applyNumberFormat="1" applyFont="1" applyFill="1" applyBorder="1" applyAlignment="1">
      <alignment vertical="center"/>
    </xf>
    <xf numFmtId="44" fontId="62" fillId="0" borderId="8" xfId="4" applyNumberFormat="1" applyFont="1" applyFill="1" applyBorder="1" applyAlignment="1">
      <alignment vertical="center"/>
    </xf>
    <xf numFmtId="44" fontId="63" fillId="0" borderId="8" xfId="4" applyNumberFormat="1" applyFont="1" applyFill="1" applyBorder="1"/>
    <xf numFmtId="44" fontId="62" fillId="0" borderId="8" xfId="4" applyNumberFormat="1" applyFont="1" applyFill="1" applyBorder="1"/>
    <xf numFmtId="44" fontId="63" fillId="28" borderId="8" xfId="4" applyNumberFormat="1" applyFont="1" applyFill="1" applyBorder="1" applyAlignment="1">
      <alignment vertical="center"/>
    </xf>
    <xf numFmtId="44" fontId="63" fillId="0" borderId="8" xfId="4" applyNumberFormat="1" applyFont="1" applyFill="1" applyBorder="1" applyAlignment="1">
      <alignment vertical="center"/>
    </xf>
    <xf numFmtId="44" fontId="63" fillId="0" borderId="1" xfId="4" applyNumberFormat="1" applyFont="1" applyFill="1" applyBorder="1" applyAlignment="1">
      <alignment vertical="center"/>
    </xf>
    <xf numFmtId="0" fontId="49" fillId="0" borderId="46" xfId="0" applyFont="1" applyBorder="1"/>
    <xf numFmtId="44" fontId="49" fillId="0" borderId="0" xfId="0" applyNumberFormat="1" applyFont="1"/>
    <xf numFmtId="0" fontId="49" fillId="29" borderId="0" xfId="0" applyFont="1" applyFill="1"/>
    <xf numFmtId="49" fontId="59" fillId="29" borderId="7" xfId="0" applyNumberFormat="1" applyFont="1" applyFill="1" applyBorder="1" applyAlignment="1">
      <alignment horizontal="center" vertical="center" wrapText="1"/>
    </xf>
    <xf numFmtId="44" fontId="61" fillId="0" borderId="13" xfId="4" applyNumberFormat="1" applyFont="1" applyFill="1" applyBorder="1" applyAlignment="1">
      <alignment vertical="center"/>
    </xf>
    <xf numFmtId="44" fontId="62" fillId="0" borderId="1" xfId="4" applyNumberFormat="1" applyFont="1" applyFill="1" applyBorder="1" applyAlignment="1">
      <alignment vertical="center"/>
    </xf>
    <xf numFmtId="44" fontId="61" fillId="0" borderId="1" xfId="4" applyNumberFormat="1" applyFont="1" applyFill="1" applyBorder="1" applyAlignment="1">
      <alignment horizontal="center" wrapText="1"/>
    </xf>
    <xf numFmtId="0" fontId="49" fillId="0" borderId="1" xfId="0" applyFont="1" applyBorder="1" applyAlignment="1">
      <alignment vertical="center"/>
    </xf>
    <xf numFmtId="0" fontId="49" fillId="0" borderId="0" xfId="0" applyFont="1" applyAlignment="1">
      <alignment vertical="center"/>
    </xf>
    <xf numFmtId="44" fontId="61" fillId="0" borderId="16" xfId="4" applyNumberFormat="1" applyFont="1" applyFill="1" applyBorder="1" applyAlignment="1">
      <alignment vertical="center"/>
    </xf>
    <xf numFmtId="44" fontId="63" fillId="0" borderId="11" xfId="4" applyNumberFormat="1" applyFont="1" applyFill="1" applyBorder="1" applyAlignment="1">
      <alignment vertical="center"/>
    </xf>
    <xf numFmtId="44" fontId="61" fillId="0" borderId="1" xfId="4" applyNumberFormat="1" applyFont="1" applyFill="1" applyBorder="1" applyAlignment="1">
      <alignment horizontal="center" vertical="center"/>
    </xf>
    <xf numFmtId="0" fontId="49" fillId="0" borderId="11" xfId="0" applyFont="1" applyBorder="1" applyAlignment="1">
      <alignment vertical="center"/>
    </xf>
    <xf numFmtId="44" fontId="63" fillId="29" borderId="11" xfId="4" applyNumberFormat="1" applyFont="1" applyFill="1" applyBorder="1" applyAlignment="1">
      <alignment vertical="center"/>
    </xf>
    <xf numFmtId="44" fontId="61" fillId="0" borderId="1" xfId="4" applyNumberFormat="1" applyFont="1" applyFill="1" applyBorder="1" applyAlignment="1">
      <alignment horizontal="center"/>
    </xf>
    <xf numFmtId="44" fontId="49" fillId="0" borderId="1" xfId="4" applyNumberFormat="1" applyFont="1" applyFill="1" applyBorder="1"/>
    <xf numFmtId="0" fontId="64" fillId="0" borderId="1" xfId="0" applyFont="1" applyBorder="1" applyAlignment="1">
      <alignment horizontal="center" vertical="center" wrapText="1"/>
    </xf>
    <xf numFmtId="44" fontId="65" fillId="27" borderId="19" xfId="4" applyNumberFormat="1" applyFont="1" applyFill="1" applyBorder="1" applyAlignment="1">
      <alignment vertical="center"/>
    </xf>
    <xf numFmtId="44" fontId="65" fillId="0" borderId="19" xfId="4" applyNumberFormat="1" applyFont="1" applyFill="1" applyBorder="1" applyAlignment="1">
      <alignment vertical="center"/>
    </xf>
    <xf numFmtId="44" fontId="66" fillId="0" borderId="19" xfId="4" applyNumberFormat="1" applyFont="1" applyFill="1" applyBorder="1" applyAlignment="1">
      <alignment vertical="center"/>
    </xf>
    <xf numFmtId="164" fontId="59" fillId="0" borderId="19" xfId="0" applyNumberFormat="1" applyFont="1" applyBorder="1" applyAlignment="1">
      <alignment vertical="center"/>
    </xf>
    <xf numFmtId="164" fontId="59" fillId="0" borderId="0" xfId="0" applyNumberFormat="1" applyFont="1" applyAlignment="1">
      <alignment vertical="center"/>
    </xf>
    <xf numFmtId="0" fontId="58" fillId="28" borderId="50" xfId="0" applyFont="1" applyFill="1" applyBorder="1"/>
    <xf numFmtId="0" fontId="58" fillId="0" borderId="50" xfId="0" applyFont="1" applyBorder="1"/>
    <xf numFmtId="0" fontId="58" fillId="28" borderId="38" xfId="0" applyFont="1" applyFill="1" applyBorder="1"/>
    <xf numFmtId="0" fontId="58" fillId="0" borderId="38" xfId="0" applyFont="1" applyBorder="1"/>
    <xf numFmtId="0" fontId="58" fillId="28" borderId="53" xfId="0" applyFont="1" applyFill="1" applyBorder="1"/>
    <xf numFmtId="0" fontId="58" fillId="0" borderId="0" xfId="0" applyFont="1"/>
    <xf numFmtId="0" fontId="58" fillId="0" borderId="1" xfId="0" applyFont="1" applyBorder="1" applyAlignment="1">
      <alignment horizontal="center"/>
    </xf>
    <xf numFmtId="44" fontId="61" fillId="29" borderId="1" xfId="4" applyNumberFormat="1" applyFont="1" applyFill="1" applyBorder="1" applyAlignment="1">
      <alignment horizontal="center"/>
    </xf>
    <xf numFmtId="44" fontId="61" fillId="28" borderId="1" xfId="4" applyNumberFormat="1" applyFont="1" applyFill="1" applyBorder="1" applyAlignment="1">
      <alignment horizontal="center"/>
    </xf>
    <xf numFmtId="164" fontId="49" fillId="0" borderId="1" xfId="0" applyNumberFormat="1" applyFont="1" applyBorder="1"/>
    <xf numFmtId="0" fontId="62" fillId="0" borderId="1" xfId="0" applyFont="1" applyBorder="1"/>
    <xf numFmtId="164" fontId="49" fillId="0" borderId="8" xfId="0" applyNumberFormat="1" applyFont="1" applyBorder="1"/>
    <xf numFmtId="164" fontId="49" fillId="0" borderId="0" xfId="0" applyNumberFormat="1" applyFont="1"/>
    <xf numFmtId="0" fontId="60" fillId="0" borderId="13" xfId="0" applyFont="1" applyBorder="1" applyAlignment="1">
      <alignment vertical="center" wrapText="1"/>
    </xf>
    <xf numFmtId="44" fontId="61" fillId="0" borderId="11" xfId="4" applyNumberFormat="1" applyFont="1" applyFill="1" applyBorder="1" applyAlignment="1">
      <alignment horizontal="center"/>
    </xf>
    <xf numFmtId="44" fontId="61" fillId="0" borderId="13" xfId="4" applyNumberFormat="1" applyFont="1" applyFill="1" applyBorder="1" applyAlignment="1">
      <alignment horizontal="center"/>
    </xf>
    <xf numFmtId="0" fontId="60" fillId="0" borderId="1" xfId="0" applyFont="1" applyBorder="1" applyAlignment="1">
      <alignment vertical="center" wrapText="1"/>
    </xf>
    <xf numFmtId="0" fontId="60" fillId="0" borderId="15" xfId="0" applyFont="1" applyBorder="1" applyAlignment="1">
      <alignment horizontal="left" vertical="center" wrapText="1"/>
    </xf>
    <xf numFmtId="44" fontId="61" fillId="0" borderId="13" xfId="4" applyNumberFormat="1" applyFont="1" applyFill="1" applyBorder="1" applyAlignment="1">
      <alignment horizontal="center" vertical="center"/>
    </xf>
    <xf numFmtId="0" fontId="67" fillId="0" borderId="13" xfId="0" applyFont="1" applyBorder="1" applyAlignment="1">
      <alignment vertical="center" wrapText="1"/>
    </xf>
    <xf numFmtId="0" fontId="68" fillId="0" borderId="13" xfId="0" applyFont="1" applyBorder="1" applyAlignment="1">
      <alignment vertical="center" wrapText="1"/>
    </xf>
    <xf numFmtId="49" fontId="69" fillId="27" borderId="1" xfId="0" applyNumberFormat="1" applyFont="1" applyFill="1" applyBorder="1" applyAlignment="1">
      <alignment horizontal="center" vertical="center" wrapText="1"/>
    </xf>
    <xf numFmtId="0" fontId="69" fillId="27" borderId="1" xfId="0" applyFont="1" applyFill="1" applyBorder="1" applyAlignment="1">
      <alignment vertical="center" wrapText="1"/>
    </xf>
    <xf numFmtId="44" fontId="70" fillId="27" borderId="1" xfId="4" applyNumberFormat="1" applyFont="1" applyFill="1" applyBorder="1" applyAlignment="1">
      <alignment horizontal="center"/>
    </xf>
    <xf numFmtId="44" fontId="70" fillId="0" borderId="1" xfId="4" applyNumberFormat="1" applyFont="1" applyFill="1" applyBorder="1" applyAlignment="1">
      <alignment horizontal="center"/>
    </xf>
    <xf numFmtId="0" fontId="60" fillId="27" borderId="1" xfId="0" applyFont="1" applyFill="1" applyBorder="1" applyAlignment="1">
      <alignment vertical="center" wrapText="1"/>
    </xf>
    <xf numFmtId="44" fontId="44" fillId="27" borderId="1" xfId="4" applyNumberFormat="1" applyFont="1" applyFill="1" applyBorder="1" applyAlignment="1">
      <alignment horizontal="center"/>
    </xf>
    <xf numFmtId="44" fontId="44" fillId="0" borderId="1" xfId="4" applyNumberFormat="1" applyFont="1" applyFill="1" applyBorder="1" applyAlignment="1">
      <alignment horizontal="center"/>
    </xf>
    <xf numFmtId="44" fontId="44" fillId="0" borderId="13" xfId="4" applyNumberFormat="1" applyFont="1" applyFill="1" applyBorder="1" applyAlignment="1">
      <alignment horizontal="center"/>
    </xf>
    <xf numFmtId="0" fontId="60" fillId="29" borderId="8" xfId="0" applyFont="1" applyFill="1" applyBorder="1" applyAlignment="1">
      <alignment vertical="center" wrapText="1"/>
    </xf>
    <xf numFmtId="0" fontId="60" fillId="29" borderId="13" xfId="0" applyFont="1" applyFill="1" applyBorder="1" applyAlignment="1">
      <alignment vertical="center" wrapText="1"/>
    </xf>
    <xf numFmtId="44" fontId="61" fillId="29" borderId="1" xfId="4" applyNumberFormat="1" applyFont="1" applyFill="1" applyBorder="1" applyAlignment="1">
      <alignment vertical="center"/>
    </xf>
    <xf numFmtId="44" fontId="61" fillId="0" borderId="1" xfId="4" applyNumberFormat="1" applyFont="1" applyFill="1" applyBorder="1" applyAlignment="1">
      <alignment vertical="center"/>
    </xf>
    <xf numFmtId="0" fontId="67" fillId="29" borderId="1" xfId="0" applyFont="1" applyFill="1" applyBorder="1" applyAlignment="1">
      <alignment vertical="center" wrapText="1"/>
    </xf>
    <xf numFmtId="0" fontId="60" fillId="29" borderId="15" xfId="0" applyFont="1" applyFill="1" applyBorder="1" applyAlignment="1">
      <alignment vertical="center" wrapText="1"/>
    </xf>
    <xf numFmtId="0" fontId="60" fillId="29" borderId="1" xfId="0" applyFont="1" applyFill="1" applyBorder="1" applyAlignment="1">
      <alignment vertical="center" wrapText="1"/>
    </xf>
    <xf numFmtId="0" fontId="49" fillId="0" borderId="1" xfId="0" applyFont="1" applyBorder="1"/>
    <xf numFmtId="164" fontId="61" fillId="0" borderId="1" xfId="0" applyNumberFormat="1" applyFont="1" applyBorder="1" applyAlignment="1">
      <alignment vertical="center"/>
    </xf>
    <xf numFmtId="171" fontId="49" fillId="0" borderId="1" xfId="0" applyNumberFormat="1" applyFont="1" applyBorder="1" applyAlignment="1">
      <alignment vertical="center"/>
    </xf>
    <xf numFmtId="171" fontId="49" fillId="0" borderId="0" xfId="0" applyNumberFormat="1" applyFont="1" applyAlignment="1">
      <alignment vertical="center"/>
    </xf>
    <xf numFmtId="164" fontId="61" fillId="0" borderId="8" xfId="0" applyNumberFormat="1" applyFont="1" applyBorder="1" applyAlignment="1">
      <alignment vertical="center"/>
    </xf>
    <xf numFmtId="44" fontId="63" fillId="29" borderId="1" xfId="4" applyNumberFormat="1" applyFont="1" applyFill="1" applyBorder="1" applyAlignment="1">
      <alignment vertical="center"/>
    </xf>
    <xf numFmtId="44" fontId="61" fillId="0" borderId="8" xfId="4" applyNumberFormat="1" applyFont="1" applyFill="1" applyBorder="1" applyAlignment="1">
      <alignment horizontal="center" vertical="center"/>
    </xf>
    <xf numFmtId="44" fontId="72" fillId="0" borderId="8" xfId="4" applyNumberFormat="1" applyFont="1" applyFill="1" applyBorder="1" applyAlignment="1">
      <alignment vertical="center"/>
    </xf>
    <xf numFmtId="44" fontId="65" fillId="27" borderId="52" xfId="4" applyNumberFormat="1" applyFont="1" applyFill="1" applyBorder="1" applyAlignment="1">
      <alignment vertical="center"/>
    </xf>
    <xf numFmtId="164" fontId="51" fillId="0" borderId="52" xfId="0" applyNumberFormat="1" applyFont="1" applyBorder="1" applyAlignment="1">
      <alignment vertical="center"/>
    </xf>
    <xf numFmtId="164" fontId="51" fillId="0" borderId="0" xfId="0" applyNumberFormat="1" applyFont="1" applyAlignment="1">
      <alignment vertical="center"/>
    </xf>
    <xf numFmtId="0" fontId="73" fillId="27" borderId="46" xfId="0" applyFont="1" applyFill="1" applyBorder="1"/>
    <xf numFmtId="0" fontId="42" fillId="27" borderId="1" xfId="0" applyFont="1" applyFill="1" applyBorder="1" applyAlignment="1">
      <alignment vertical="center"/>
    </xf>
    <xf numFmtId="44" fontId="65" fillId="27" borderId="1" xfId="0" applyNumberFormat="1" applyFont="1" applyFill="1" applyBorder="1"/>
    <xf numFmtId="44" fontId="65" fillId="0" borderId="1" xfId="0" applyNumberFormat="1" applyFont="1" applyBorder="1"/>
    <xf numFmtId="0" fontId="73" fillId="0" borderId="1" xfId="0" applyFont="1" applyBorder="1"/>
    <xf numFmtId="0" fontId="73" fillId="0" borderId="0" xfId="0" applyFont="1"/>
    <xf numFmtId="0" fontId="49" fillId="0" borderId="0" xfId="0" applyFont="1" applyAlignment="1">
      <alignment horizontal="center" wrapText="1"/>
    </xf>
    <xf numFmtId="0" fontId="49" fillId="0" borderId="0" xfId="0" applyFont="1" applyAlignment="1">
      <alignment horizontal="left" wrapText="1"/>
    </xf>
    <xf numFmtId="0" fontId="49" fillId="28" borderId="1" xfId="0" applyFont="1" applyFill="1" applyBorder="1"/>
    <xf numFmtId="0" fontId="74" fillId="28" borderId="1" xfId="0" applyFont="1" applyFill="1" applyBorder="1"/>
    <xf numFmtId="171" fontId="49" fillId="28" borderId="1" xfId="0" applyNumberFormat="1" applyFont="1" applyFill="1" applyBorder="1"/>
    <xf numFmtId="49" fontId="59" fillId="29" borderId="1" xfId="0" applyNumberFormat="1" applyFont="1" applyFill="1" applyBorder="1" applyAlignment="1">
      <alignment horizontal="center" vertical="center" wrapText="1"/>
    </xf>
    <xf numFmtId="44" fontId="61" fillId="28" borderId="1" xfId="4" applyNumberFormat="1" applyFont="1" applyFill="1" applyBorder="1" applyAlignment="1">
      <alignment vertical="center"/>
    </xf>
    <xf numFmtId="0" fontId="60" fillId="0" borderId="16" xfId="0" applyFont="1" applyBorder="1" applyAlignment="1">
      <alignment vertical="center" wrapText="1"/>
    </xf>
    <xf numFmtId="164" fontId="61" fillId="29" borderId="8" xfId="0" applyNumberFormat="1" applyFont="1" applyFill="1" applyBorder="1" applyAlignment="1">
      <alignment vertical="center"/>
    </xf>
    <xf numFmtId="0" fontId="75" fillId="29" borderId="15" xfId="0" applyFont="1" applyFill="1" applyBorder="1" applyAlignment="1">
      <alignment horizontal="center" vertical="center" wrapText="1"/>
    </xf>
    <xf numFmtId="0" fontId="75" fillId="29" borderId="13" xfId="0" applyFont="1" applyFill="1" applyBorder="1" applyAlignment="1">
      <alignment vertical="center" wrapText="1"/>
    </xf>
    <xf numFmtId="0" fontId="75" fillId="0" borderId="13" xfId="0" applyFont="1" applyBorder="1" applyAlignment="1">
      <alignment vertical="center" wrapText="1"/>
    </xf>
    <xf numFmtId="0" fontId="49" fillId="29" borderId="1" xfId="0" applyFont="1" applyFill="1" applyBorder="1" applyAlignment="1">
      <alignment vertical="center"/>
    </xf>
    <xf numFmtId="0" fontId="49" fillId="29" borderId="0" xfId="0" applyFont="1" applyFill="1" applyAlignment="1">
      <alignment vertical="center"/>
    </xf>
    <xf numFmtId="0" fontId="44" fillId="29" borderId="13" xfId="0" applyFont="1" applyFill="1" applyBorder="1" applyAlignment="1">
      <alignment horizontal="center" vertical="center" wrapText="1"/>
    </xf>
    <xf numFmtId="164" fontId="76" fillId="29" borderId="8" xfId="0" applyNumberFormat="1" applyFont="1" applyFill="1" applyBorder="1" applyAlignment="1">
      <alignment horizontal="center" vertical="center"/>
    </xf>
    <xf numFmtId="164" fontId="76" fillId="0" borderId="8" xfId="0" applyNumberFormat="1" applyFont="1" applyBorder="1" applyAlignment="1">
      <alignment horizontal="center" vertical="center"/>
    </xf>
    <xf numFmtId="44" fontId="76" fillId="0" borderId="1" xfId="4" applyNumberFormat="1" applyFont="1" applyFill="1" applyBorder="1" applyAlignment="1">
      <alignment horizontal="center" vertical="center"/>
    </xf>
    <xf numFmtId="44" fontId="70" fillId="0" borderId="1" xfId="4" applyNumberFormat="1" applyFont="1" applyFill="1" applyBorder="1" applyAlignment="1">
      <alignment vertical="center"/>
    </xf>
    <xf numFmtId="44" fontId="70" fillId="30" borderId="1" xfId="4" applyNumberFormat="1" applyFont="1" applyFill="1" applyBorder="1" applyAlignment="1">
      <alignment vertical="center"/>
    </xf>
    <xf numFmtId="44" fontId="70" fillId="26" borderId="1" xfId="4" applyNumberFormat="1" applyFont="1" applyFill="1" applyBorder="1" applyAlignment="1">
      <alignment vertical="center"/>
    </xf>
    <xf numFmtId="0" fontId="77" fillId="0" borderId="0" xfId="0" applyFont="1" applyAlignment="1">
      <alignment vertical="center"/>
    </xf>
    <xf numFmtId="49" fontId="46" fillId="0" borderId="0" xfId="0" applyNumberFormat="1" applyFont="1" applyAlignment="1">
      <alignment horizontal="center" vertical="center" wrapText="1"/>
    </xf>
    <xf numFmtId="44" fontId="49" fillId="0" borderId="0" xfId="4" applyNumberFormat="1" applyFont="1" applyFill="1" applyBorder="1"/>
    <xf numFmtId="0" fontId="53" fillId="0" borderId="0" xfId="0" applyFont="1" applyAlignment="1">
      <alignment horizontal="center"/>
    </xf>
    <xf numFmtId="0" fontId="3" fillId="13" borderId="0" xfId="0" applyFont="1" applyFill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2" fontId="11" fillId="0" borderId="1" xfId="4" applyNumberFormat="1" applyFont="1" applyFill="1" applyBorder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65" fontId="11" fillId="11" borderId="61" xfId="4" applyFont="1" applyFill="1" applyBorder="1" applyAlignment="1">
      <alignment horizontal="center" vertical="center"/>
    </xf>
    <xf numFmtId="165" fontId="11" fillId="11" borderId="64" xfId="4" applyFont="1" applyFill="1" applyBorder="1" applyAlignment="1">
      <alignment horizontal="center" vertical="center"/>
    </xf>
    <xf numFmtId="44" fontId="11" fillId="0" borderId="63" xfId="0" applyNumberFormat="1" applyFont="1" applyBorder="1" applyAlignment="1">
      <alignment horizontal="center" vertical="center"/>
    </xf>
    <xf numFmtId="44" fontId="79" fillId="0" borderId="0" xfId="0" applyNumberFormat="1" applyFont="1" applyAlignment="1">
      <alignment horizontal="center" vertical="center"/>
    </xf>
    <xf numFmtId="44" fontId="11" fillId="0" borderId="0" xfId="0" applyNumberFormat="1" applyFont="1" applyAlignment="1">
      <alignment horizontal="left" vertical="center"/>
    </xf>
    <xf numFmtId="166" fontId="7" fillId="31" borderId="9" xfId="4" applyNumberFormat="1" applyFont="1" applyFill="1" applyBorder="1" applyAlignment="1">
      <alignment horizontal="right"/>
    </xf>
    <xf numFmtId="44" fontId="80" fillId="11" borderId="23" xfId="4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43" fontId="11" fillId="0" borderId="0" xfId="11" applyFont="1" applyAlignment="1">
      <alignment horizontal="center" vertical="center"/>
    </xf>
    <xf numFmtId="44" fontId="79" fillId="0" borderId="63" xfId="0" applyNumberFormat="1" applyFont="1" applyBorder="1" applyAlignment="1">
      <alignment horizontal="center" vertical="center"/>
    </xf>
    <xf numFmtId="165" fontId="3" fillId="31" borderId="9" xfId="4" applyFont="1" applyFill="1" applyBorder="1" applyAlignment="1">
      <alignment horizontal="left" vertical="center"/>
    </xf>
    <xf numFmtId="165" fontId="3" fillId="31" borderId="9" xfId="4" applyFont="1" applyFill="1" applyBorder="1" applyAlignment="1">
      <alignment horizontal="center" vertical="center"/>
    </xf>
    <xf numFmtId="0" fontId="3" fillId="31" borderId="0" xfId="0" applyFont="1" applyFill="1" applyAlignment="1">
      <alignment vertical="center"/>
    </xf>
    <xf numFmtId="49" fontId="7" fillId="31" borderId="15" xfId="0" applyNumberFormat="1" applyFont="1" applyFill="1" applyBorder="1" applyAlignment="1">
      <alignment horizontal="center"/>
    </xf>
    <xf numFmtId="164" fontId="7" fillId="31" borderId="2" xfId="4" applyNumberFormat="1" applyFont="1" applyFill="1" applyBorder="1" applyAlignment="1">
      <alignment horizontal="right"/>
    </xf>
    <xf numFmtId="0" fontId="3" fillId="31" borderId="0" xfId="0" applyFont="1" applyFill="1"/>
    <xf numFmtId="0" fontId="7" fillId="31" borderId="7" xfId="0" applyFont="1" applyFill="1" applyBorder="1" applyAlignment="1">
      <alignment horizontal="center"/>
    </xf>
    <xf numFmtId="49" fontId="7" fillId="31" borderId="8" xfId="0" applyNumberFormat="1" applyFont="1" applyFill="1" applyBorder="1" applyAlignment="1">
      <alignment horizontal="center"/>
    </xf>
    <xf numFmtId="49" fontId="7" fillId="31" borderId="17" xfId="0" applyNumberFormat="1" applyFont="1" applyFill="1" applyBorder="1" applyAlignment="1">
      <alignment horizontal="center"/>
    </xf>
    <xf numFmtId="0" fontId="7" fillId="31" borderId="10" xfId="0" applyFont="1" applyFill="1" applyBorder="1" applyAlignment="1">
      <alignment horizontal="left"/>
    </xf>
    <xf numFmtId="0" fontId="3" fillId="31" borderId="9" xfId="0" applyFont="1" applyFill="1" applyBorder="1" applyAlignment="1">
      <alignment horizontal="left" vertical="center"/>
    </xf>
    <xf numFmtId="0" fontId="3" fillId="31" borderId="9" xfId="0" applyFont="1" applyFill="1" applyBorder="1" applyAlignment="1">
      <alignment horizontal="left" vertical="center" wrapText="1"/>
    </xf>
    <xf numFmtId="165" fontId="3" fillId="31" borderId="0" xfId="0" applyNumberFormat="1" applyFont="1" applyFill="1" applyAlignment="1">
      <alignment vertical="center"/>
    </xf>
    <xf numFmtId="0" fontId="3" fillId="31" borderId="2" xfId="0" applyFont="1" applyFill="1" applyBorder="1" applyAlignment="1">
      <alignment horizontal="left" vertical="center"/>
    </xf>
    <xf numFmtId="0" fontId="3" fillId="31" borderId="2" xfId="0" applyFont="1" applyFill="1" applyBorder="1" applyAlignment="1">
      <alignment horizontal="left" vertical="center" wrapText="1"/>
    </xf>
    <xf numFmtId="44" fontId="79" fillId="0" borderId="59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81" fillId="0" borderId="8" xfId="0" applyNumberFormat="1" applyFont="1" applyBorder="1" applyAlignment="1">
      <alignment horizontal="center" vertical="center"/>
    </xf>
    <xf numFmtId="44" fontId="79" fillId="0" borderId="8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3" fillId="0" borderId="0" xfId="0" quotePrefix="1" applyFont="1" applyAlignment="1">
      <alignment horizontal="center" vertical="center"/>
    </xf>
    <xf numFmtId="165" fontId="28" fillId="0" borderId="63" xfId="4" applyFont="1" applyBorder="1" applyAlignment="1">
      <alignment horizontal="center" vertical="center"/>
    </xf>
    <xf numFmtId="165" fontId="7" fillId="31" borderId="2" xfId="4" applyFont="1" applyFill="1" applyBorder="1" applyAlignment="1">
      <alignment horizontal="right" vertical="center"/>
    </xf>
    <xf numFmtId="44" fontId="79" fillId="13" borderId="63" xfId="0" applyNumberFormat="1" applyFont="1" applyFill="1" applyBorder="1" applyAlignment="1">
      <alignment horizontal="center" vertical="center"/>
    </xf>
    <xf numFmtId="44" fontId="79" fillId="32" borderId="63" xfId="0" applyNumberFormat="1" applyFont="1" applyFill="1" applyBorder="1" applyAlignment="1">
      <alignment horizontal="center" vertical="center"/>
    </xf>
    <xf numFmtId="44" fontId="3" fillId="31" borderId="0" xfId="0" applyNumberFormat="1" applyFont="1" applyFill="1" applyAlignment="1">
      <alignment vertical="center"/>
    </xf>
    <xf numFmtId="165" fontId="11" fillId="31" borderId="9" xfId="4" applyFont="1" applyFill="1" applyBorder="1" applyAlignment="1">
      <alignment horizontal="left" vertical="center"/>
    </xf>
    <xf numFmtId="0" fontId="83" fillId="26" borderId="65" xfId="0" applyFont="1" applyFill="1" applyBorder="1" applyAlignment="1">
      <alignment horizontal="center" vertical="center" wrapText="1"/>
    </xf>
    <xf numFmtId="0" fontId="57" fillId="26" borderId="52" xfId="0" applyFont="1" applyFill="1" applyBorder="1" applyAlignment="1">
      <alignment horizontal="center" vertical="center" wrapText="1"/>
    </xf>
    <xf numFmtId="0" fontId="84" fillId="26" borderId="52" xfId="0" applyFont="1" applyFill="1" applyBorder="1" applyAlignment="1">
      <alignment horizontal="center" vertical="center" wrapText="1"/>
    </xf>
    <xf numFmtId="0" fontId="57" fillId="26" borderId="66" xfId="0" applyFont="1" applyFill="1" applyBorder="1" applyAlignment="1">
      <alignment horizontal="center" vertical="center" wrapText="1"/>
    </xf>
    <xf numFmtId="0" fontId="57" fillId="34" borderId="66" xfId="0" applyFont="1" applyFill="1" applyBorder="1" applyAlignment="1">
      <alignment horizontal="center" vertical="center" wrapText="1"/>
    </xf>
    <xf numFmtId="0" fontId="85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vertical="center" wrapText="1"/>
    </xf>
    <xf numFmtId="44" fontId="84" fillId="0" borderId="8" xfId="4" applyNumberFormat="1" applyFont="1" applyFill="1" applyBorder="1" applyAlignment="1">
      <alignment wrapText="1"/>
    </xf>
    <xf numFmtId="44" fontId="84" fillId="0" borderId="8" xfId="4" applyNumberFormat="1" applyFont="1" applyFill="1" applyBorder="1" applyAlignment="1"/>
    <xf numFmtId="44" fontId="84" fillId="0" borderId="67" xfId="4" applyNumberFormat="1" applyFont="1" applyFill="1" applyBorder="1" applyAlignment="1">
      <alignment horizontal="right" wrapText="1"/>
    </xf>
    <xf numFmtId="44" fontId="86" fillId="29" borderId="8" xfId="4" applyNumberFormat="1" applyFont="1" applyFill="1" applyBorder="1" applyAlignment="1"/>
    <xf numFmtId="44" fontId="86" fillId="0" borderId="8" xfId="4" applyNumberFormat="1" applyFont="1" applyFill="1" applyBorder="1" applyAlignment="1"/>
    <xf numFmtId="44" fontId="86" fillId="0" borderId="15" xfId="4" applyNumberFormat="1" applyFont="1" applyFill="1" applyBorder="1" applyAlignment="1"/>
    <xf numFmtId="44" fontId="49" fillId="0" borderId="8" xfId="0" applyNumberFormat="1" applyFont="1" applyBorder="1"/>
    <xf numFmtId="0" fontId="85" fillId="0" borderId="1" xfId="0" applyFont="1" applyBorder="1" applyAlignment="1">
      <alignment horizontal="center" vertical="center" wrapText="1"/>
    </xf>
    <xf numFmtId="0" fontId="57" fillId="0" borderId="1" xfId="0" applyFont="1" applyBorder="1" applyAlignment="1">
      <alignment vertical="center" wrapText="1"/>
    </xf>
    <xf numFmtId="44" fontId="84" fillId="0" borderId="1" xfId="4" applyNumberFormat="1" applyFont="1" applyFill="1" applyBorder="1" applyAlignment="1">
      <alignment wrapText="1"/>
    </xf>
    <xf numFmtId="44" fontId="84" fillId="0" borderId="1" xfId="4" applyNumberFormat="1" applyFont="1" applyFill="1" applyBorder="1" applyAlignment="1"/>
    <xf numFmtId="44" fontId="84" fillId="0" borderId="68" xfId="4" applyNumberFormat="1" applyFont="1" applyFill="1" applyBorder="1" applyAlignment="1">
      <alignment horizontal="right" wrapText="1"/>
    </xf>
    <xf numFmtId="44" fontId="86" fillId="29" borderId="1" xfId="4" applyNumberFormat="1" applyFont="1" applyFill="1" applyBorder="1" applyAlignment="1"/>
    <xf numFmtId="44" fontId="86" fillId="0" borderId="1" xfId="4" applyNumberFormat="1" applyFont="1" applyFill="1" applyBorder="1" applyAlignment="1"/>
    <xf numFmtId="44" fontId="86" fillId="0" borderId="13" xfId="4" applyNumberFormat="1" applyFont="1" applyFill="1" applyBorder="1" applyAlignment="1"/>
    <xf numFmtId="44" fontId="49" fillId="0" borderId="1" xfId="0" applyNumberFormat="1" applyFont="1" applyBorder="1"/>
    <xf numFmtId="0" fontId="57" fillId="0" borderId="1" xfId="0" applyFont="1" applyBorder="1" applyAlignment="1">
      <alignment horizontal="left" vertical="center" wrapText="1"/>
    </xf>
    <xf numFmtId="44" fontId="84" fillId="0" borderId="1" xfId="4" applyNumberFormat="1" applyFont="1" applyFill="1" applyBorder="1" applyAlignment="1">
      <alignment horizontal="center" wrapText="1"/>
    </xf>
    <xf numFmtId="0" fontId="85" fillId="0" borderId="1" xfId="0" applyFont="1" applyBorder="1" applyAlignment="1">
      <alignment horizontal="center" wrapText="1"/>
    </xf>
    <xf numFmtId="0" fontId="57" fillId="0" borderId="1" xfId="0" applyFont="1" applyBorder="1" applyAlignment="1">
      <alignment wrapText="1"/>
    </xf>
    <xf numFmtId="44" fontId="56" fillId="0" borderId="1" xfId="4" applyNumberFormat="1" applyFont="1" applyFill="1" applyBorder="1" applyAlignment="1">
      <alignment wrapText="1"/>
    </xf>
    <xf numFmtId="44" fontId="56" fillId="0" borderId="1" xfId="4" applyNumberFormat="1" applyFont="1" applyFill="1" applyBorder="1" applyAlignment="1"/>
    <xf numFmtId="44" fontId="56" fillId="0" borderId="68" xfId="4" applyNumberFormat="1" applyFont="1" applyFill="1" applyBorder="1" applyAlignment="1">
      <alignment horizontal="right" wrapText="1"/>
    </xf>
    <xf numFmtId="44" fontId="56" fillId="29" borderId="1" xfId="4" applyNumberFormat="1" applyFont="1" applyFill="1" applyBorder="1" applyAlignment="1"/>
    <xf numFmtId="44" fontId="56" fillId="0" borderId="13" xfId="4" applyNumberFormat="1" applyFont="1" applyFill="1" applyBorder="1" applyAlignment="1"/>
    <xf numFmtId="44" fontId="73" fillId="35" borderId="1" xfId="0" applyNumberFormat="1" applyFont="1" applyFill="1" applyBorder="1"/>
    <xf numFmtId="0" fontId="88" fillId="0" borderId="0" xfId="0" applyFont="1" applyAlignment="1">
      <alignment wrapText="1"/>
    </xf>
    <xf numFmtId="14" fontId="88" fillId="0" borderId="0" xfId="0" applyNumberFormat="1" applyFont="1" applyAlignment="1">
      <alignment wrapText="1"/>
    </xf>
    <xf numFmtId="0" fontId="89" fillId="0" borderId="0" xfId="0" applyFont="1"/>
    <xf numFmtId="44" fontId="88" fillId="0" borderId="0" xfId="4" applyNumberFormat="1" applyFont="1" applyFill="1" applyBorder="1" applyAlignment="1">
      <alignment horizontal="right" wrapText="1"/>
    </xf>
    <xf numFmtId="0" fontId="88" fillId="0" borderId="0" xfId="0" applyFont="1"/>
    <xf numFmtId="9" fontId="49" fillId="0" borderId="1" xfId="0" applyNumberFormat="1" applyFont="1" applyBorder="1"/>
    <xf numFmtId="8" fontId="73" fillId="0" borderId="1" xfId="0" applyNumberFormat="1" applyFont="1" applyBorder="1"/>
    <xf numFmtId="43" fontId="3" fillId="0" borderId="1" xfId="1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44" fontId="3" fillId="0" borderId="1" xfId="0" applyNumberFormat="1" applyFont="1" applyBorder="1" applyAlignment="1">
      <alignment horizontal="center" vertical="center"/>
    </xf>
    <xf numFmtId="165" fontId="32" fillId="31" borderId="9" xfId="4" applyFont="1" applyFill="1" applyBorder="1" applyAlignment="1">
      <alignment horizontal="left" vertical="center"/>
    </xf>
    <xf numFmtId="165" fontId="27" fillId="31" borderId="9" xfId="4" applyFont="1" applyFill="1" applyBorder="1" applyAlignment="1">
      <alignment horizontal="center" vertical="center"/>
    </xf>
    <xf numFmtId="0" fontId="3" fillId="31" borderId="3" xfId="0" applyFont="1" applyFill="1" applyBorder="1" applyAlignment="1">
      <alignment horizontal="left" vertical="center"/>
    </xf>
    <xf numFmtId="0" fontId="3" fillId="31" borderId="3" xfId="0" applyFont="1" applyFill="1" applyBorder="1" applyAlignment="1">
      <alignment horizontal="left" vertical="center" wrapText="1"/>
    </xf>
    <xf numFmtId="165" fontId="3" fillId="31" borderId="2" xfId="4" applyFont="1" applyFill="1" applyBorder="1" applyAlignment="1">
      <alignment horizontal="left" vertical="center"/>
    </xf>
    <xf numFmtId="165" fontId="3" fillId="31" borderId="2" xfId="4" applyFont="1" applyFill="1" applyBorder="1" applyAlignment="1">
      <alignment horizontal="center" vertical="center"/>
    </xf>
    <xf numFmtId="165" fontId="27" fillId="31" borderId="9" xfId="4" applyFont="1" applyFill="1" applyBorder="1" applyAlignment="1">
      <alignment horizontal="left" vertical="center"/>
    </xf>
    <xf numFmtId="0" fontId="3" fillId="31" borderId="4" xfId="0" applyFont="1" applyFill="1" applyBorder="1" applyAlignment="1">
      <alignment horizontal="left" vertical="center"/>
    </xf>
    <xf numFmtId="0" fontId="11" fillId="12" borderId="57" xfId="0" applyFont="1" applyFill="1" applyBorder="1" applyAlignment="1">
      <alignment horizontal="center" vertical="center"/>
    </xf>
    <xf numFmtId="0" fontId="90" fillId="7" borderId="0" xfId="0" applyFont="1" applyFill="1" applyAlignment="1">
      <alignment horizontal="center"/>
    </xf>
    <xf numFmtId="0" fontId="90" fillId="7" borderId="0" xfId="0" applyFont="1" applyFill="1"/>
    <xf numFmtId="0" fontId="91" fillId="7" borderId="63" xfId="0" applyFont="1" applyFill="1" applyBorder="1"/>
    <xf numFmtId="0" fontId="91" fillId="7" borderId="63" xfId="0" applyFont="1" applyFill="1" applyBorder="1" applyAlignment="1">
      <alignment horizontal="center" vertical="center" wrapText="1"/>
    </xf>
    <xf numFmtId="0" fontId="90" fillId="7" borderId="0" xfId="0" applyFont="1" applyFill="1" applyAlignment="1">
      <alignment horizontal="center" vertical="center"/>
    </xf>
    <xf numFmtId="43" fontId="93" fillId="7" borderId="0" xfId="11" applyFont="1" applyFill="1"/>
    <xf numFmtId="0" fontId="90" fillId="7" borderId="69" xfId="0" applyFont="1" applyFill="1" applyBorder="1" applyAlignment="1">
      <alignment horizontal="left"/>
    </xf>
    <xf numFmtId="0" fontId="90" fillId="7" borderId="69" xfId="0" applyFont="1" applyFill="1" applyBorder="1" applyAlignment="1">
      <alignment horizontal="center"/>
    </xf>
    <xf numFmtId="43" fontId="90" fillId="7" borderId="0" xfId="11" applyFont="1" applyFill="1" applyBorder="1" applyAlignment="1">
      <alignment horizontal="center"/>
    </xf>
    <xf numFmtId="43" fontId="77" fillId="7" borderId="0" xfId="11" applyFont="1" applyFill="1"/>
    <xf numFmtId="0" fontId="91" fillId="7" borderId="0" xfId="0" applyFont="1" applyFill="1" applyAlignment="1">
      <alignment horizontal="left" vertical="center" wrapText="1"/>
    </xf>
    <xf numFmtId="0" fontId="90" fillId="7" borderId="0" xfId="0" applyFont="1" applyFill="1" applyAlignment="1">
      <alignment horizontal="left"/>
    </xf>
    <xf numFmtId="43" fontId="90" fillId="7" borderId="0" xfId="11" applyFont="1" applyFill="1" applyAlignment="1">
      <alignment horizontal="center"/>
    </xf>
    <xf numFmtId="0" fontId="91" fillId="7" borderId="69" xfId="0" applyFont="1" applyFill="1" applyBorder="1" applyAlignment="1">
      <alignment horizontal="left" vertical="center"/>
    </xf>
    <xf numFmtId="0" fontId="91" fillId="7" borderId="0" xfId="0" applyFont="1" applyFill="1" applyAlignment="1">
      <alignment horizontal="left" vertical="center"/>
    </xf>
    <xf numFmtId="0" fontId="91" fillId="7" borderId="63" xfId="0" applyFont="1" applyFill="1" applyBorder="1" applyAlignment="1">
      <alignment horizontal="left" vertical="center"/>
    </xf>
    <xf numFmtId="0" fontId="90" fillId="7" borderId="63" xfId="0" applyFont="1" applyFill="1" applyBorder="1" applyAlignment="1">
      <alignment horizontal="left"/>
    </xf>
    <xf numFmtId="0" fontId="90" fillId="7" borderId="63" xfId="0" applyFont="1" applyFill="1" applyBorder="1" applyAlignment="1">
      <alignment horizontal="center"/>
    </xf>
    <xf numFmtId="43" fontId="77" fillId="7" borderId="0" xfId="11" applyFont="1" applyFill="1" applyBorder="1"/>
    <xf numFmtId="2" fontId="93" fillId="7" borderId="63" xfId="11" applyNumberFormat="1" applyFont="1" applyFill="1" applyBorder="1" applyAlignment="1">
      <alignment horizontal="right"/>
    </xf>
    <xf numFmtId="0" fontId="91" fillId="7" borderId="63" xfId="0" applyFont="1" applyFill="1" applyBorder="1" applyAlignment="1">
      <alignment horizontal="center" vertical="center"/>
    </xf>
    <xf numFmtId="0" fontId="90" fillId="7" borderId="69" xfId="0" applyFont="1" applyFill="1" applyBorder="1"/>
    <xf numFmtId="43" fontId="90" fillId="7" borderId="0" xfId="11" applyFont="1" applyFill="1" applyBorder="1" applyAlignment="1">
      <alignment horizontal="center" vertical="center"/>
    </xf>
    <xf numFmtId="43" fontId="90" fillId="7" borderId="0" xfId="0" applyNumberFormat="1" applyFont="1" applyFill="1" applyAlignment="1">
      <alignment horizontal="center"/>
    </xf>
    <xf numFmtId="0" fontId="91" fillId="7" borderId="63" xfId="0" applyFont="1" applyFill="1" applyBorder="1" applyAlignment="1">
      <alignment vertical="center"/>
    </xf>
    <xf numFmtId="0" fontId="94" fillId="7" borderId="0" xfId="0" applyFont="1" applyFill="1" applyAlignment="1">
      <alignment horizontal="center"/>
    </xf>
    <xf numFmtId="44" fontId="11" fillId="2" borderId="0" xfId="0" applyNumberFormat="1" applyFont="1" applyFill="1" applyAlignment="1">
      <alignment vertical="center"/>
    </xf>
    <xf numFmtId="0" fontId="91" fillId="7" borderId="63" xfId="0" applyFont="1" applyFill="1" applyBorder="1" applyAlignment="1">
      <alignment horizontal="left" vertical="center" wrapText="1"/>
    </xf>
    <xf numFmtId="43" fontId="90" fillId="7" borderId="69" xfId="11" applyFont="1" applyFill="1" applyBorder="1" applyAlignment="1">
      <alignment horizontal="center"/>
    </xf>
    <xf numFmtId="43" fontId="90" fillId="7" borderId="69" xfId="0" applyNumberFormat="1" applyFont="1" applyFill="1" applyBorder="1" applyAlignment="1">
      <alignment horizontal="center"/>
    </xf>
    <xf numFmtId="43" fontId="77" fillId="7" borderId="69" xfId="11" applyFont="1" applyFill="1" applyBorder="1"/>
    <xf numFmtId="0" fontId="90" fillId="7" borderId="0" xfId="0" applyFont="1" applyFill="1" applyAlignment="1">
      <alignment horizontal="center" wrapText="1"/>
    </xf>
    <xf numFmtId="43" fontId="90" fillId="7" borderId="0" xfId="11" applyFont="1" applyFill="1"/>
    <xf numFmtId="43" fontId="90" fillId="7" borderId="69" xfId="11" applyFont="1" applyFill="1" applyBorder="1"/>
    <xf numFmtId="43" fontId="90" fillId="7" borderId="0" xfId="11" applyFont="1" applyFill="1" applyBorder="1" applyAlignment="1">
      <alignment vertical="center"/>
    </xf>
    <xf numFmtId="43" fontId="90" fillId="7" borderId="69" xfId="11" applyFont="1" applyFill="1" applyBorder="1" applyAlignment="1">
      <alignment vertical="center"/>
    </xf>
    <xf numFmtId="43" fontId="93" fillId="7" borderId="63" xfId="11" applyFont="1" applyFill="1" applyBorder="1" applyAlignment="1">
      <alignment horizontal="right"/>
    </xf>
    <xf numFmtId="43" fontId="90" fillId="7" borderId="0" xfId="0" applyNumberFormat="1" applyFont="1" applyFill="1"/>
    <xf numFmtId="0" fontId="10" fillId="0" borderId="0" xfId="0" applyFont="1" applyAlignment="1">
      <alignment horizontal="center" vertical="center"/>
    </xf>
    <xf numFmtId="0" fontId="14" fillId="11" borderId="27" xfId="1" applyFont="1" applyFill="1" applyBorder="1" applyAlignment="1" applyProtection="1">
      <alignment horizontal="center" vertical="center" textRotation="90" wrapText="1"/>
      <protection locked="0" hidden="1"/>
    </xf>
    <xf numFmtId="0" fontId="14" fillId="11" borderId="25" xfId="1" applyFont="1" applyFill="1" applyBorder="1" applyAlignment="1" applyProtection="1">
      <alignment horizontal="center" vertical="center" textRotation="90" wrapText="1"/>
      <protection locked="0" hidden="1"/>
    </xf>
    <xf numFmtId="0" fontId="3" fillId="32" borderId="0" xfId="0" applyFont="1" applyFill="1"/>
    <xf numFmtId="166" fontId="11" fillId="2" borderId="0" xfId="0" applyNumberFormat="1" applyFont="1" applyFill="1"/>
    <xf numFmtId="44" fontId="14" fillId="0" borderId="0" xfId="0" applyNumberFormat="1" applyFont="1" applyAlignment="1">
      <alignment vertical="center"/>
    </xf>
    <xf numFmtId="0" fontId="3" fillId="13" borderId="0" xfId="0" applyFont="1" applyFill="1" applyAlignment="1">
      <alignment vertical="center"/>
    </xf>
    <xf numFmtId="165" fontId="7" fillId="13" borderId="9" xfId="4" applyFont="1" applyFill="1" applyBorder="1" applyAlignment="1">
      <alignment horizontal="right" vertical="center"/>
    </xf>
    <xf numFmtId="166" fontId="7" fillId="0" borderId="9" xfId="4" applyNumberFormat="1" applyFont="1" applyFill="1" applyBorder="1" applyAlignment="1">
      <alignment horizontal="right"/>
    </xf>
    <xf numFmtId="166" fontId="7" fillId="0" borderId="26" xfId="4" applyNumberFormat="1" applyFont="1" applyFill="1" applyBorder="1" applyAlignment="1">
      <alignment horizontal="right"/>
    </xf>
    <xf numFmtId="166" fontId="31" fillId="0" borderId="26" xfId="4" applyNumberFormat="1" applyFont="1" applyFill="1" applyBorder="1" applyAlignment="1">
      <alignment horizontal="right"/>
    </xf>
    <xf numFmtId="0" fontId="0" fillId="7" borderId="0" xfId="0" applyFill="1"/>
    <xf numFmtId="0" fontId="95" fillId="7" borderId="21" xfId="0" applyFont="1" applyFill="1" applyBorder="1" applyAlignment="1">
      <alignment horizontal="left" vertical="center" wrapText="1"/>
    </xf>
    <xf numFmtId="0" fontId="95" fillId="7" borderId="23" xfId="0" applyFont="1" applyFill="1" applyBorder="1" applyAlignment="1">
      <alignment horizontal="center" vertical="center" wrapText="1"/>
    </xf>
    <xf numFmtId="49" fontId="95" fillId="7" borderId="23" xfId="0" applyNumberFormat="1" applyFont="1" applyFill="1" applyBorder="1" applyAlignment="1">
      <alignment horizontal="center" vertical="center" wrapText="1"/>
    </xf>
    <xf numFmtId="0" fontId="95" fillId="7" borderId="23" xfId="0" applyFont="1" applyFill="1" applyBorder="1" applyAlignment="1">
      <alignment horizontal="left" vertical="center" wrapText="1"/>
    </xf>
    <xf numFmtId="44" fontId="95" fillId="7" borderId="23" xfId="0" applyNumberFormat="1" applyFont="1" applyFill="1" applyBorder="1" applyAlignment="1">
      <alignment horizontal="center" vertical="center" wrapText="1"/>
    </xf>
    <xf numFmtId="0" fontId="96" fillId="7" borderId="8" xfId="0" applyFont="1" applyFill="1" applyBorder="1" applyAlignment="1">
      <alignment horizontal="left" vertical="center" wrapText="1"/>
    </xf>
    <xf numFmtId="49" fontId="90" fillId="7" borderId="8" xfId="0" applyNumberFormat="1" applyFont="1" applyFill="1" applyBorder="1" applyAlignment="1">
      <alignment horizontal="center" vertical="center" wrapText="1"/>
    </xf>
    <xf numFmtId="0" fontId="90" fillId="7" borderId="8" xfId="0" applyFont="1" applyFill="1" applyBorder="1" applyAlignment="1">
      <alignment horizontal="left" vertical="center" wrapText="1"/>
    </xf>
    <xf numFmtId="44" fontId="90" fillId="7" borderId="8" xfId="0" applyNumberFormat="1" applyFont="1" applyFill="1" applyBorder="1" applyAlignment="1">
      <alignment horizontal="center" vertical="center" wrapText="1"/>
    </xf>
    <xf numFmtId="49" fontId="90" fillId="7" borderId="1" xfId="0" applyNumberFormat="1" applyFont="1" applyFill="1" applyBorder="1" applyAlignment="1">
      <alignment horizontal="center" vertical="center" wrapText="1"/>
    </xf>
    <xf numFmtId="44" fontId="90" fillId="7" borderId="1" xfId="0" applyNumberFormat="1" applyFont="1" applyFill="1" applyBorder="1" applyAlignment="1">
      <alignment horizontal="center" vertical="center" wrapText="1"/>
    </xf>
    <xf numFmtId="44" fontId="0" fillId="7" borderId="0" xfId="0" applyNumberFormat="1" applyFill="1"/>
    <xf numFmtId="0" fontId="90" fillId="7" borderId="8" xfId="0" applyFont="1" applyFill="1" applyBorder="1" applyAlignment="1">
      <alignment vertical="center" wrapText="1"/>
    </xf>
    <xf numFmtId="49" fontId="90" fillId="7" borderId="8" xfId="0" applyNumberFormat="1" applyFont="1" applyFill="1" applyBorder="1" applyAlignment="1">
      <alignment horizontal="center" vertical="center"/>
    </xf>
    <xf numFmtId="0" fontId="90" fillId="7" borderId="8" xfId="0" applyFont="1" applyFill="1" applyBorder="1" applyAlignment="1">
      <alignment horizontal="center" vertical="center"/>
    </xf>
    <xf numFmtId="44" fontId="90" fillId="7" borderId="8" xfId="0" applyNumberFormat="1" applyFont="1" applyFill="1" applyBorder="1" applyAlignment="1">
      <alignment vertical="center"/>
    </xf>
    <xf numFmtId="0" fontId="90" fillId="7" borderId="1" xfId="0" applyFont="1" applyFill="1" applyBorder="1" applyAlignment="1">
      <alignment horizontal="center" vertical="center" wrapText="1"/>
    </xf>
    <xf numFmtId="0" fontId="96" fillId="7" borderId="8" xfId="0" applyFont="1" applyFill="1" applyBorder="1" applyAlignment="1">
      <alignment horizontal="center" vertical="center" wrapText="1"/>
    </xf>
    <xf numFmtId="49" fontId="96" fillId="7" borderId="8" xfId="0" applyNumberFormat="1" applyFont="1" applyFill="1" applyBorder="1" applyAlignment="1">
      <alignment horizontal="center" vertical="center" wrapText="1"/>
    </xf>
    <xf numFmtId="0" fontId="95" fillId="7" borderId="18" xfId="0" applyFont="1" applyFill="1" applyBorder="1" applyAlignment="1">
      <alignment horizontal="center" vertical="center" wrapText="1"/>
    </xf>
    <xf numFmtId="0" fontId="95" fillId="7" borderId="19" xfId="0" applyFont="1" applyFill="1" applyBorder="1" applyAlignment="1">
      <alignment horizontal="center" vertical="center" wrapText="1"/>
    </xf>
    <xf numFmtId="0" fontId="90" fillId="7" borderId="8" xfId="0" applyFont="1" applyFill="1" applyBorder="1" applyAlignment="1">
      <alignment horizontal="center" vertical="center" wrapText="1"/>
    </xf>
    <xf numFmtId="49" fontId="95" fillId="7" borderId="19" xfId="0" applyNumberFormat="1" applyFont="1" applyFill="1" applyBorder="1" applyAlignment="1">
      <alignment horizontal="center" vertical="center" wrapText="1"/>
    </xf>
    <xf numFmtId="44" fontId="95" fillId="7" borderId="20" xfId="0" applyNumberFormat="1" applyFont="1" applyFill="1" applyBorder="1" applyAlignment="1">
      <alignment horizontal="center" vertical="center" wrapText="1"/>
    </xf>
    <xf numFmtId="0" fontId="96" fillId="7" borderId="46" xfId="0" applyFont="1" applyFill="1" applyBorder="1" applyAlignment="1">
      <alignment horizontal="center" vertical="center" wrapText="1"/>
    </xf>
    <xf numFmtId="49" fontId="96" fillId="7" borderId="46" xfId="0" applyNumberFormat="1" applyFont="1" applyFill="1" applyBorder="1" applyAlignment="1">
      <alignment horizontal="center" vertical="center" wrapText="1"/>
    </xf>
    <xf numFmtId="0" fontId="96" fillId="7" borderId="46" xfId="0" applyFont="1" applyFill="1" applyBorder="1" applyAlignment="1">
      <alignment horizontal="left" vertical="center" wrapText="1"/>
    </xf>
    <xf numFmtId="44" fontId="96" fillId="7" borderId="46" xfId="0" applyNumberFormat="1" applyFont="1" applyFill="1" applyBorder="1" applyAlignment="1">
      <alignment horizontal="center" vertical="center" wrapText="1"/>
    </xf>
    <xf numFmtId="44" fontId="96" fillId="7" borderId="8" xfId="0" applyNumberFormat="1" applyFont="1" applyFill="1" applyBorder="1" applyAlignment="1">
      <alignment horizontal="center" vertical="center" wrapText="1"/>
    </xf>
    <xf numFmtId="0" fontId="96" fillId="7" borderId="15" xfId="0" applyFont="1" applyFill="1" applyBorder="1" applyAlignment="1">
      <alignment horizontal="left" vertical="center" wrapText="1"/>
    </xf>
    <xf numFmtId="0" fontId="90" fillId="7" borderId="15" xfId="0" applyFont="1" applyFill="1" applyBorder="1" applyAlignment="1">
      <alignment horizontal="center" vertical="center" wrapText="1"/>
    </xf>
    <xf numFmtId="0" fontId="95" fillId="7" borderId="35" xfId="0" applyFont="1" applyFill="1" applyBorder="1" applyAlignment="1">
      <alignment horizontal="center" vertical="center" wrapText="1"/>
    </xf>
    <xf numFmtId="49" fontId="95" fillId="7" borderId="61" xfId="0" applyNumberFormat="1" applyFont="1" applyFill="1" applyBorder="1" applyAlignment="1">
      <alignment horizontal="center" vertical="center" wrapText="1"/>
    </xf>
    <xf numFmtId="0" fontId="95" fillId="7" borderId="61" xfId="0" applyFont="1" applyFill="1" applyBorder="1" applyAlignment="1">
      <alignment horizontal="center" vertical="center" wrapText="1"/>
    </xf>
    <xf numFmtId="0" fontId="95" fillId="7" borderId="43" xfId="0" applyFont="1" applyFill="1" applyBorder="1" applyAlignment="1">
      <alignment horizontal="left" vertical="center" wrapText="1"/>
    </xf>
    <xf numFmtId="44" fontId="95" fillId="7" borderId="64" xfId="0" applyNumberFormat="1" applyFont="1" applyFill="1" applyBorder="1" applyAlignment="1">
      <alignment horizontal="center" vertical="center" wrapText="1"/>
    </xf>
    <xf numFmtId="0" fontId="90" fillId="7" borderId="46" xfId="0" applyFont="1" applyFill="1" applyBorder="1" applyAlignment="1">
      <alignment horizontal="left" vertical="center" wrapText="1"/>
    </xf>
    <xf numFmtId="49" fontId="90" fillId="7" borderId="46" xfId="0" applyNumberFormat="1" applyFont="1" applyFill="1" applyBorder="1" applyAlignment="1">
      <alignment horizontal="center" vertical="center" wrapText="1"/>
    </xf>
    <xf numFmtId="0" fontId="90" fillId="7" borderId="49" xfId="0" applyFont="1" applyFill="1" applyBorder="1" applyAlignment="1">
      <alignment horizontal="center" vertical="center" wrapText="1"/>
    </xf>
    <xf numFmtId="44" fontId="90" fillId="7" borderId="46" xfId="0" applyNumberFormat="1" applyFont="1" applyFill="1" applyBorder="1" applyAlignment="1">
      <alignment horizontal="center" vertical="center" wrapText="1"/>
    </xf>
    <xf numFmtId="0" fontId="96" fillId="7" borderId="61" xfId="0" applyFont="1" applyFill="1" applyBorder="1" applyAlignment="1">
      <alignment horizontal="center" vertical="center" wrapText="1"/>
    </xf>
    <xf numFmtId="0" fontId="90" fillId="7" borderId="1" xfId="0" applyFont="1" applyFill="1" applyBorder="1" applyAlignment="1">
      <alignment horizontal="left" vertical="center" wrapText="1"/>
    </xf>
    <xf numFmtId="0" fontId="90" fillId="7" borderId="8" xfId="0" applyFont="1" applyFill="1" applyBorder="1" applyAlignment="1">
      <alignment horizontal="left" vertical="top" wrapText="1"/>
    </xf>
    <xf numFmtId="44" fontId="95" fillId="7" borderId="31" xfId="0" applyNumberFormat="1" applyFont="1" applyFill="1" applyBorder="1" applyAlignment="1">
      <alignment horizontal="center" vertical="center" wrapText="1"/>
    </xf>
    <xf numFmtId="0" fontId="0" fillId="7" borderId="1" xfId="0" applyFill="1" applyBorder="1"/>
    <xf numFmtId="44" fontId="11" fillId="7" borderId="1" xfId="0" applyNumberFormat="1" applyFont="1" applyFill="1" applyBorder="1"/>
    <xf numFmtId="165" fontId="79" fillId="7" borderId="1" xfId="0" applyNumberFormat="1" applyFont="1" applyFill="1" applyBorder="1"/>
    <xf numFmtId="44" fontId="95" fillId="7" borderId="3" xfId="0" applyNumberFormat="1" applyFont="1" applyFill="1" applyBorder="1" applyAlignment="1">
      <alignment horizontal="center" vertical="center" wrapText="1"/>
    </xf>
    <xf numFmtId="0" fontId="98" fillId="7" borderId="1" xfId="0" applyFont="1" applyFill="1" applyBorder="1" applyAlignment="1">
      <alignment vertical="center"/>
    </xf>
    <xf numFmtId="165" fontId="98" fillId="7" borderId="1" xfId="4" applyFont="1" applyFill="1" applyBorder="1" applyAlignment="1">
      <alignment vertical="center"/>
    </xf>
    <xf numFmtId="44" fontId="98" fillId="7" borderId="1" xfId="0" applyNumberFormat="1" applyFont="1" applyFill="1" applyBorder="1" applyAlignment="1">
      <alignment vertical="center"/>
    </xf>
    <xf numFmtId="44" fontId="98" fillId="7" borderId="1" xfId="0" applyNumberFormat="1" applyFont="1" applyFill="1" applyBorder="1"/>
    <xf numFmtId="0" fontId="98" fillId="7" borderId="1" xfId="0" applyFont="1" applyFill="1" applyBorder="1"/>
    <xf numFmtId="165" fontId="98" fillId="7" borderId="1" xfId="0" applyNumberFormat="1" applyFont="1" applyFill="1" applyBorder="1"/>
    <xf numFmtId="44" fontId="95" fillId="7" borderId="0" xfId="0" applyNumberFormat="1" applyFont="1" applyFill="1" applyAlignment="1">
      <alignment horizontal="center" vertical="center" wrapText="1"/>
    </xf>
    <xf numFmtId="0" fontId="12" fillId="7" borderId="0" xfId="0" applyFont="1" applyFill="1" applyAlignment="1">
      <alignment horizontal="center"/>
    </xf>
    <xf numFmtId="44" fontId="95" fillId="7" borderId="17" xfId="0" applyNumberFormat="1" applyFont="1" applyFill="1" applyBorder="1" applyAlignment="1">
      <alignment horizontal="center" vertical="center" wrapText="1"/>
    </xf>
    <xf numFmtId="44" fontId="95" fillId="7" borderId="27" xfId="0" applyNumberFormat="1" applyFont="1" applyFill="1" applyBorder="1" applyAlignment="1">
      <alignment horizontal="center" vertical="center" wrapText="1"/>
    </xf>
    <xf numFmtId="44" fontId="0" fillId="7" borderId="1" xfId="0" applyNumberFormat="1" applyFill="1" applyBorder="1"/>
    <xf numFmtId="44" fontId="95" fillId="7" borderId="48" xfId="0" applyNumberFormat="1" applyFont="1" applyFill="1" applyBorder="1" applyAlignment="1">
      <alignment horizontal="center" vertical="center" wrapText="1"/>
    </xf>
    <xf numFmtId="44" fontId="95" fillId="7" borderId="39" xfId="0" applyNumberFormat="1" applyFont="1" applyFill="1" applyBorder="1" applyAlignment="1">
      <alignment horizontal="center" vertical="center" wrapText="1"/>
    </xf>
    <xf numFmtId="44" fontId="90" fillId="7" borderId="28" xfId="0" applyNumberFormat="1" applyFont="1" applyFill="1" applyBorder="1" applyAlignment="1">
      <alignment vertical="center"/>
    </xf>
    <xf numFmtId="44" fontId="101" fillId="7" borderId="23" xfId="0" applyNumberFormat="1" applyFont="1" applyFill="1" applyBorder="1" applyAlignment="1">
      <alignment horizontal="center" vertical="center" wrapText="1"/>
    </xf>
    <xf numFmtId="44" fontId="0" fillId="7" borderId="14" xfId="0" applyNumberFormat="1" applyFill="1" applyBorder="1"/>
    <xf numFmtId="44" fontId="7" fillId="7" borderId="0" xfId="0" applyNumberFormat="1" applyFont="1" applyFill="1"/>
    <xf numFmtId="44" fontId="95" fillId="7" borderId="12" xfId="0" applyNumberFormat="1" applyFont="1" applyFill="1" applyBorder="1" applyAlignment="1">
      <alignment horizontal="center" vertical="center" wrapText="1"/>
    </xf>
    <xf numFmtId="165" fontId="100" fillId="7" borderId="1" xfId="4" applyFont="1" applyFill="1" applyBorder="1"/>
    <xf numFmtId="44" fontId="98" fillId="7" borderId="0" xfId="0" applyNumberFormat="1" applyFont="1" applyFill="1"/>
    <xf numFmtId="1" fontId="95" fillId="7" borderId="23" xfId="0" applyNumberFormat="1" applyFont="1" applyFill="1" applyBorder="1" applyAlignment="1">
      <alignment horizontal="center" vertical="center" wrapText="1"/>
    </xf>
    <xf numFmtId="44" fontId="98" fillId="7" borderId="23" xfId="0" applyNumberFormat="1" applyFont="1" applyFill="1" applyBorder="1"/>
    <xf numFmtId="0" fontId="7" fillId="7" borderId="0" xfId="0" applyFont="1" applyFill="1"/>
    <xf numFmtId="44" fontId="102" fillId="7" borderId="3" xfId="0" applyNumberFormat="1" applyFont="1" applyFill="1" applyBorder="1" applyAlignment="1">
      <alignment horizontal="center" vertical="center" wrapText="1"/>
    </xf>
    <xf numFmtId="44" fontId="101" fillId="7" borderId="0" xfId="0" applyNumberFormat="1" applyFont="1" applyFill="1" applyAlignment="1">
      <alignment horizontal="center" vertical="center" wrapText="1"/>
    </xf>
    <xf numFmtId="44" fontId="98" fillId="7" borderId="0" xfId="0" applyNumberFormat="1" applyFont="1" applyFill="1" applyAlignment="1">
      <alignment horizontal="center"/>
    </xf>
    <xf numFmtId="44" fontId="102" fillId="7" borderId="27" xfId="0" applyNumberFormat="1" applyFont="1" applyFill="1" applyBorder="1" applyAlignment="1">
      <alignment horizontal="center" vertical="center" wrapText="1"/>
    </xf>
    <xf numFmtId="165" fontId="98" fillId="7" borderId="1" xfId="4" applyFont="1" applyFill="1" applyBorder="1"/>
    <xf numFmtId="165" fontId="17" fillId="13" borderId="23" xfId="4" applyFont="1" applyFill="1" applyBorder="1" applyAlignment="1">
      <alignment horizontal="right"/>
    </xf>
    <xf numFmtId="0" fontId="11" fillId="15" borderId="22" xfId="0" applyFont="1" applyFill="1" applyBorder="1" applyAlignment="1">
      <alignment horizontal="center" vertical="center"/>
    </xf>
    <xf numFmtId="0" fontId="93" fillId="7" borderId="0" xfId="0" applyFont="1" applyFill="1" applyAlignment="1">
      <alignment horizontal="left" vertical="center"/>
    </xf>
    <xf numFmtId="0" fontId="92" fillId="7" borderId="0" xfId="0" applyFont="1" applyFill="1" applyAlignment="1">
      <alignment horizontal="left"/>
    </xf>
    <xf numFmtId="0" fontId="92" fillId="7" borderId="0" xfId="0" applyFont="1" applyFill="1" applyAlignment="1">
      <alignment horizontal="center"/>
    </xf>
    <xf numFmtId="43" fontId="92" fillId="7" borderId="0" xfId="11" applyFont="1" applyFill="1" applyBorder="1" applyAlignment="1">
      <alignment horizontal="center"/>
    </xf>
    <xf numFmtId="0" fontId="92" fillId="7" borderId="0" xfId="0" applyFont="1" applyFill="1"/>
    <xf numFmtId="43" fontId="92" fillId="7" borderId="0" xfId="11" applyFont="1" applyFill="1" applyBorder="1"/>
    <xf numFmtId="0" fontId="91" fillId="7" borderId="0" xfId="0" applyFont="1" applyFill="1" applyAlignment="1">
      <alignment horizontal="center" vertical="center" wrapText="1"/>
    </xf>
    <xf numFmtId="43" fontId="93" fillId="7" borderId="0" xfId="11" applyFont="1" applyFill="1" applyBorder="1" applyAlignment="1">
      <alignment horizontal="right"/>
    </xf>
    <xf numFmtId="43" fontId="90" fillId="7" borderId="0" xfId="11" applyFont="1" applyFill="1" applyBorder="1"/>
    <xf numFmtId="43" fontId="90" fillId="7" borderId="63" xfId="0" applyNumberFormat="1" applyFont="1" applyFill="1" applyBorder="1"/>
    <xf numFmtId="43" fontId="90" fillId="7" borderId="63" xfId="11" applyFont="1" applyFill="1" applyBorder="1"/>
    <xf numFmtId="43" fontId="93" fillId="7" borderId="69" xfId="11" applyFont="1" applyFill="1" applyBorder="1" applyAlignment="1">
      <alignment horizontal="right"/>
    </xf>
    <xf numFmtId="43" fontId="92" fillId="7" borderId="63" xfId="0" applyNumberFormat="1" applyFont="1" applyFill="1" applyBorder="1"/>
    <xf numFmtId="43" fontId="92" fillId="7" borderId="63" xfId="11" applyFont="1" applyFill="1" applyBorder="1"/>
    <xf numFmtId="165" fontId="22" fillId="7" borderId="9" xfId="4" applyFont="1" applyFill="1" applyBorder="1" applyAlignment="1">
      <alignment horizontal="center" vertical="center"/>
    </xf>
    <xf numFmtId="165" fontId="23" fillId="7" borderId="9" xfId="4" applyFont="1" applyFill="1" applyBorder="1" applyAlignment="1">
      <alignment horizontal="center" vertical="center"/>
    </xf>
    <xf numFmtId="0" fontId="3" fillId="7" borderId="0" xfId="0" applyFont="1" applyFill="1" applyAlignment="1">
      <alignment vertical="center"/>
    </xf>
    <xf numFmtId="172" fontId="22" fillId="7" borderId="71" xfId="0" applyNumberFormat="1" applyFont="1" applyFill="1" applyBorder="1"/>
    <xf numFmtId="0" fontId="3" fillId="36" borderId="3" xfId="0" applyFont="1" applyFill="1" applyBorder="1" applyAlignment="1">
      <alignment horizontal="left" vertical="center"/>
    </xf>
    <xf numFmtId="0" fontId="3" fillId="36" borderId="3" xfId="0" applyFont="1" applyFill="1" applyBorder="1" applyAlignment="1">
      <alignment horizontal="left" vertical="center" wrapText="1"/>
    </xf>
    <xf numFmtId="165" fontId="23" fillId="36" borderId="9" xfId="4" applyFont="1" applyFill="1" applyBorder="1" applyAlignment="1">
      <alignment horizontal="center" vertical="center"/>
    </xf>
    <xf numFmtId="0" fontId="3" fillId="36" borderId="0" xfId="0" applyFont="1" applyFill="1" applyAlignment="1">
      <alignment vertical="center"/>
    </xf>
    <xf numFmtId="165" fontId="11" fillId="36" borderId="9" xfId="4" applyFont="1" applyFill="1" applyBorder="1" applyAlignment="1">
      <alignment horizontal="left" vertical="center"/>
    </xf>
    <xf numFmtId="172" fontId="11" fillId="36" borderId="1" xfId="0" applyNumberFormat="1" applyFont="1" applyFill="1" applyBorder="1"/>
    <xf numFmtId="165" fontId="11" fillId="36" borderId="9" xfId="4" applyFont="1" applyFill="1" applyBorder="1" applyAlignment="1">
      <alignment horizontal="center" vertical="center"/>
    </xf>
    <xf numFmtId="165" fontId="17" fillId="37" borderId="23" xfId="4" applyFont="1" applyFill="1" applyBorder="1" applyAlignment="1">
      <alignment horizontal="right"/>
    </xf>
    <xf numFmtId="0" fontId="3" fillId="7" borderId="1" xfId="0" applyFont="1" applyFill="1" applyBorder="1"/>
    <xf numFmtId="165" fontId="0" fillId="7" borderId="1" xfId="4" applyFont="1" applyFill="1" applyBorder="1"/>
    <xf numFmtId="43" fontId="0" fillId="7" borderId="0" xfId="11" applyFont="1" applyFill="1" applyBorder="1" applyAlignment="1">
      <alignment horizontal="center"/>
    </xf>
    <xf numFmtId="43" fontId="0" fillId="7" borderId="0" xfId="11" applyFont="1" applyFill="1" applyBorder="1"/>
    <xf numFmtId="165" fontId="11" fillId="0" borderId="19" xfId="4" applyFont="1" applyBorder="1" applyAlignment="1">
      <alignment horizontal="left" vertical="center"/>
    </xf>
    <xf numFmtId="44" fontId="3" fillId="38" borderId="0" xfId="0" applyNumberFormat="1" applyFont="1" applyFill="1" applyAlignment="1">
      <alignment horizontal="center" vertical="center"/>
    </xf>
    <xf numFmtId="165" fontId="3" fillId="39" borderId="9" xfId="4" applyFont="1" applyFill="1" applyBorder="1" applyAlignment="1">
      <alignment horizontal="left" vertical="center"/>
    </xf>
    <xf numFmtId="175" fontId="3" fillId="0" borderId="0" xfId="0" applyNumberFormat="1" applyFont="1"/>
    <xf numFmtId="8" fontId="0" fillId="0" borderId="0" xfId="0" applyNumberFormat="1"/>
    <xf numFmtId="165" fontId="103" fillId="0" borderId="9" xfId="4" applyFont="1" applyFill="1" applyBorder="1" applyAlignment="1">
      <alignment horizontal="left" vertical="center"/>
    </xf>
    <xf numFmtId="165" fontId="3" fillId="0" borderId="0" xfId="4" applyFont="1" applyAlignment="1">
      <alignment horizontal="center" vertical="center"/>
    </xf>
    <xf numFmtId="165" fontId="11" fillId="0" borderId="0" xfId="4" applyFont="1" applyAlignment="1">
      <alignment horizontal="center" vertical="center"/>
    </xf>
    <xf numFmtId="44" fontId="3" fillId="0" borderId="59" xfId="0" applyNumberFormat="1" applyFont="1" applyBorder="1" applyAlignment="1">
      <alignment horizontal="center" vertical="center"/>
    </xf>
    <xf numFmtId="44" fontId="11" fillId="0" borderId="59" xfId="0" applyNumberFormat="1" applyFont="1" applyBorder="1" applyAlignment="1">
      <alignment horizontal="center" vertical="center"/>
    </xf>
    <xf numFmtId="0" fontId="11" fillId="7" borderId="1" xfId="0" applyFont="1" applyFill="1" applyBorder="1"/>
    <xf numFmtId="165" fontId="11" fillId="7" borderId="1" xfId="4" applyFont="1" applyFill="1" applyBorder="1"/>
    <xf numFmtId="0" fontId="0" fillId="7" borderId="59" xfId="0" applyFill="1" applyBorder="1"/>
    <xf numFmtId="0" fontId="0" fillId="40" borderId="11" xfId="0" applyFill="1" applyBorder="1"/>
    <xf numFmtId="0" fontId="3" fillId="40" borderId="11" xfId="0" applyFont="1" applyFill="1" applyBorder="1"/>
    <xf numFmtId="0" fontId="3" fillId="40" borderId="72" xfId="0" applyFont="1" applyFill="1" applyBorder="1"/>
    <xf numFmtId="0" fontId="3" fillId="40" borderId="8" xfId="0" applyFont="1" applyFill="1" applyBorder="1"/>
    <xf numFmtId="0" fontId="0" fillId="40" borderId="8" xfId="0" applyFill="1" applyBorder="1"/>
    <xf numFmtId="0" fontId="3" fillId="40" borderId="73" xfId="0" applyFont="1" applyFill="1" applyBorder="1"/>
    <xf numFmtId="44" fontId="11" fillId="7" borderId="0" xfId="0" applyNumberFormat="1" applyFont="1" applyFill="1"/>
    <xf numFmtId="165" fontId="0" fillId="7" borderId="0" xfId="4" applyFont="1" applyFill="1" applyBorder="1"/>
    <xf numFmtId="43" fontId="11" fillId="7" borderId="0" xfId="11" applyFont="1" applyFill="1" applyBorder="1" applyAlignment="1">
      <alignment horizontal="center"/>
    </xf>
    <xf numFmtId="0" fontId="49" fillId="40" borderId="0" xfId="0" applyFont="1" applyFill="1"/>
    <xf numFmtId="0" fontId="60" fillId="41" borderId="13" xfId="0" applyFont="1" applyFill="1" applyBorder="1" applyAlignment="1">
      <alignment vertical="center" wrapText="1"/>
    </xf>
    <xf numFmtId="44" fontId="61" fillId="41" borderId="1" xfId="4" applyNumberFormat="1" applyFont="1" applyFill="1" applyBorder="1" applyAlignment="1">
      <alignment vertical="center"/>
    </xf>
    <xf numFmtId="44" fontId="61" fillId="40" borderId="1" xfId="4" applyNumberFormat="1" applyFont="1" applyFill="1" applyBorder="1" applyAlignment="1">
      <alignment vertical="center"/>
    </xf>
    <xf numFmtId="44" fontId="63" fillId="40" borderId="11" xfId="4" applyNumberFormat="1" applyFont="1" applyFill="1" applyBorder="1" applyAlignment="1">
      <alignment vertical="center"/>
    </xf>
    <xf numFmtId="44" fontId="61" fillId="40" borderId="1" xfId="4" applyNumberFormat="1" applyFont="1" applyFill="1" applyBorder="1" applyAlignment="1">
      <alignment horizontal="center"/>
    </xf>
    <xf numFmtId="44" fontId="61" fillId="41" borderId="1" xfId="4" applyNumberFormat="1" applyFont="1" applyFill="1" applyBorder="1" applyAlignment="1">
      <alignment horizontal="center"/>
    </xf>
    <xf numFmtId="44" fontId="49" fillId="40" borderId="1" xfId="4" applyNumberFormat="1" applyFont="1" applyFill="1" applyBorder="1"/>
    <xf numFmtId="164" fontId="49" fillId="40" borderId="1" xfId="0" applyNumberFormat="1" applyFont="1" applyFill="1" applyBorder="1"/>
    <xf numFmtId="164" fontId="49" fillId="40" borderId="0" xfId="0" applyNumberFormat="1" applyFont="1" applyFill="1"/>
    <xf numFmtId="0" fontId="60" fillId="40" borderId="15" xfId="0" applyFont="1" applyFill="1" applyBorder="1" applyAlignment="1">
      <alignment vertical="center" wrapText="1"/>
    </xf>
    <xf numFmtId="44" fontId="63" fillId="41" borderId="11" xfId="4" applyNumberFormat="1" applyFont="1" applyFill="1" applyBorder="1" applyAlignment="1">
      <alignment vertical="center"/>
    </xf>
    <xf numFmtId="44" fontId="61" fillId="40" borderId="1" xfId="4" applyNumberFormat="1" applyFont="1" applyFill="1" applyBorder="1" applyAlignment="1">
      <alignment horizontal="center" vertical="center"/>
    </xf>
    <xf numFmtId="0" fontId="49" fillId="40" borderId="1" xfId="0" applyFont="1" applyFill="1" applyBorder="1"/>
    <xf numFmtId="0" fontId="3" fillId="31" borderId="5" xfId="0" applyFont="1" applyFill="1" applyBorder="1" applyAlignment="1">
      <alignment horizontal="left" vertical="center"/>
    </xf>
    <xf numFmtId="17" fontId="0" fillId="0" borderId="0" xfId="0" applyNumberFormat="1"/>
    <xf numFmtId="166" fontId="17" fillId="0" borderId="23" xfId="1" applyNumberFormat="1" applyFont="1" applyFill="1" applyBorder="1" applyAlignment="1">
      <alignment horizontal="center"/>
    </xf>
    <xf numFmtId="0" fontId="77" fillId="7" borderId="0" xfId="0" applyFont="1" applyFill="1" applyAlignment="1">
      <alignment horizontal="center"/>
    </xf>
    <xf numFmtId="44" fontId="98" fillId="7" borderId="1" xfId="0" applyNumberFormat="1" applyFont="1" applyFill="1" applyBorder="1" applyAlignment="1">
      <alignment horizontal="center" vertical="center"/>
    </xf>
    <xf numFmtId="0" fontId="98" fillId="7" borderId="1" xfId="0" applyFont="1" applyFill="1" applyBorder="1" applyAlignment="1">
      <alignment horizontal="center" vertical="center"/>
    </xf>
    <xf numFmtId="165" fontId="98" fillId="7" borderId="1" xfId="4" applyFont="1" applyFill="1" applyBorder="1" applyAlignment="1">
      <alignment horizontal="center" vertical="center"/>
    </xf>
    <xf numFmtId="4" fontId="90" fillId="7" borderId="0" xfId="11" applyNumberFormat="1" applyFont="1" applyFill="1" applyAlignment="1">
      <alignment horizontal="center"/>
    </xf>
    <xf numFmtId="0" fontId="104" fillId="7" borderId="0" xfId="0" applyFont="1" applyFill="1" applyAlignment="1">
      <alignment horizontal="left"/>
    </xf>
    <xf numFmtId="0" fontId="91" fillId="7" borderId="0" xfId="0" applyFont="1" applyFill="1" applyAlignment="1">
      <alignment vertical="center" wrapText="1"/>
    </xf>
    <xf numFmtId="0" fontId="90" fillId="7" borderId="0" xfId="0" applyFont="1" applyFill="1" applyAlignment="1">
      <alignment horizontal="center" vertical="center" wrapText="1"/>
    </xf>
    <xf numFmtId="4" fontId="77" fillId="7" borderId="0" xfId="11" applyNumberFormat="1" applyFont="1" applyFill="1" applyBorder="1"/>
    <xf numFmtId="4" fontId="90" fillId="7" borderId="0" xfId="0" applyNumberFormat="1" applyFont="1" applyFill="1" applyAlignment="1">
      <alignment vertical="center" wrapText="1"/>
    </xf>
    <xf numFmtId="165" fontId="90" fillId="7" borderId="63" xfId="4" applyFont="1" applyFill="1" applyBorder="1"/>
    <xf numFmtId="165" fontId="90" fillId="7" borderId="0" xfId="4" applyFont="1" applyFill="1"/>
    <xf numFmtId="165" fontId="90" fillId="7" borderId="69" xfId="4" applyFont="1" applyFill="1" applyBorder="1"/>
    <xf numFmtId="43" fontId="90" fillId="7" borderId="59" xfId="0" applyNumberFormat="1" applyFont="1" applyFill="1" applyBorder="1"/>
    <xf numFmtId="43" fontId="90" fillId="7" borderId="70" xfId="0" applyNumberFormat="1" applyFont="1" applyFill="1" applyBorder="1"/>
    <xf numFmtId="0" fontId="90" fillId="7" borderId="59" xfId="0" applyFont="1" applyFill="1" applyBorder="1" applyAlignment="1">
      <alignment horizontal="left"/>
    </xf>
    <xf numFmtId="0" fontId="90" fillId="7" borderId="59" xfId="0" applyFont="1" applyFill="1" applyBorder="1" applyAlignment="1">
      <alignment horizontal="center"/>
    </xf>
    <xf numFmtId="43" fontId="90" fillId="7" borderId="59" xfId="11" applyFont="1" applyFill="1" applyBorder="1" applyAlignment="1">
      <alignment horizontal="center"/>
    </xf>
    <xf numFmtId="0" fontId="90" fillId="7" borderId="59" xfId="0" applyFont="1" applyFill="1" applyBorder="1"/>
    <xf numFmtId="4" fontId="77" fillId="7" borderId="59" xfId="11" applyNumberFormat="1" applyFont="1" applyFill="1" applyBorder="1"/>
    <xf numFmtId="165" fontId="22" fillId="31" borderId="9" xfId="4" applyFont="1" applyFill="1" applyBorder="1" applyAlignment="1">
      <alignment horizontal="left" vertical="center"/>
    </xf>
    <xf numFmtId="165" fontId="23" fillId="31" borderId="9" xfId="4" applyFont="1" applyFill="1" applyBorder="1" applyAlignment="1">
      <alignment horizontal="left" vertical="center"/>
    </xf>
    <xf numFmtId="0" fontId="96" fillId="0" borderId="1" xfId="0" applyFont="1" applyBorder="1" applyAlignment="1">
      <alignment vertical="top" wrapText="1"/>
    </xf>
    <xf numFmtId="44" fontId="102" fillId="7" borderId="26" xfId="0" applyNumberFormat="1" applyFont="1" applyFill="1" applyBorder="1" applyAlignment="1">
      <alignment horizontal="center" vertical="center" wrapText="1"/>
    </xf>
    <xf numFmtId="44" fontId="95" fillId="7" borderId="26" xfId="0" applyNumberFormat="1" applyFont="1" applyFill="1" applyBorder="1" applyAlignment="1">
      <alignment horizontal="center" vertical="center" wrapText="1"/>
    </xf>
    <xf numFmtId="44" fontId="95" fillId="7" borderId="25" xfId="0" applyNumberFormat="1" applyFont="1" applyFill="1" applyBorder="1" applyAlignment="1">
      <alignment horizontal="center" vertical="center" wrapText="1"/>
    </xf>
    <xf numFmtId="44" fontId="95" fillId="7" borderId="1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left" vertical="center"/>
    </xf>
    <xf numFmtId="44" fontId="95" fillId="7" borderId="46" xfId="0" applyNumberFormat="1" applyFont="1" applyFill="1" applyBorder="1" applyAlignment="1">
      <alignment horizontal="center" vertical="center" wrapText="1"/>
    </xf>
    <xf numFmtId="0" fontId="96" fillId="0" borderId="8" xfId="0" applyFont="1" applyBorder="1" applyAlignment="1">
      <alignment vertical="top" wrapText="1"/>
    </xf>
    <xf numFmtId="44" fontId="0" fillId="7" borderId="8" xfId="0" applyNumberFormat="1" applyFill="1" applyBorder="1"/>
    <xf numFmtId="44" fontId="90" fillId="7" borderId="1" xfId="0" applyNumberFormat="1" applyFont="1" applyFill="1" applyBorder="1" applyAlignment="1">
      <alignment vertical="center"/>
    </xf>
    <xf numFmtId="0" fontId="95" fillId="7" borderId="0" xfId="0" applyFont="1" applyFill="1" applyAlignment="1">
      <alignment horizontal="left" vertical="center" wrapText="1"/>
    </xf>
    <xf numFmtId="1" fontId="95" fillId="7" borderId="0" xfId="0" applyNumberFormat="1" applyFont="1" applyFill="1" applyAlignment="1">
      <alignment horizontal="center" vertical="center" wrapText="1"/>
    </xf>
    <xf numFmtId="44" fontId="95" fillId="0" borderId="23" xfId="0" applyNumberFormat="1" applyFont="1" applyBorder="1" applyAlignment="1">
      <alignment horizontal="center" vertical="center" wrapText="1"/>
    </xf>
    <xf numFmtId="165" fontId="11" fillId="36" borderId="9" xfId="4" applyFont="1" applyFill="1" applyBorder="1" applyAlignment="1">
      <alignment horizontal="right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/>
    </xf>
    <xf numFmtId="165" fontId="11" fillId="2" borderId="9" xfId="4" applyFont="1" applyFill="1" applyBorder="1" applyAlignment="1">
      <alignment horizontal="center" vertical="center"/>
    </xf>
    <xf numFmtId="44" fontId="101" fillId="7" borderId="25" xfId="0" applyNumberFormat="1" applyFont="1" applyFill="1" applyBorder="1" applyAlignment="1">
      <alignment horizontal="center" vertical="center" wrapText="1"/>
    </xf>
    <xf numFmtId="0" fontId="95" fillId="7" borderId="11" xfId="0" applyFont="1" applyFill="1" applyBorder="1" applyAlignment="1">
      <alignment horizontal="left" vertical="center" wrapText="1"/>
    </xf>
    <xf numFmtId="44" fontId="102" fillId="7" borderId="11" xfId="0" applyNumberFormat="1" applyFont="1" applyFill="1" applyBorder="1" applyAlignment="1">
      <alignment horizontal="center" vertical="center" wrapText="1"/>
    </xf>
    <xf numFmtId="0" fontId="95" fillId="7" borderId="8" xfId="0" applyFont="1" applyFill="1" applyBorder="1" applyAlignment="1">
      <alignment horizontal="left" vertical="center" wrapText="1"/>
    </xf>
    <xf numFmtId="44" fontId="95" fillId="7" borderId="8" xfId="0" applyNumberFormat="1" applyFont="1" applyFill="1" applyBorder="1" applyAlignment="1">
      <alignment horizontal="center" vertical="center" wrapText="1"/>
    </xf>
    <xf numFmtId="44" fontId="102" fillId="7" borderId="8" xfId="0" applyNumberFormat="1" applyFont="1" applyFill="1" applyBorder="1" applyAlignment="1">
      <alignment horizontal="center" vertical="center" wrapText="1"/>
    </xf>
    <xf numFmtId="0" fontId="96" fillId="7" borderId="11" xfId="0" applyFont="1" applyFill="1" applyBorder="1" applyAlignment="1">
      <alignment horizontal="left" vertical="center" wrapText="1"/>
    </xf>
    <xf numFmtId="165" fontId="96" fillId="7" borderId="8" xfId="4" applyFont="1" applyFill="1" applyBorder="1" applyAlignment="1">
      <alignment horizontal="left" vertical="center" wrapText="1"/>
    </xf>
    <xf numFmtId="0" fontId="90" fillId="7" borderId="1" xfId="0" applyFont="1" applyFill="1" applyBorder="1" applyAlignment="1">
      <alignment horizontal="left" vertical="top" wrapText="1"/>
    </xf>
    <xf numFmtId="0" fontId="90" fillId="7" borderId="1" xfId="0" applyFont="1" applyFill="1" applyBorder="1" applyAlignment="1">
      <alignment horizontal="center" vertical="center"/>
    </xf>
    <xf numFmtId="44" fontId="96" fillId="7" borderId="11" xfId="0" applyNumberFormat="1" applyFont="1" applyFill="1" applyBorder="1" applyAlignment="1">
      <alignment horizontal="center" vertical="center" wrapText="1"/>
    </xf>
    <xf numFmtId="44" fontId="108" fillId="7" borderId="11" xfId="0" applyNumberFormat="1" applyFont="1" applyFill="1" applyBorder="1" applyAlignment="1">
      <alignment horizontal="center" vertical="center" wrapText="1"/>
    </xf>
    <xf numFmtId="44" fontId="108" fillId="7" borderId="8" xfId="0" applyNumberFormat="1" applyFont="1" applyFill="1" applyBorder="1" applyAlignment="1">
      <alignment horizontal="center" vertical="center" wrapText="1"/>
    </xf>
    <xf numFmtId="1" fontId="95" fillId="7" borderId="25" xfId="0" applyNumberFormat="1" applyFont="1" applyFill="1" applyBorder="1" applyAlignment="1">
      <alignment horizontal="center" vertical="center" wrapText="1"/>
    </xf>
    <xf numFmtId="165" fontId="17" fillId="0" borderId="23" xfId="4" applyFont="1" applyFill="1" applyBorder="1" applyAlignment="1">
      <alignment horizontal="right"/>
    </xf>
    <xf numFmtId="165" fontId="36" fillId="0" borderId="23" xfId="4" applyFont="1" applyFill="1" applyBorder="1" applyAlignment="1">
      <alignment vertical="center" wrapText="1"/>
    </xf>
    <xf numFmtId="165" fontId="79" fillId="0" borderId="1" xfId="0" applyNumberFormat="1" applyFont="1" applyBorder="1"/>
    <xf numFmtId="44" fontId="95" fillId="0" borderId="25" xfId="0" applyNumberFormat="1" applyFont="1" applyBorder="1" applyAlignment="1">
      <alignment horizontal="center" vertical="center" wrapText="1"/>
    </xf>
    <xf numFmtId="165" fontId="100" fillId="0" borderId="1" xfId="4" applyFont="1" applyFill="1" applyBorder="1"/>
    <xf numFmtId="0" fontId="13" fillId="0" borderId="4" xfId="0" applyFont="1" applyBorder="1" applyAlignment="1">
      <alignment horizontal="left" vertical="center" wrapText="1"/>
    </xf>
    <xf numFmtId="165" fontId="7" fillId="0" borderId="3" xfId="4" applyFont="1" applyFill="1" applyBorder="1" applyAlignment="1">
      <alignment horizontal="right" vertical="center"/>
    </xf>
    <xf numFmtId="0" fontId="7" fillId="0" borderId="7" xfId="0" applyFont="1" applyBorder="1" applyAlignment="1">
      <alignment horizontal="center"/>
    </xf>
    <xf numFmtId="49" fontId="7" fillId="0" borderId="8" xfId="0" applyNumberFormat="1" applyFont="1" applyBorder="1" applyAlignment="1">
      <alignment horizontal="center"/>
    </xf>
    <xf numFmtId="49" fontId="7" fillId="0" borderId="15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7" fillId="0" borderId="6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164" fontId="7" fillId="0" borderId="2" xfId="4" applyNumberFormat="1" applyFont="1" applyFill="1" applyBorder="1" applyAlignment="1">
      <alignment horizontal="right"/>
    </xf>
    <xf numFmtId="0" fontId="31" fillId="0" borderId="2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left"/>
    </xf>
    <xf numFmtId="0" fontId="7" fillId="0" borderId="4" xfId="0" applyFont="1" applyBorder="1" applyAlignment="1">
      <alignment horizontal="left" wrapText="1"/>
    </xf>
    <xf numFmtId="0" fontId="7" fillId="0" borderId="5" xfId="0" applyFont="1" applyBorder="1" applyAlignment="1">
      <alignment horizontal="left"/>
    </xf>
    <xf numFmtId="0" fontId="3" fillId="0" borderId="3" xfId="0" applyFont="1" applyBorder="1" applyAlignment="1">
      <alignment horizontal="left" vertical="center" wrapText="1"/>
    </xf>
    <xf numFmtId="0" fontId="7" fillId="0" borderId="0" xfId="0" applyFont="1"/>
    <xf numFmtId="0" fontId="3" fillId="0" borderId="5" xfId="0" applyFont="1" applyBorder="1" applyAlignment="1">
      <alignment horizontal="left" wrapText="1"/>
    </xf>
    <xf numFmtId="0" fontId="7" fillId="16" borderId="7" xfId="0" applyFont="1" applyFill="1" applyBorder="1" applyAlignment="1">
      <alignment horizontal="center" vertical="center"/>
    </xf>
    <xf numFmtId="49" fontId="7" fillId="16" borderId="8" xfId="0" applyNumberFormat="1" applyFont="1" applyFill="1" applyBorder="1" applyAlignment="1">
      <alignment horizontal="center" vertical="center"/>
    </xf>
    <xf numFmtId="49" fontId="7" fillId="16" borderId="1" xfId="0" applyNumberFormat="1" applyFont="1" applyFill="1" applyBorder="1" applyAlignment="1">
      <alignment horizontal="center" vertical="center"/>
    </xf>
    <xf numFmtId="0" fontId="7" fillId="16" borderId="4" xfId="0" applyFont="1" applyFill="1" applyBorder="1" applyAlignment="1">
      <alignment horizontal="center" vertical="center" wrapText="1"/>
    </xf>
    <xf numFmtId="0" fontId="7" fillId="16" borderId="4" xfId="0" applyFont="1" applyFill="1" applyBorder="1" applyAlignment="1">
      <alignment horizontal="left" vertical="center"/>
    </xf>
    <xf numFmtId="165" fontId="7" fillId="16" borderId="9" xfId="4" applyFont="1" applyFill="1" applyBorder="1" applyAlignment="1">
      <alignment horizontal="right" vertical="center"/>
    </xf>
    <xf numFmtId="0" fontId="7" fillId="16" borderId="10" xfId="0" applyFont="1" applyFill="1" applyBorder="1" applyAlignment="1">
      <alignment horizontal="left" vertical="center"/>
    </xf>
    <xf numFmtId="0" fontId="7" fillId="16" borderId="10" xfId="0" applyFont="1" applyFill="1" applyBorder="1" applyAlignment="1">
      <alignment horizontal="center" vertical="center" wrapText="1"/>
    </xf>
    <xf numFmtId="0" fontId="7" fillId="16" borderId="71" xfId="0" applyFont="1" applyFill="1" applyBorder="1" applyAlignment="1">
      <alignment horizontal="left" vertical="center"/>
    </xf>
    <xf numFmtId="165" fontId="9" fillId="16" borderId="71" xfId="4" applyFont="1" applyFill="1" applyBorder="1" applyAlignment="1">
      <alignment horizontal="right" vertical="center"/>
    </xf>
    <xf numFmtId="43" fontId="7" fillId="16" borderId="1" xfId="0" applyNumberFormat="1" applyFont="1" applyFill="1" applyBorder="1" applyAlignment="1">
      <alignment vertical="center"/>
    </xf>
    <xf numFmtId="0" fontId="105" fillId="16" borderId="24" xfId="0" applyFont="1" applyFill="1" applyBorder="1" applyAlignment="1">
      <alignment horizontal="center"/>
    </xf>
    <xf numFmtId="0" fontId="106" fillId="16" borderId="6" xfId="0" applyFont="1" applyFill="1" applyBorder="1" applyAlignment="1">
      <alignment horizontal="left"/>
    </xf>
    <xf numFmtId="0" fontId="105" fillId="16" borderId="24" xfId="0" applyFont="1" applyFill="1" applyBorder="1" applyAlignment="1">
      <alignment horizontal="center" vertical="center" wrapText="1"/>
    </xf>
    <xf numFmtId="49" fontId="7" fillId="16" borderId="71" xfId="0" applyNumberFormat="1" applyFont="1" applyFill="1" applyBorder="1" applyAlignment="1">
      <alignment horizontal="center" vertical="center"/>
    </xf>
    <xf numFmtId="0" fontId="105" fillId="16" borderId="40" xfId="0" applyFont="1" applyFill="1" applyBorder="1" applyAlignment="1">
      <alignment horizontal="center" vertical="center" wrapText="1"/>
    </xf>
    <xf numFmtId="0" fontId="106" fillId="16" borderId="71" xfId="0" applyFont="1" applyFill="1" applyBorder="1" applyAlignment="1">
      <alignment horizontal="left"/>
    </xf>
    <xf numFmtId="43" fontId="9" fillId="16" borderId="1" xfId="0" applyNumberFormat="1" applyFont="1" applyFill="1" applyBorder="1" applyAlignment="1">
      <alignment vertical="center"/>
    </xf>
    <xf numFmtId="0" fontId="7" fillId="16" borderId="24" xfId="0" applyFont="1" applyFill="1" applyBorder="1" applyAlignment="1">
      <alignment horizontal="center" vertical="center" wrapText="1"/>
    </xf>
    <xf numFmtId="165" fontId="7" fillId="16" borderId="2" xfId="4" applyFont="1" applyFill="1" applyBorder="1" applyAlignment="1">
      <alignment horizontal="right" vertical="center"/>
    </xf>
    <xf numFmtId="165" fontId="9" fillId="16" borderId="2" xfId="4" applyFont="1" applyFill="1" applyBorder="1" applyAlignment="1">
      <alignment horizontal="right" vertical="center"/>
    </xf>
    <xf numFmtId="0" fontId="9" fillId="16" borderId="75" xfId="0" applyFont="1" applyFill="1" applyBorder="1" applyAlignment="1">
      <alignment vertical="center"/>
    </xf>
    <xf numFmtId="0" fontId="9" fillId="16" borderId="74" xfId="0" applyFont="1" applyFill="1" applyBorder="1" applyAlignment="1">
      <alignment vertical="center"/>
    </xf>
    <xf numFmtId="0" fontId="9" fillId="16" borderId="4" xfId="0" applyFont="1" applyFill="1" applyBorder="1" applyAlignment="1">
      <alignment vertical="center"/>
    </xf>
    <xf numFmtId="0" fontId="9" fillId="16" borderId="4" xfId="0" applyFont="1" applyFill="1" applyBorder="1" applyAlignment="1">
      <alignment horizontal="left" vertical="center"/>
    </xf>
    <xf numFmtId="0" fontId="104" fillId="16" borderId="1" xfId="0" applyFont="1" applyFill="1" applyBorder="1" applyAlignment="1">
      <alignment horizontal="center"/>
    </xf>
    <xf numFmtId="0" fontId="3" fillId="16" borderId="0" xfId="0" applyFont="1" applyFill="1" applyAlignment="1">
      <alignment vertical="center"/>
    </xf>
    <xf numFmtId="165" fontId="9" fillId="16" borderId="4" xfId="4" applyFont="1" applyFill="1" applyBorder="1" applyAlignment="1">
      <alignment horizontal="right" vertical="center"/>
    </xf>
    <xf numFmtId="49" fontId="9" fillId="16" borderId="75" xfId="0" applyNumberFormat="1" applyFont="1" applyFill="1" applyBorder="1" applyAlignment="1">
      <alignment vertical="center"/>
    </xf>
    <xf numFmtId="49" fontId="9" fillId="16" borderId="74" xfId="0" applyNumberFormat="1" applyFont="1" applyFill="1" applyBorder="1" applyAlignment="1">
      <alignment vertical="center"/>
    </xf>
    <xf numFmtId="49" fontId="7" fillId="16" borderId="74" xfId="0" applyNumberFormat="1" applyFont="1" applyFill="1" applyBorder="1" applyAlignment="1">
      <alignment vertical="center"/>
    </xf>
    <xf numFmtId="49" fontId="7" fillId="16" borderId="4" xfId="0" applyNumberFormat="1" applyFont="1" applyFill="1" applyBorder="1" applyAlignment="1">
      <alignment vertical="center"/>
    </xf>
    <xf numFmtId="49" fontId="9" fillId="16" borderId="13" xfId="0" applyNumberFormat="1" applyFont="1" applyFill="1" applyBorder="1" applyAlignment="1">
      <alignment vertical="center"/>
    </xf>
    <xf numFmtId="49" fontId="9" fillId="16" borderId="4" xfId="0" applyNumberFormat="1" applyFont="1" applyFill="1" applyBorder="1" applyAlignment="1">
      <alignment vertical="center"/>
    </xf>
    <xf numFmtId="0" fontId="7" fillId="16" borderId="74" xfId="0" applyFont="1" applyFill="1" applyBorder="1" applyAlignment="1">
      <alignment vertical="center"/>
    </xf>
    <xf numFmtId="0" fontId="7" fillId="16" borderId="4" xfId="0" applyFont="1" applyFill="1" applyBorder="1" applyAlignment="1">
      <alignment vertical="center"/>
    </xf>
    <xf numFmtId="0" fontId="7" fillId="16" borderId="36" xfId="0" applyFont="1" applyFill="1" applyBorder="1" applyAlignment="1">
      <alignment horizontal="center" vertical="center"/>
    </xf>
    <xf numFmtId="49" fontId="7" fillId="16" borderId="28" xfId="0" applyNumberFormat="1" applyFont="1" applyFill="1" applyBorder="1" applyAlignment="1">
      <alignment horizontal="center" vertical="center"/>
    </xf>
    <xf numFmtId="49" fontId="7" fillId="16" borderId="11" xfId="0" applyNumberFormat="1" applyFont="1" applyFill="1" applyBorder="1" applyAlignment="1">
      <alignment horizontal="center" vertical="center"/>
    </xf>
    <xf numFmtId="49" fontId="7" fillId="16" borderId="14" xfId="0" applyNumberFormat="1" applyFont="1" applyFill="1" applyBorder="1" applyAlignment="1">
      <alignment horizontal="center" vertical="center"/>
    </xf>
    <xf numFmtId="0" fontId="7" fillId="16" borderId="5" xfId="0" applyFont="1" applyFill="1" applyBorder="1" applyAlignment="1">
      <alignment horizontal="left" vertical="center"/>
    </xf>
    <xf numFmtId="165" fontId="9" fillId="16" borderId="3" xfId="4" applyFont="1" applyFill="1" applyBorder="1" applyAlignment="1">
      <alignment horizontal="right" vertical="center"/>
    </xf>
    <xf numFmtId="0" fontId="7" fillId="16" borderId="12" xfId="0" applyFont="1" applyFill="1" applyBorder="1" applyAlignment="1">
      <alignment horizontal="center" vertical="center"/>
    </xf>
    <xf numFmtId="0" fontId="9" fillId="16" borderId="5" xfId="0" applyFont="1" applyFill="1" applyBorder="1" applyAlignment="1">
      <alignment horizontal="left" vertical="center"/>
    </xf>
    <xf numFmtId="0" fontId="13" fillId="0" borderId="7" xfId="0" applyFont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/>
    </xf>
    <xf numFmtId="165" fontId="13" fillId="0" borderId="9" xfId="4" applyFont="1" applyFill="1" applyBorder="1" applyAlignment="1">
      <alignment horizontal="right" vertical="center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/>
    </xf>
    <xf numFmtId="165" fontId="13" fillId="0" borderId="2" xfId="4" applyFont="1" applyFill="1" applyBorder="1" applyAlignment="1">
      <alignment horizontal="right" vertical="center"/>
    </xf>
    <xf numFmtId="0" fontId="13" fillId="0" borderId="12" xfId="0" applyFont="1" applyBorder="1" applyAlignment="1">
      <alignment horizontal="center" vertical="center"/>
    </xf>
    <xf numFmtId="49" fontId="13" fillId="0" borderId="11" xfId="0" applyNumberFormat="1" applyFont="1" applyBorder="1" applyAlignment="1">
      <alignment horizontal="center" vertical="center"/>
    </xf>
    <xf numFmtId="49" fontId="13" fillId="0" borderId="14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left" vertical="center"/>
    </xf>
    <xf numFmtId="165" fontId="13" fillId="0" borderId="3" xfId="4" applyFont="1" applyFill="1" applyBorder="1" applyAlignment="1">
      <alignment horizontal="right" vertical="center"/>
    </xf>
    <xf numFmtId="164" fontId="14" fillId="0" borderId="22" xfId="1" applyNumberFormat="1" applyFont="1" applyFill="1" applyBorder="1" applyAlignment="1">
      <alignment horizontal="center" vertical="center"/>
    </xf>
    <xf numFmtId="165" fontId="110" fillId="0" borderId="23" xfId="4" applyFont="1" applyFill="1" applyBorder="1" applyAlignment="1">
      <alignment horizontal="right"/>
    </xf>
    <xf numFmtId="0" fontId="1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8" fontId="13" fillId="0" borderId="0" xfId="0" applyNumberFormat="1" applyFont="1" applyAlignment="1">
      <alignment vertical="center"/>
    </xf>
    <xf numFmtId="0" fontId="14" fillId="0" borderId="18" xfId="1" applyFont="1" applyFill="1" applyBorder="1" applyAlignment="1">
      <alignment horizontal="center" vertical="center" textRotation="90" wrapText="1"/>
    </xf>
    <xf numFmtId="0" fontId="14" fillId="0" borderId="19" xfId="1" applyFont="1" applyFill="1" applyBorder="1" applyAlignment="1">
      <alignment horizontal="center" vertical="center" textRotation="90" wrapText="1"/>
    </xf>
    <xf numFmtId="0" fontId="14" fillId="0" borderId="43" xfId="1" applyFont="1" applyFill="1" applyBorder="1" applyAlignment="1">
      <alignment horizontal="center" vertical="center" textRotation="90" wrapText="1"/>
    </xf>
    <xf numFmtId="0" fontId="14" fillId="0" borderId="20" xfId="1" applyFont="1" applyFill="1" applyBorder="1" applyAlignment="1">
      <alignment horizontal="center" vertical="center" textRotation="90" wrapText="1"/>
    </xf>
    <xf numFmtId="165" fontId="7" fillId="0" borderId="26" xfId="4" applyFont="1" applyFill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14" fillId="0" borderId="55" xfId="1" applyFont="1" applyFill="1" applyBorder="1" applyAlignment="1" applyProtection="1">
      <alignment vertical="center" textRotation="45" wrapText="1"/>
      <protection locked="0" hidden="1"/>
    </xf>
    <xf numFmtId="164" fontId="7" fillId="0" borderId="9" xfId="4" applyNumberFormat="1" applyFont="1" applyFill="1" applyBorder="1" applyAlignment="1">
      <alignment horizontal="right"/>
    </xf>
    <xf numFmtId="166" fontId="9" fillId="0" borderId="9" xfId="4" applyNumberFormat="1" applyFont="1" applyFill="1" applyBorder="1" applyAlignment="1">
      <alignment horizontal="right"/>
    </xf>
    <xf numFmtId="166" fontId="7" fillId="16" borderId="9" xfId="4" applyNumberFormat="1" applyFont="1" applyFill="1" applyBorder="1" applyAlignment="1">
      <alignment horizontal="right"/>
    </xf>
    <xf numFmtId="49" fontId="75" fillId="29" borderId="1" xfId="0" applyNumberFormat="1" applyFont="1" applyFill="1" applyBorder="1" applyAlignment="1">
      <alignment horizontal="center" vertical="center" wrapText="1"/>
    </xf>
    <xf numFmtId="0" fontId="95" fillId="7" borderId="46" xfId="0" applyFont="1" applyFill="1" applyBorder="1" applyAlignment="1">
      <alignment horizontal="left" vertical="center" wrapText="1"/>
    </xf>
    <xf numFmtId="44" fontId="102" fillId="7" borderId="46" xfId="0" applyNumberFormat="1" applyFont="1" applyFill="1" applyBorder="1" applyAlignment="1">
      <alignment horizontal="center" vertical="center" wrapText="1"/>
    </xf>
    <xf numFmtId="165" fontId="95" fillId="7" borderId="46" xfId="4" applyFont="1" applyFill="1" applyBorder="1" applyAlignment="1">
      <alignment horizontal="left" vertical="center" wrapText="1"/>
    </xf>
    <xf numFmtId="44" fontId="95" fillId="7" borderId="51" xfId="0" applyNumberFormat="1" applyFont="1" applyFill="1" applyBorder="1" applyAlignment="1">
      <alignment horizontal="center" vertical="center" wrapText="1"/>
    </xf>
    <xf numFmtId="0" fontId="95" fillId="7" borderId="38" xfId="0" applyFont="1" applyFill="1" applyBorder="1" applyAlignment="1">
      <alignment horizontal="left" vertical="center" wrapText="1"/>
    </xf>
    <xf numFmtId="165" fontId="95" fillId="7" borderId="38" xfId="4" applyFont="1" applyFill="1" applyBorder="1" applyAlignment="1">
      <alignment horizontal="left" vertical="center" wrapText="1"/>
    </xf>
    <xf numFmtId="44" fontId="102" fillId="7" borderId="23" xfId="0" applyNumberFormat="1" applyFont="1" applyFill="1" applyBorder="1" applyAlignment="1">
      <alignment horizontal="center" vertical="center" wrapText="1"/>
    </xf>
    <xf numFmtId="49" fontId="9" fillId="16" borderId="28" xfId="0" applyNumberFormat="1" applyFont="1" applyFill="1" applyBorder="1" applyAlignment="1">
      <alignment horizontal="center" vertical="center"/>
    </xf>
    <xf numFmtId="0" fontId="7" fillId="16" borderId="1" xfId="0" applyFont="1" applyFill="1" applyBorder="1" applyAlignment="1">
      <alignment horizontal="center" vertical="center" wrapText="1"/>
    </xf>
    <xf numFmtId="165" fontId="111" fillId="0" borderId="23" xfId="4" applyFont="1" applyFill="1" applyBorder="1" applyAlignment="1">
      <alignment horizontal="right"/>
    </xf>
    <xf numFmtId="49" fontId="40" fillId="7" borderId="0" xfId="0" applyNumberFormat="1" applyFont="1" applyFill="1" applyAlignment="1">
      <alignment horizontal="left" vertical="center" wrapText="1" indent="1"/>
    </xf>
    <xf numFmtId="49" fontId="39" fillId="7" borderId="0" xfId="0" applyNumberFormat="1" applyFont="1" applyFill="1" applyAlignment="1">
      <alignment horizontal="center" vertical="center" wrapText="1"/>
    </xf>
    <xf numFmtId="49" fontId="39" fillId="7" borderId="34" xfId="0" applyNumberFormat="1" applyFont="1" applyFill="1" applyBorder="1" applyAlignment="1">
      <alignment horizontal="center" vertical="center" wrapText="1"/>
    </xf>
    <xf numFmtId="49" fontId="39" fillId="7" borderId="17" xfId="0" applyNumberFormat="1" applyFont="1" applyFill="1" applyBorder="1" applyAlignment="1">
      <alignment horizontal="center" vertical="center" wrapText="1"/>
    </xf>
    <xf numFmtId="49" fontId="39" fillId="7" borderId="9" xfId="0" applyNumberFormat="1" applyFont="1" applyFill="1" applyBorder="1" applyAlignment="1">
      <alignment horizontal="center" vertical="center" wrapText="1"/>
    </xf>
    <xf numFmtId="49" fontId="39" fillId="7" borderId="2" xfId="0" applyNumberFormat="1" applyFont="1" applyFill="1" applyBorder="1" applyAlignment="1">
      <alignment horizontal="center" vertical="center" wrapText="1"/>
    </xf>
    <xf numFmtId="49" fontId="39" fillId="7" borderId="3" xfId="0" applyNumberFormat="1" applyFont="1" applyFill="1" applyBorder="1" applyAlignment="1">
      <alignment horizontal="center" vertical="center" wrapText="1"/>
    </xf>
    <xf numFmtId="49" fontId="39" fillId="7" borderId="55" xfId="0" applyNumberFormat="1" applyFont="1" applyFill="1" applyBorder="1" applyAlignment="1">
      <alignment horizontal="center" vertical="center" wrapText="1"/>
    </xf>
    <xf numFmtId="49" fontId="41" fillId="7" borderId="0" xfId="0" applyNumberFormat="1" applyFont="1" applyFill="1" applyAlignment="1">
      <alignment horizontal="left" vertical="center" wrapText="1"/>
    </xf>
    <xf numFmtId="49" fontId="39" fillId="7" borderId="27" xfId="0" applyNumberFormat="1" applyFont="1" applyFill="1" applyBorder="1" applyAlignment="1">
      <alignment horizontal="center" vertical="center" wrapText="1"/>
    </xf>
    <xf numFmtId="49" fontId="39" fillId="7" borderId="26" xfId="0" applyNumberFormat="1" applyFont="1" applyFill="1" applyBorder="1" applyAlignment="1">
      <alignment horizontal="center" vertical="center" wrapText="1"/>
    </xf>
    <xf numFmtId="49" fontId="39" fillId="7" borderId="25" xfId="0" applyNumberFormat="1" applyFont="1" applyFill="1" applyBorder="1" applyAlignment="1">
      <alignment horizontal="center" vertical="center" wrapText="1"/>
    </xf>
    <xf numFmtId="0" fontId="46" fillId="16" borderId="31" xfId="0" applyFont="1" applyFill="1" applyBorder="1" applyAlignment="1">
      <alignment horizontal="center" vertical="center" wrapText="1"/>
    </xf>
    <xf numFmtId="0" fontId="46" fillId="16" borderId="32" xfId="0" applyFont="1" applyFill="1" applyBorder="1" applyAlignment="1">
      <alignment horizontal="center" vertical="center" wrapText="1"/>
    </xf>
    <xf numFmtId="49" fontId="42" fillId="0" borderId="0" xfId="0" applyNumberFormat="1" applyFont="1" applyAlignment="1">
      <alignment horizontal="center" vertical="center" wrapText="1"/>
    </xf>
    <xf numFmtId="49" fontId="42" fillId="0" borderId="0" xfId="0" applyNumberFormat="1" applyFont="1" applyAlignment="1">
      <alignment horizontal="left" vertical="center" wrapText="1"/>
    </xf>
    <xf numFmtId="0" fontId="22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justify" vertical="center"/>
    </xf>
    <xf numFmtId="0" fontId="7" fillId="7" borderId="0" xfId="0" applyFont="1" applyFill="1" applyAlignment="1">
      <alignment horizontal="center" vertical="center"/>
    </xf>
    <xf numFmtId="0" fontId="11" fillId="15" borderId="29" xfId="0" applyFont="1" applyFill="1" applyBorder="1" applyAlignment="1">
      <alignment horizontal="center" vertical="center" textRotation="90" wrapText="1"/>
    </xf>
    <xf numFmtId="0" fontId="11" fillId="15" borderId="30" xfId="0" applyFont="1" applyFill="1" applyBorder="1" applyAlignment="1">
      <alignment horizontal="center" vertical="center" textRotation="90" wrapText="1"/>
    </xf>
    <xf numFmtId="0" fontId="11" fillId="15" borderId="45" xfId="0" applyFont="1" applyFill="1" applyBorder="1" applyAlignment="1">
      <alignment horizontal="center" vertical="center" textRotation="90" wrapText="1"/>
    </xf>
    <xf numFmtId="49" fontId="9" fillId="0" borderId="0" xfId="0" applyNumberFormat="1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9" fillId="2" borderId="34" xfId="0" applyFont="1" applyFill="1" applyBorder="1" applyAlignment="1">
      <alignment horizontal="left" vertical="center"/>
    </xf>
    <xf numFmtId="0" fontId="9" fillId="0" borderId="34" xfId="0" applyFont="1" applyBorder="1" applyAlignment="1">
      <alignment horizontal="left" vertical="center"/>
    </xf>
    <xf numFmtId="0" fontId="11" fillId="22" borderId="27" xfId="0" applyFont="1" applyFill="1" applyBorder="1" applyAlignment="1">
      <alignment horizontal="center" vertical="center" wrapText="1"/>
    </xf>
    <xf numFmtId="0" fontId="11" fillId="22" borderId="26" xfId="0" applyFont="1" applyFill="1" applyBorder="1" applyAlignment="1">
      <alignment horizontal="center" vertical="center" wrapText="1"/>
    </xf>
    <xf numFmtId="0" fontId="11" fillId="22" borderId="25" xfId="0" applyFont="1" applyFill="1" applyBorder="1" applyAlignment="1">
      <alignment horizontal="center" vertical="center" wrapText="1"/>
    </xf>
    <xf numFmtId="0" fontId="11" fillId="15" borderId="27" xfId="0" applyFont="1" applyFill="1" applyBorder="1" applyAlignment="1" applyProtection="1">
      <alignment horizontal="center" vertical="center" textRotation="90" wrapText="1"/>
      <protection locked="0" hidden="1"/>
    </xf>
    <xf numFmtId="0" fontId="11" fillId="15" borderId="26" xfId="0" applyFont="1" applyFill="1" applyBorder="1" applyAlignment="1" applyProtection="1">
      <alignment horizontal="center" vertical="center" textRotation="90" wrapText="1"/>
      <protection locked="0" hidden="1"/>
    </xf>
    <xf numFmtId="0" fontId="11" fillId="15" borderId="25" xfId="0" applyFont="1" applyFill="1" applyBorder="1" applyAlignment="1" applyProtection="1">
      <alignment horizontal="center" vertical="center" textRotation="90" wrapText="1"/>
      <protection locked="0" hidden="1"/>
    </xf>
    <xf numFmtId="0" fontId="11" fillId="22" borderId="27" xfId="0" applyFont="1" applyFill="1" applyBorder="1" applyAlignment="1">
      <alignment horizontal="center" vertical="center" textRotation="90" wrapText="1"/>
    </xf>
    <xf numFmtId="0" fontId="11" fillId="22" borderId="26" xfId="0" applyFont="1" applyFill="1" applyBorder="1" applyAlignment="1">
      <alignment horizontal="center" vertical="center" textRotation="90" wrapText="1"/>
    </xf>
    <xf numFmtId="0" fontId="11" fillId="22" borderId="25" xfId="0" applyFont="1" applyFill="1" applyBorder="1" applyAlignment="1">
      <alignment horizontal="center" vertical="center" textRotation="90" wrapText="1"/>
    </xf>
    <xf numFmtId="0" fontId="11" fillId="15" borderId="37" xfId="0" applyFont="1" applyFill="1" applyBorder="1" applyAlignment="1">
      <alignment horizontal="center" vertical="center"/>
    </xf>
    <xf numFmtId="0" fontId="11" fillId="15" borderId="29" xfId="0" applyFont="1" applyFill="1" applyBorder="1" applyAlignment="1">
      <alignment horizontal="center" vertical="center"/>
    </xf>
    <xf numFmtId="0" fontId="11" fillId="15" borderId="31" xfId="0" applyFont="1" applyFill="1" applyBorder="1" applyAlignment="1">
      <alignment horizontal="center" vertical="center"/>
    </xf>
    <xf numFmtId="0" fontId="11" fillId="15" borderId="32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11" fillId="2" borderId="34" xfId="0" applyFont="1" applyFill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49" fontId="22" fillId="2" borderId="0" xfId="0" applyNumberFormat="1" applyFont="1" applyFill="1" applyAlignment="1">
      <alignment horizontal="justify" vertical="center"/>
    </xf>
    <xf numFmtId="49" fontId="22" fillId="0" borderId="0" xfId="0" applyNumberFormat="1" applyFont="1" applyAlignment="1">
      <alignment horizontal="justify" vertical="center"/>
    </xf>
    <xf numFmtId="0" fontId="11" fillId="15" borderId="27" xfId="0" applyFont="1" applyFill="1" applyBorder="1" applyAlignment="1">
      <alignment horizontal="center" vertical="center" textRotation="90" wrapText="1"/>
    </xf>
    <xf numFmtId="0" fontId="11" fillId="15" borderId="26" xfId="0" applyFont="1" applyFill="1" applyBorder="1" applyAlignment="1">
      <alignment horizontal="center" vertical="center" textRotation="90" wrapText="1"/>
    </xf>
    <xf numFmtId="0" fontId="11" fillId="15" borderId="25" xfId="0" applyFont="1" applyFill="1" applyBorder="1" applyAlignment="1">
      <alignment horizontal="center" vertical="center" textRotation="90" wrapText="1"/>
    </xf>
    <xf numFmtId="0" fontId="95" fillId="7" borderId="18" xfId="0" applyFont="1" applyFill="1" applyBorder="1" applyAlignment="1">
      <alignment horizontal="left" vertical="center" wrapText="1"/>
    </xf>
    <xf numFmtId="0" fontId="95" fillId="7" borderId="19" xfId="0" applyFont="1" applyFill="1" applyBorder="1" applyAlignment="1">
      <alignment horizontal="left" vertical="center" wrapText="1"/>
    </xf>
    <xf numFmtId="0" fontId="95" fillId="7" borderId="21" xfId="0" applyFont="1" applyFill="1" applyBorder="1" applyAlignment="1">
      <alignment horizontal="left" vertical="center" wrapText="1"/>
    </xf>
    <xf numFmtId="0" fontId="95" fillId="7" borderId="20" xfId="0" applyFont="1" applyFill="1" applyBorder="1" applyAlignment="1">
      <alignment horizontal="left" vertical="center" wrapText="1"/>
    </xf>
    <xf numFmtId="0" fontId="12" fillId="7" borderId="37" xfId="0" applyFont="1" applyFill="1" applyBorder="1" applyAlignment="1">
      <alignment horizontal="center"/>
    </xf>
    <xf numFmtId="0" fontId="12" fillId="7" borderId="38" xfId="0" applyFont="1" applyFill="1" applyBorder="1" applyAlignment="1">
      <alignment horizontal="center"/>
    </xf>
    <xf numFmtId="0" fontId="12" fillId="7" borderId="58" xfId="0" applyFont="1" applyFill="1" applyBorder="1" applyAlignment="1">
      <alignment horizontal="center"/>
    </xf>
    <xf numFmtId="0" fontId="12" fillId="7" borderId="34" xfId="0" applyFont="1" applyFill="1" applyBorder="1" applyAlignment="1">
      <alignment horizontal="center"/>
    </xf>
    <xf numFmtId="44" fontId="98" fillId="7" borderId="17" xfId="0" applyNumberFormat="1" applyFont="1" applyFill="1" applyBorder="1" applyAlignment="1">
      <alignment horizontal="center"/>
    </xf>
    <xf numFmtId="44" fontId="98" fillId="7" borderId="55" xfId="0" applyNumberFormat="1" applyFont="1" applyFill="1" applyBorder="1" applyAlignment="1">
      <alignment horizontal="center"/>
    </xf>
    <xf numFmtId="44" fontId="95" fillId="7" borderId="46" xfId="0" applyNumberFormat="1" applyFont="1" applyFill="1" applyBorder="1" applyAlignment="1">
      <alignment horizontal="center" vertical="center" wrapText="1"/>
    </xf>
    <xf numFmtId="44" fontId="95" fillId="7" borderId="33" xfId="0" applyNumberFormat="1" applyFont="1" applyFill="1" applyBorder="1" applyAlignment="1">
      <alignment horizontal="center" vertical="center" wrapText="1"/>
    </xf>
    <xf numFmtId="44" fontId="102" fillId="7" borderId="47" xfId="0" applyNumberFormat="1" applyFont="1" applyFill="1" applyBorder="1" applyAlignment="1">
      <alignment horizontal="center" vertical="center" wrapText="1"/>
    </xf>
    <xf numFmtId="44" fontId="102" fillId="7" borderId="42" xfId="0" applyNumberFormat="1" applyFont="1" applyFill="1" applyBorder="1" applyAlignment="1">
      <alignment horizontal="center" vertical="center" wrapText="1"/>
    </xf>
    <xf numFmtId="0" fontId="98" fillId="7" borderId="43" xfId="0" applyFont="1" applyFill="1" applyBorder="1" applyAlignment="1">
      <alignment horizontal="center" vertical="center"/>
    </xf>
    <xf numFmtId="0" fontId="98" fillId="7" borderId="14" xfId="0" applyFont="1" applyFill="1" applyBorder="1" applyAlignment="1">
      <alignment horizontal="center" vertical="center"/>
    </xf>
    <xf numFmtId="0" fontId="98" fillId="7" borderId="15" xfId="0" applyFont="1" applyFill="1" applyBorder="1" applyAlignment="1">
      <alignment horizontal="center" vertical="center"/>
    </xf>
    <xf numFmtId="165" fontId="98" fillId="7" borderId="43" xfId="4" applyFont="1" applyFill="1" applyBorder="1" applyAlignment="1">
      <alignment horizontal="center" vertical="center"/>
    </xf>
    <xf numFmtId="165" fontId="98" fillId="7" borderId="14" xfId="4" applyFont="1" applyFill="1" applyBorder="1" applyAlignment="1">
      <alignment horizontal="center" vertical="center"/>
    </xf>
    <xf numFmtId="165" fontId="98" fillId="7" borderId="15" xfId="4" applyFont="1" applyFill="1" applyBorder="1" applyAlignment="1">
      <alignment horizontal="center" vertical="center"/>
    </xf>
    <xf numFmtId="44" fontId="98" fillId="7" borderId="1" xfId="0" applyNumberFormat="1" applyFont="1" applyFill="1" applyBorder="1" applyAlignment="1">
      <alignment horizontal="center" vertical="center"/>
    </xf>
    <xf numFmtId="0" fontId="98" fillId="7" borderId="1" xfId="0" applyFont="1" applyFill="1" applyBorder="1" applyAlignment="1">
      <alignment horizontal="center" vertical="center"/>
    </xf>
    <xf numFmtId="0" fontId="99" fillId="7" borderId="37" xfId="0" applyFont="1" applyFill="1" applyBorder="1" applyAlignment="1">
      <alignment horizontal="center" vertical="center"/>
    </xf>
    <xf numFmtId="0" fontId="99" fillId="7" borderId="38" xfId="0" applyFont="1" applyFill="1" applyBorder="1" applyAlignment="1">
      <alignment horizontal="center" vertical="center"/>
    </xf>
    <xf numFmtId="0" fontId="99" fillId="7" borderId="29" xfId="0" applyFont="1" applyFill="1" applyBorder="1" applyAlignment="1">
      <alignment horizontal="center" vertical="center"/>
    </xf>
    <xf numFmtId="0" fontId="99" fillId="7" borderId="57" xfId="0" applyFont="1" applyFill="1" applyBorder="1" applyAlignment="1">
      <alignment horizontal="center" vertical="center"/>
    </xf>
    <xf numFmtId="0" fontId="99" fillId="7" borderId="0" xfId="0" applyFont="1" applyFill="1" applyAlignment="1">
      <alignment horizontal="center" vertical="center"/>
    </xf>
    <xf numFmtId="0" fontId="99" fillId="7" borderId="30" xfId="0" applyFont="1" applyFill="1" applyBorder="1" applyAlignment="1">
      <alignment horizontal="center" vertical="center"/>
    </xf>
    <xf numFmtId="44" fontId="95" fillId="7" borderId="27" xfId="0" applyNumberFormat="1" applyFont="1" applyFill="1" applyBorder="1" applyAlignment="1">
      <alignment horizontal="center" vertical="center" wrapText="1"/>
    </xf>
    <xf numFmtId="44" fontId="95" fillId="7" borderId="26" xfId="0" applyNumberFormat="1" applyFont="1" applyFill="1" applyBorder="1" applyAlignment="1">
      <alignment horizontal="center" vertical="center" wrapText="1"/>
    </xf>
    <xf numFmtId="44" fontId="102" fillId="7" borderId="27" xfId="0" applyNumberFormat="1" applyFont="1" applyFill="1" applyBorder="1" applyAlignment="1">
      <alignment horizontal="center" vertical="center" wrapText="1"/>
    </xf>
    <xf numFmtId="44" fontId="102" fillId="7" borderId="26" xfId="0" applyNumberFormat="1" applyFont="1" applyFill="1" applyBorder="1" applyAlignment="1">
      <alignment horizontal="center" vertical="center" wrapText="1"/>
    </xf>
    <xf numFmtId="0" fontId="79" fillId="7" borderId="1" xfId="0" applyFont="1" applyFill="1" applyBorder="1" applyAlignment="1">
      <alignment horizontal="center" vertical="center"/>
    </xf>
    <xf numFmtId="165" fontId="79" fillId="7" borderId="1" xfId="4" applyFont="1" applyFill="1" applyBorder="1" applyAlignment="1">
      <alignment horizontal="center" vertical="center"/>
    </xf>
    <xf numFmtId="0" fontId="79" fillId="7" borderId="43" xfId="0" applyFont="1" applyFill="1" applyBorder="1" applyAlignment="1">
      <alignment horizontal="center" vertical="center"/>
    </xf>
    <xf numFmtId="0" fontId="79" fillId="7" borderId="14" xfId="0" applyFont="1" applyFill="1" applyBorder="1" applyAlignment="1">
      <alignment horizontal="center" vertical="center"/>
    </xf>
    <xf numFmtId="165" fontId="79" fillId="7" borderId="43" xfId="4" applyFont="1" applyFill="1" applyBorder="1" applyAlignment="1">
      <alignment horizontal="center" vertical="center"/>
    </xf>
    <xf numFmtId="165" fontId="79" fillId="7" borderId="14" xfId="4" applyFont="1" applyFill="1" applyBorder="1" applyAlignment="1">
      <alignment horizontal="center" vertical="center"/>
    </xf>
    <xf numFmtId="0" fontId="97" fillId="7" borderId="31" xfId="0" applyFont="1" applyFill="1" applyBorder="1" applyAlignment="1">
      <alignment horizontal="center"/>
    </xf>
    <xf numFmtId="0" fontId="97" fillId="7" borderId="32" xfId="0" applyFont="1" applyFill="1" applyBorder="1" applyAlignment="1">
      <alignment horizontal="center"/>
    </xf>
    <xf numFmtId="0" fontId="97" fillId="7" borderId="22" xfId="0" applyFont="1" applyFill="1" applyBorder="1" applyAlignment="1">
      <alignment horizontal="center"/>
    </xf>
    <xf numFmtId="44" fontId="98" fillId="7" borderId="29" xfId="0" applyNumberFormat="1" applyFont="1" applyFill="1" applyBorder="1" applyAlignment="1">
      <alignment horizontal="center"/>
    </xf>
    <xf numFmtId="44" fontId="98" fillId="7" borderId="45" xfId="0" applyNumberFormat="1" applyFont="1" applyFill="1" applyBorder="1" applyAlignment="1">
      <alignment horizontal="center"/>
    </xf>
    <xf numFmtId="44" fontId="98" fillId="7" borderId="27" xfId="0" applyNumberFormat="1" applyFont="1" applyFill="1" applyBorder="1" applyAlignment="1">
      <alignment horizontal="center"/>
    </xf>
    <xf numFmtId="44" fontId="98" fillId="7" borderId="25" xfId="0" applyNumberFormat="1" applyFont="1" applyFill="1" applyBorder="1" applyAlignment="1">
      <alignment horizontal="center"/>
    </xf>
    <xf numFmtId="0" fontId="95" fillId="7" borderId="18" xfId="0" applyFont="1" applyFill="1" applyBorder="1" applyAlignment="1">
      <alignment horizontal="center" vertical="center" wrapText="1"/>
    </xf>
    <xf numFmtId="0" fontId="95" fillId="7" borderId="19" xfId="0" applyFont="1" applyFill="1" applyBorder="1" applyAlignment="1">
      <alignment horizontal="center" vertical="center" wrapText="1"/>
    </xf>
    <xf numFmtId="0" fontId="95" fillId="7" borderId="21" xfId="0" applyFont="1" applyFill="1" applyBorder="1" applyAlignment="1">
      <alignment horizontal="center" vertical="center" wrapText="1"/>
    </xf>
    <xf numFmtId="0" fontId="95" fillId="7" borderId="20" xfId="0" applyFont="1" applyFill="1" applyBorder="1" applyAlignment="1">
      <alignment horizontal="center" vertical="center" wrapText="1"/>
    </xf>
    <xf numFmtId="0" fontId="95" fillId="7" borderId="35" xfId="0" applyFont="1" applyFill="1" applyBorder="1" applyAlignment="1">
      <alignment horizontal="left" vertical="center" wrapText="1"/>
    </xf>
    <xf numFmtId="0" fontId="95" fillId="7" borderId="61" xfId="0" applyFont="1" applyFill="1" applyBorder="1" applyAlignment="1">
      <alignment horizontal="left" vertical="center" wrapText="1"/>
    </xf>
    <xf numFmtId="0" fontId="95" fillId="7" borderId="43" xfId="0" applyFont="1" applyFill="1" applyBorder="1" applyAlignment="1">
      <alignment horizontal="left" vertical="center" wrapText="1"/>
    </xf>
    <xf numFmtId="0" fontId="95" fillId="7" borderId="64" xfId="0" applyFont="1" applyFill="1" applyBorder="1" applyAlignment="1">
      <alignment horizontal="left" vertical="center" wrapText="1"/>
    </xf>
    <xf numFmtId="44" fontId="95" fillId="7" borderId="11" xfId="0" applyNumberFormat="1" applyFont="1" applyFill="1" applyBorder="1" applyAlignment="1">
      <alignment horizontal="center" vertical="center" wrapText="1"/>
    </xf>
    <xf numFmtId="44" fontId="9" fillId="7" borderId="27" xfId="0" applyNumberFormat="1" applyFont="1" applyFill="1" applyBorder="1" applyAlignment="1">
      <alignment horizontal="center"/>
    </xf>
    <xf numFmtId="44" fontId="9" fillId="7" borderId="25" xfId="0" applyNumberFormat="1" applyFont="1" applyFill="1" applyBorder="1" applyAlignment="1">
      <alignment horizontal="center"/>
    </xf>
    <xf numFmtId="165" fontId="11" fillId="13" borderId="27" xfId="4" applyFont="1" applyFill="1" applyBorder="1" applyAlignment="1" applyProtection="1">
      <alignment horizontal="center" vertical="center" textRotation="45" wrapText="1"/>
      <protection locked="0" hidden="1"/>
    </xf>
    <xf numFmtId="165" fontId="11" fillId="13" borderId="25" xfId="4" applyFont="1" applyFill="1" applyBorder="1" applyAlignment="1" applyProtection="1">
      <alignment horizontal="center" vertical="center" textRotation="45" wrapText="1"/>
      <protection locked="0" hidden="1"/>
    </xf>
    <xf numFmtId="165" fontId="11" fillId="11" borderId="27" xfId="4" applyFont="1" applyFill="1" applyBorder="1" applyAlignment="1" applyProtection="1">
      <alignment horizontal="center" vertical="center" textRotation="45" wrapText="1"/>
      <protection locked="0" hidden="1"/>
    </xf>
    <xf numFmtId="165" fontId="11" fillId="11" borderId="25" xfId="4" applyFont="1" applyFill="1" applyBorder="1" applyAlignment="1" applyProtection="1">
      <alignment horizontal="center" vertical="center" textRotation="45" wrapText="1"/>
      <protection locked="0" hidden="1"/>
    </xf>
    <xf numFmtId="165" fontId="11" fillId="0" borderId="27" xfId="4" applyFont="1" applyFill="1" applyBorder="1" applyAlignment="1" applyProtection="1">
      <alignment horizontal="center" vertical="center" textRotation="45" wrapText="1"/>
      <protection locked="0" hidden="1"/>
    </xf>
    <xf numFmtId="165" fontId="11" fillId="0" borderId="25" xfId="4" applyFont="1" applyFill="1" applyBorder="1" applyAlignment="1" applyProtection="1">
      <alignment horizontal="center" vertical="center" textRotation="45" wrapText="1"/>
      <protection locked="0" hidden="1"/>
    </xf>
    <xf numFmtId="0" fontId="109" fillId="0" borderId="31" xfId="0" applyFont="1" applyBorder="1" applyAlignment="1">
      <alignment horizontal="center" vertical="center"/>
    </xf>
    <xf numFmtId="0" fontId="109" fillId="0" borderId="32" xfId="0" applyFont="1" applyBorder="1" applyAlignment="1">
      <alignment horizontal="center" vertical="center"/>
    </xf>
    <xf numFmtId="0" fontId="109" fillId="0" borderId="22" xfId="0" applyFont="1" applyBorder="1" applyAlignment="1">
      <alignment horizontal="center" vertical="center"/>
    </xf>
    <xf numFmtId="165" fontId="14" fillId="0" borderId="27" xfId="4" applyFont="1" applyFill="1" applyBorder="1" applyAlignment="1" applyProtection="1">
      <alignment horizontal="center" vertical="center" textRotation="45" wrapText="1"/>
      <protection locked="0" hidden="1"/>
    </xf>
    <xf numFmtId="165" fontId="14" fillId="0" borderId="25" xfId="4" applyFont="1" applyFill="1" applyBorder="1" applyAlignment="1" applyProtection="1">
      <alignment horizontal="center" vertical="center" textRotation="45" wrapText="1"/>
      <protection locked="0" hidden="1"/>
    </xf>
    <xf numFmtId="165" fontId="11" fillId="11" borderId="27" xfId="4" applyFont="1" applyFill="1" applyBorder="1" applyAlignment="1" applyProtection="1">
      <alignment horizontal="center" vertical="center" textRotation="90" wrapText="1"/>
      <protection locked="0" hidden="1"/>
    </xf>
    <xf numFmtId="165" fontId="11" fillId="11" borderId="25" xfId="4" applyFont="1" applyFill="1" applyBorder="1" applyAlignment="1" applyProtection="1">
      <alignment horizontal="center" vertical="center" textRotation="90" wrapText="1"/>
      <protection locked="0" hidden="1"/>
    </xf>
    <xf numFmtId="49" fontId="15" fillId="0" borderId="0" xfId="0" applyNumberFormat="1" applyFont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34" xfId="0" applyFont="1" applyBorder="1" applyAlignment="1">
      <alignment horizontal="left" vertical="center"/>
    </xf>
    <xf numFmtId="0" fontId="14" fillId="0" borderId="31" xfId="1" applyFont="1" applyFill="1" applyBorder="1" applyAlignment="1">
      <alignment horizontal="center" vertical="center"/>
    </xf>
    <xf numFmtId="0" fontId="14" fillId="0" borderId="32" xfId="1" applyFont="1" applyFill="1" applyBorder="1" applyAlignment="1">
      <alignment horizontal="center" vertical="center"/>
    </xf>
    <xf numFmtId="0" fontId="14" fillId="0" borderId="27" xfId="1" applyFont="1" applyFill="1" applyBorder="1" applyAlignment="1">
      <alignment horizontal="center" vertical="center" wrapText="1"/>
    </xf>
    <xf numFmtId="0" fontId="14" fillId="0" borderId="25" xfId="1" applyFont="1" applyFill="1" applyBorder="1" applyAlignment="1">
      <alignment horizontal="center" vertical="center" wrapText="1"/>
    </xf>
    <xf numFmtId="165" fontId="14" fillId="0" borderId="27" xfId="4" applyFont="1" applyFill="1" applyBorder="1" applyAlignment="1" applyProtection="1">
      <alignment horizontal="center" vertical="center" textRotation="90" wrapText="1"/>
      <protection locked="0" hidden="1"/>
    </xf>
    <xf numFmtId="165" fontId="14" fillId="0" borderId="25" xfId="4" applyFont="1" applyFill="1" applyBorder="1" applyAlignment="1" applyProtection="1">
      <alignment horizontal="center" vertical="center" textRotation="90" wrapText="1"/>
      <protection locked="0" hidden="1"/>
    </xf>
    <xf numFmtId="0" fontId="14" fillId="0" borderId="0" xfId="0" applyFont="1" applyAlignment="1">
      <alignment horizontal="left" vertical="center"/>
    </xf>
    <xf numFmtId="165" fontId="11" fillId="0" borderId="27" xfId="4" applyFont="1" applyFill="1" applyBorder="1" applyAlignment="1" applyProtection="1">
      <alignment horizontal="center" vertical="center" textRotation="90" wrapText="1"/>
      <protection locked="0" hidden="1"/>
    </xf>
    <xf numFmtId="165" fontId="11" fillId="0" borderId="25" xfId="4" applyFont="1" applyFill="1" applyBorder="1" applyAlignment="1" applyProtection="1">
      <alignment horizontal="center" vertical="center" textRotation="90" wrapText="1"/>
      <protection locked="0" hidden="1"/>
    </xf>
    <xf numFmtId="0" fontId="14" fillId="11" borderId="27" xfId="1" applyFont="1" applyFill="1" applyBorder="1" applyAlignment="1" applyProtection="1">
      <alignment horizontal="center" vertical="center" textRotation="45" wrapText="1"/>
      <protection locked="0" hidden="1"/>
    </xf>
    <xf numFmtId="0" fontId="14" fillId="11" borderId="25" xfId="1" applyFont="1" applyFill="1" applyBorder="1" applyAlignment="1" applyProtection="1">
      <alignment horizontal="center" vertical="center" textRotation="45" wrapText="1"/>
      <protection locked="0" hidden="1"/>
    </xf>
    <xf numFmtId="0" fontId="14" fillId="16" borderId="27" xfId="1" applyFont="1" applyFill="1" applyBorder="1" applyAlignment="1" applyProtection="1">
      <alignment horizontal="center" vertical="center" textRotation="45" wrapText="1"/>
      <protection locked="0" hidden="1"/>
    </xf>
    <xf numFmtId="0" fontId="14" fillId="16" borderId="25" xfId="1" applyFont="1" applyFill="1" applyBorder="1" applyAlignment="1" applyProtection="1">
      <alignment horizontal="center" vertical="center" textRotation="45" wrapText="1"/>
      <protection locked="0" hidden="1"/>
    </xf>
    <xf numFmtId="0" fontId="14" fillId="11" borderId="27" xfId="1" applyFont="1" applyFill="1" applyBorder="1" applyAlignment="1" applyProtection="1">
      <alignment horizontal="center" vertical="center" textRotation="90" wrapText="1"/>
      <protection locked="0" hidden="1"/>
    </xf>
    <xf numFmtId="0" fontId="14" fillId="11" borderId="25" xfId="1" applyFont="1" applyFill="1" applyBorder="1" applyAlignment="1" applyProtection="1">
      <alignment horizontal="center" vertical="center" textRotation="90" wrapText="1"/>
      <protection locked="0" hidden="1"/>
    </xf>
    <xf numFmtId="0" fontId="14" fillId="11" borderId="37" xfId="1" applyFont="1" applyFill="1" applyBorder="1" applyAlignment="1" applyProtection="1">
      <alignment horizontal="center" vertical="center" textRotation="45" wrapText="1"/>
      <protection locked="0" hidden="1"/>
    </xf>
    <xf numFmtId="0" fontId="14" fillId="11" borderId="58" xfId="1" applyFont="1" applyFill="1" applyBorder="1" applyAlignment="1" applyProtection="1">
      <alignment horizontal="center" vertical="center" textRotation="45" wrapText="1"/>
      <protection locked="0" hidden="1"/>
    </xf>
    <xf numFmtId="0" fontId="14" fillId="11" borderId="17" xfId="1" applyFont="1" applyFill="1" applyBorder="1" applyAlignment="1" applyProtection="1">
      <alignment horizontal="center" vertical="center" textRotation="45"/>
      <protection locked="0" hidden="1"/>
    </xf>
    <xf numFmtId="0" fontId="14" fillId="11" borderId="55" xfId="1" applyFont="1" applyFill="1" applyBorder="1" applyAlignment="1" applyProtection="1">
      <alignment horizontal="center" vertical="center" textRotation="45"/>
      <protection locked="0" hidden="1"/>
    </xf>
    <xf numFmtId="0" fontId="14" fillId="11" borderId="26" xfId="1" applyFont="1" applyFill="1" applyBorder="1" applyAlignment="1" applyProtection="1">
      <alignment horizontal="center" vertical="center" textRotation="45" wrapText="1"/>
      <protection locked="0" hidden="1"/>
    </xf>
    <xf numFmtId="0" fontId="10" fillId="2" borderId="0" xfId="0" applyFont="1" applyFill="1" applyAlignment="1">
      <alignment horizontal="left"/>
    </xf>
    <xf numFmtId="0" fontId="10" fillId="0" borderId="0" xfId="0" applyFont="1" applyAlignment="1">
      <alignment horizontal="left"/>
    </xf>
    <xf numFmtId="0" fontId="14" fillId="2" borderId="0" xfId="0" applyFont="1" applyFill="1" applyAlignment="1">
      <alignment horizontal="left"/>
    </xf>
    <xf numFmtId="0" fontId="14" fillId="2" borderId="34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6" fillId="19" borderId="31" xfId="0" applyFont="1" applyFill="1" applyBorder="1" applyAlignment="1">
      <alignment horizontal="center"/>
    </xf>
    <xf numFmtId="0" fontId="6" fillId="19" borderId="32" xfId="0" applyFont="1" applyFill="1" applyBorder="1" applyAlignment="1">
      <alignment horizontal="center"/>
    </xf>
    <xf numFmtId="0" fontId="6" fillId="19" borderId="22" xfId="0" applyFont="1" applyFill="1" applyBorder="1" applyAlignment="1">
      <alignment horizontal="center"/>
    </xf>
    <xf numFmtId="0" fontId="11" fillId="11" borderId="31" xfId="1" applyFont="1" applyFill="1" applyBorder="1" applyAlignment="1">
      <alignment horizontal="center"/>
    </xf>
    <xf numFmtId="0" fontId="11" fillId="11" borderId="32" xfId="1" applyFont="1" applyFill="1" applyBorder="1" applyAlignment="1">
      <alignment horizontal="center"/>
    </xf>
    <xf numFmtId="0" fontId="14" fillId="11" borderId="27" xfId="1" applyFont="1" applyFill="1" applyBorder="1" applyAlignment="1">
      <alignment horizontal="center" vertical="center" wrapText="1"/>
    </xf>
    <xf numFmtId="0" fontId="14" fillId="11" borderId="25" xfId="1" applyFont="1" applyFill="1" applyBorder="1" applyAlignment="1">
      <alignment horizontal="center" vertical="center" wrapText="1"/>
    </xf>
    <xf numFmtId="0" fontId="33" fillId="19" borderId="31" xfId="0" applyFont="1" applyFill="1" applyBorder="1" applyAlignment="1">
      <alignment horizontal="center"/>
    </xf>
    <xf numFmtId="0" fontId="33" fillId="19" borderId="32" xfId="0" applyFont="1" applyFill="1" applyBorder="1" applyAlignment="1">
      <alignment horizontal="center"/>
    </xf>
    <xf numFmtId="0" fontId="33" fillId="19" borderId="22" xfId="0" applyFont="1" applyFill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6" fillId="19" borderId="31" xfId="0" applyFont="1" applyFill="1" applyBorder="1" applyAlignment="1">
      <alignment horizontal="center" vertical="center"/>
    </xf>
    <xf numFmtId="0" fontId="6" fillId="19" borderId="32" xfId="0" applyFont="1" applyFill="1" applyBorder="1" applyAlignment="1">
      <alignment horizontal="center" vertical="center"/>
    </xf>
    <xf numFmtId="0" fontId="6" fillId="19" borderId="22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11" fillId="11" borderId="31" xfId="1" applyFont="1" applyFill="1" applyBorder="1" applyAlignment="1">
      <alignment horizontal="center" vertical="center"/>
    </xf>
    <xf numFmtId="0" fontId="11" fillId="11" borderId="32" xfId="1" applyFont="1" applyFill="1" applyBorder="1" applyAlignment="1">
      <alignment horizontal="center" vertical="center"/>
    </xf>
    <xf numFmtId="0" fontId="11" fillId="11" borderId="27" xfId="1" applyFont="1" applyFill="1" applyBorder="1" applyAlignment="1">
      <alignment horizontal="center" vertical="center" wrapText="1"/>
    </xf>
    <xf numFmtId="0" fontId="11" fillId="11" borderId="25" xfId="1" applyFont="1" applyFill="1" applyBorder="1" applyAlignment="1">
      <alignment horizontal="center" vertical="center" wrapText="1"/>
    </xf>
    <xf numFmtId="0" fontId="9" fillId="16" borderId="75" xfId="0" applyFont="1" applyFill="1" applyBorder="1" applyAlignment="1">
      <alignment horizontal="center" vertical="center"/>
    </xf>
    <xf numFmtId="0" fontId="9" fillId="16" borderId="74" xfId="0" applyFont="1" applyFill="1" applyBorder="1" applyAlignment="1">
      <alignment horizontal="center" vertical="center"/>
    </xf>
    <xf numFmtId="0" fontId="9" fillId="16" borderId="4" xfId="0" applyFont="1" applyFill="1" applyBorder="1" applyAlignment="1">
      <alignment horizontal="center" vertical="center"/>
    </xf>
    <xf numFmtId="0" fontId="9" fillId="16" borderId="60" xfId="0" applyFont="1" applyFill="1" applyBorder="1" applyAlignment="1">
      <alignment horizontal="center" vertical="center"/>
    </xf>
    <xf numFmtId="0" fontId="9" fillId="16" borderId="13" xfId="0" applyFont="1" applyFill="1" applyBorder="1" applyAlignment="1">
      <alignment horizontal="left" vertical="center"/>
    </xf>
    <xf numFmtId="0" fontId="9" fillId="16" borderId="74" xfId="0" applyFont="1" applyFill="1" applyBorder="1" applyAlignment="1">
      <alignment horizontal="left" vertical="center"/>
    </xf>
    <xf numFmtId="0" fontId="91" fillId="7" borderId="0" xfId="0" applyFont="1" applyFill="1" applyAlignment="1">
      <alignment horizontal="center"/>
    </xf>
    <xf numFmtId="0" fontId="90" fillId="7" borderId="0" xfId="0" applyFont="1" applyFill="1" applyAlignment="1">
      <alignment horizontal="center"/>
    </xf>
    <xf numFmtId="0" fontId="92" fillId="7" borderId="70" xfId="0" applyFont="1" applyFill="1" applyBorder="1" applyAlignment="1">
      <alignment horizontal="center"/>
    </xf>
    <xf numFmtId="0" fontId="91" fillId="7" borderId="0" xfId="0" applyFont="1" applyFill="1" applyAlignment="1">
      <alignment horizontal="left" vertical="center"/>
    </xf>
    <xf numFmtId="43" fontId="90" fillId="7" borderId="0" xfId="11" applyFont="1" applyFill="1" applyBorder="1" applyAlignment="1">
      <alignment horizontal="center" vertical="center"/>
    </xf>
    <xf numFmtId="43" fontId="90" fillId="7" borderId="69" xfId="11" applyFont="1" applyFill="1" applyBorder="1" applyAlignment="1">
      <alignment horizontal="center" vertical="center"/>
    </xf>
    <xf numFmtId="49" fontId="3" fillId="2" borderId="0" xfId="0" applyNumberFormat="1" applyFont="1" applyFill="1" applyAlignment="1">
      <alignment horizontal="justify"/>
    </xf>
    <xf numFmtId="0" fontId="9" fillId="2" borderId="0" xfId="0" applyFont="1" applyFill="1" applyAlignment="1">
      <alignment horizontal="left"/>
    </xf>
    <xf numFmtId="0" fontId="9" fillId="2" borderId="34" xfId="0" applyFont="1" applyFill="1" applyBorder="1" applyAlignment="1">
      <alignment horizontal="left"/>
    </xf>
    <xf numFmtId="0" fontId="14" fillId="11" borderId="31" xfId="1" applyFont="1" applyFill="1" applyBorder="1" applyAlignment="1">
      <alignment horizontal="center"/>
    </xf>
    <xf numFmtId="0" fontId="14" fillId="11" borderId="32" xfId="1" applyFont="1" applyFill="1" applyBorder="1" applyAlignment="1">
      <alignment horizontal="center"/>
    </xf>
    <xf numFmtId="0" fontId="19" fillId="19" borderId="31" xfId="0" applyFont="1" applyFill="1" applyBorder="1" applyAlignment="1">
      <alignment horizontal="center"/>
    </xf>
    <xf numFmtId="0" fontId="19" fillId="19" borderId="32" xfId="0" applyFont="1" applyFill="1" applyBorder="1" applyAlignment="1">
      <alignment horizontal="center"/>
    </xf>
    <xf numFmtId="0" fontId="19" fillId="19" borderId="22" xfId="0" applyFont="1" applyFill="1" applyBorder="1" applyAlignment="1">
      <alignment horizontal="center"/>
    </xf>
    <xf numFmtId="49" fontId="7" fillId="2" borderId="0" xfId="0" applyNumberFormat="1" applyFont="1" applyFill="1" applyAlignment="1">
      <alignment horizontal="left"/>
    </xf>
    <xf numFmtId="0" fontId="14" fillId="11" borderId="26" xfId="1" applyFont="1" applyFill="1" applyBorder="1" applyAlignment="1">
      <alignment horizontal="center" vertical="center" wrapText="1"/>
    </xf>
    <xf numFmtId="0" fontId="13" fillId="7" borderId="0" xfId="0" applyFont="1" applyFill="1" applyAlignment="1">
      <alignment horizontal="center" vertical="center"/>
    </xf>
    <xf numFmtId="0" fontId="11" fillId="16" borderId="48" xfId="0" applyFont="1" applyFill="1" applyBorder="1" applyAlignment="1">
      <alignment horizontal="center" vertical="center"/>
    </xf>
    <xf numFmtId="0" fontId="11" fillId="16" borderId="6" xfId="0" applyFont="1" applyFill="1" applyBorder="1" applyAlignment="1">
      <alignment horizontal="center" vertical="center"/>
    </xf>
    <xf numFmtId="0" fontId="11" fillId="16" borderId="39" xfId="0" applyFont="1" applyFill="1" applyBorder="1" applyAlignment="1">
      <alignment horizontal="center" vertical="center"/>
    </xf>
    <xf numFmtId="0" fontId="11" fillId="16" borderId="46" xfId="0" applyFont="1" applyFill="1" applyBorder="1" applyAlignment="1">
      <alignment horizontal="center" vertical="center" wrapText="1"/>
    </xf>
    <xf numFmtId="0" fontId="11" fillId="16" borderId="1" xfId="0" applyFont="1" applyFill="1" applyBorder="1" applyAlignment="1">
      <alignment horizontal="center" vertical="center" wrapText="1"/>
    </xf>
    <xf numFmtId="0" fontId="11" fillId="16" borderId="33" xfId="0" applyFont="1" applyFill="1" applyBorder="1" applyAlignment="1">
      <alignment horizontal="center" vertical="center" wrapText="1"/>
    </xf>
    <xf numFmtId="0" fontId="11" fillId="32" borderId="11" xfId="0" applyFont="1" applyFill="1" applyBorder="1" applyAlignment="1">
      <alignment horizontal="center" vertical="center" wrapText="1"/>
    </xf>
    <xf numFmtId="0" fontId="11" fillId="32" borderId="52" xfId="0" applyFont="1" applyFill="1" applyBorder="1" applyAlignment="1">
      <alignment horizontal="center" vertical="center" wrapText="1"/>
    </xf>
    <xf numFmtId="0" fontId="11" fillId="16" borderId="47" xfId="0" applyFont="1" applyFill="1" applyBorder="1" applyAlignment="1">
      <alignment horizontal="center" vertical="center" wrapText="1"/>
    </xf>
    <xf numFmtId="0" fontId="11" fillId="16" borderId="24" xfId="0" applyFont="1" applyFill="1" applyBorder="1" applyAlignment="1">
      <alignment horizontal="center" vertical="center" wrapText="1"/>
    </xf>
    <xf numFmtId="0" fontId="11" fillId="16" borderId="41" xfId="0" applyFont="1" applyFill="1" applyBorder="1" applyAlignment="1">
      <alignment horizontal="center" vertical="center" wrapText="1"/>
    </xf>
    <xf numFmtId="0" fontId="11" fillId="16" borderId="49" xfId="0" applyFont="1" applyFill="1" applyBorder="1" applyAlignment="1">
      <alignment horizontal="center" vertical="center" wrapText="1"/>
    </xf>
    <xf numFmtId="0" fontId="11" fillId="16" borderId="50" xfId="0" applyFont="1" applyFill="1" applyBorder="1" applyAlignment="1">
      <alignment horizontal="center" vertical="center" wrapText="1"/>
    </xf>
    <xf numFmtId="0" fontId="11" fillId="16" borderId="51" xfId="0" applyFont="1" applyFill="1" applyBorder="1" applyAlignment="1">
      <alignment horizontal="center" vertical="center" wrapText="1"/>
    </xf>
    <xf numFmtId="0" fontId="11" fillId="13" borderId="11" xfId="0" applyFont="1" applyFill="1" applyBorder="1" applyAlignment="1">
      <alignment horizontal="center" vertical="center" wrapText="1"/>
    </xf>
    <xf numFmtId="0" fontId="11" fillId="13" borderId="52" xfId="0" applyFont="1" applyFill="1" applyBorder="1" applyAlignment="1">
      <alignment horizontal="center" vertical="center" wrapText="1"/>
    </xf>
    <xf numFmtId="0" fontId="11" fillId="16" borderId="11" xfId="0" applyFont="1" applyFill="1" applyBorder="1" applyAlignment="1">
      <alignment horizontal="center" vertical="center" wrapText="1"/>
    </xf>
    <xf numFmtId="0" fontId="11" fillId="16" borderId="52" xfId="0" applyFont="1" applyFill="1" applyBorder="1" applyAlignment="1">
      <alignment horizontal="center" vertical="center" wrapText="1"/>
    </xf>
    <xf numFmtId="0" fontId="11" fillId="16" borderId="43" xfId="0" applyFont="1" applyFill="1" applyBorder="1" applyAlignment="1">
      <alignment horizontal="center" vertical="center" wrapText="1"/>
    </xf>
    <xf numFmtId="0" fontId="11" fillId="16" borderId="14" xfId="0" applyFont="1" applyFill="1" applyBorder="1" applyAlignment="1">
      <alignment horizontal="center" vertical="center" wrapText="1"/>
    </xf>
    <xf numFmtId="0" fontId="11" fillId="16" borderId="54" xfId="0" applyFont="1" applyFill="1" applyBorder="1" applyAlignment="1">
      <alignment horizontal="center" vertical="center" wrapText="1"/>
    </xf>
    <xf numFmtId="0" fontId="11" fillId="16" borderId="61" xfId="0" applyFont="1" applyFill="1" applyBorder="1" applyAlignment="1">
      <alignment horizontal="center" vertical="center" wrapText="1"/>
    </xf>
    <xf numFmtId="0" fontId="11" fillId="16" borderId="28" xfId="0" applyFont="1" applyFill="1" applyBorder="1" applyAlignment="1">
      <alignment horizontal="center" vertical="center" wrapText="1"/>
    </xf>
    <xf numFmtId="0" fontId="3" fillId="0" borderId="5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13" borderId="57" xfId="0" applyFont="1" applyFill="1" applyBorder="1" applyAlignment="1">
      <alignment horizontal="center" vertical="center"/>
    </xf>
    <xf numFmtId="0" fontId="3" fillId="13" borderId="0" xfId="0" applyFont="1" applyFill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4" fillId="0" borderId="14" xfId="0" applyFont="1" applyBorder="1" applyAlignment="1">
      <alignment horizontal="left" wrapText="1"/>
    </xf>
    <xf numFmtId="0" fontId="34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11" fillId="8" borderId="31" xfId="0" applyFont="1" applyFill="1" applyBorder="1" applyAlignment="1">
      <alignment horizontal="center"/>
    </xf>
    <xf numFmtId="0" fontId="11" fillId="8" borderId="32" xfId="0" applyFont="1" applyFill="1" applyBorder="1" applyAlignment="1">
      <alignment horizontal="center"/>
    </xf>
    <xf numFmtId="0" fontId="11" fillId="8" borderId="22" xfId="0" applyFont="1" applyFill="1" applyBorder="1" applyAlignment="1">
      <alignment horizontal="center"/>
    </xf>
    <xf numFmtId="0" fontId="11" fillId="0" borderId="0" xfId="0" applyFont="1" applyAlignment="1">
      <alignment horizontal="center" wrapText="1"/>
    </xf>
    <xf numFmtId="0" fontId="6" fillId="3" borderId="31" xfId="0" applyFont="1" applyFill="1" applyBorder="1" applyAlignment="1">
      <alignment horizontal="center"/>
    </xf>
    <xf numFmtId="0" fontId="6" fillId="3" borderId="32" xfId="0" applyFont="1" applyFill="1" applyBorder="1" applyAlignment="1">
      <alignment horizontal="center"/>
    </xf>
    <xf numFmtId="0" fontId="6" fillId="3" borderId="22" xfId="0" applyFont="1" applyFill="1" applyBorder="1" applyAlignment="1">
      <alignment horizontal="center"/>
    </xf>
    <xf numFmtId="0" fontId="11" fillId="5" borderId="31" xfId="1" applyFont="1" applyFill="1" applyBorder="1" applyAlignment="1">
      <alignment horizontal="center"/>
    </xf>
    <xf numFmtId="0" fontId="11" fillId="5" borderId="32" xfId="1" applyFont="1" applyFill="1" applyBorder="1" applyAlignment="1">
      <alignment horizontal="center"/>
    </xf>
    <xf numFmtId="0" fontId="14" fillId="5" borderId="27" xfId="1" applyFont="1" applyFill="1" applyBorder="1" applyAlignment="1">
      <alignment horizontal="center" vertical="center" wrapText="1"/>
    </xf>
    <xf numFmtId="0" fontId="14" fillId="5" borderId="25" xfId="1" applyFont="1" applyFill="1" applyBorder="1" applyAlignment="1">
      <alignment horizontal="center" vertical="center" wrapText="1"/>
    </xf>
    <xf numFmtId="0" fontId="14" fillId="5" borderId="27" xfId="1" applyFont="1" applyFill="1" applyBorder="1" applyAlignment="1" applyProtection="1">
      <alignment horizontal="center" vertical="center" textRotation="90" wrapText="1"/>
      <protection locked="0" hidden="1"/>
    </xf>
    <xf numFmtId="0" fontId="14" fillId="5" borderId="25" xfId="1" applyFont="1" applyFill="1" applyBorder="1" applyAlignment="1" applyProtection="1">
      <alignment horizontal="center" vertical="center" textRotation="90" wrapText="1"/>
      <protection locked="0" hidden="1"/>
    </xf>
    <xf numFmtId="0" fontId="11" fillId="8" borderId="31" xfId="0" applyFont="1" applyFill="1" applyBorder="1" applyAlignment="1">
      <alignment horizontal="center" wrapText="1"/>
    </xf>
    <xf numFmtId="0" fontId="11" fillId="8" borderId="32" xfId="0" applyFont="1" applyFill="1" applyBorder="1" applyAlignment="1">
      <alignment horizontal="center" wrapText="1"/>
    </xf>
    <xf numFmtId="0" fontId="11" fillId="8" borderId="22" xfId="0" applyFont="1" applyFill="1" applyBorder="1" applyAlignment="1">
      <alignment horizontal="center" wrapText="1"/>
    </xf>
    <xf numFmtId="0" fontId="11" fillId="0" borderId="0" xfId="0" applyFont="1" applyAlignment="1">
      <alignment horizontal="center" vertical="center" wrapText="1"/>
    </xf>
    <xf numFmtId="0" fontId="11" fillId="11" borderId="27" xfId="0" applyFont="1" applyFill="1" applyBorder="1" applyAlignment="1">
      <alignment horizontal="center" vertical="center" wrapText="1"/>
    </xf>
    <xf numFmtId="0" fontId="11" fillId="11" borderId="25" xfId="0" applyFont="1" applyFill="1" applyBorder="1" applyAlignment="1">
      <alignment horizontal="center" vertical="center" wrapText="1"/>
    </xf>
    <xf numFmtId="0" fontId="3" fillId="11" borderId="35" xfId="0" applyFont="1" applyFill="1" applyBorder="1" applyAlignment="1">
      <alignment horizontal="center" vertical="center"/>
    </xf>
    <xf numFmtId="0" fontId="3" fillId="11" borderId="36" xfId="0" applyFont="1" applyFill="1" applyBorder="1" applyAlignment="1">
      <alignment horizontal="center" vertical="center"/>
    </xf>
    <xf numFmtId="0" fontId="3" fillId="11" borderId="7" xfId="0" applyFont="1" applyFill="1" applyBorder="1" applyAlignment="1">
      <alignment horizontal="center" vertical="center"/>
    </xf>
    <xf numFmtId="0" fontId="11" fillId="11" borderId="31" xfId="0" applyFont="1" applyFill="1" applyBorder="1" applyAlignment="1">
      <alignment horizontal="center" vertical="center" wrapText="1"/>
    </xf>
    <xf numFmtId="0" fontId="11" fillId="11" borderId="32" xfId="0" applyFont="1" applyFill="1" applyBorder="1" applyAlignment="1">
      <alignment horizontal="center" vertical="center" wrapText="1"/>
    </xf>
    <xf numFmtId="0" fontId="11" fillId="11" borderId="23" xfId="0" applyFont="1" applyFill="1" applyBorder="1" applyAlignment="1">
      <alignment horizontal="center" vertical="center" wrapText="1"/>
    </xf>
    <xf numFmtId="0" fontId="11" fillId="11" borderId="29" xfId="0" applyFont="1" applyFill="1" applyBorder="1" applyAlignment="1">
      <alignment horizontal="center" vertical="center" wrapText="1"/>
    </xf>
    <xf numFmtId="0" fontId="11" fillId="11" borderId="30" xfId="0" applyFont="1" applyFill="1" applyBorder="1" applyAlignment="1">
      <alignment horizontal="center" vertical="center" wrapText="1"/>
    </xf>
    <xf numFmtId="0" fontId="11" fillId="11" borderId="45" xfId="0" applyFont="1" applyFill="1" applyBorder="1" applyAlignment="1">
      <alignment horizontal="center" vertical="center" wrapText="1"/>
    </xf>
    <xf numFmtId="0" fontId="11" fillId="11" borderId="26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3" fillId="16" borderId="31" xfId="0" applyFont="1" applyFill="1" applyBorder="1" applyAlignment="1">
      <alignment horizontal="center" vertical="center"/>
    </xf>
    <xf numFmtId="0" fontId="3" fillId="16" borderId="32" xfId="0" applyFont="1" applyFill="1" applyBorder="1" applyAlignment="1">
      <alignment horizontal="center" vertical="center"/>
    </xf>
    <xf numFmtId="0" fontId="3" fillId="16" borderId="22" xfId="0" applyFont="1" applyFill="1" applyBorder="1" applyAlignment="1">
      <alignment horizontal="center" vertical="center"/>
    </xf>
    <xf numFmtId="0" fontId="11" fillId="11" borderId="44" xfId="0" applyFont="1" applyFill="1" applyBorder="1" applyAlignment="1">
      <alignment horizontal="center" vertical="center" wrapText="1"/>
    </xf>
    <xf numFmtId="0" fontId="3" fillId="6" borderId="31" xfId="0" applyFont="1" applyFill="1" applyBorder="1" applyAlignment="1">
      <alignment horizontal="center" vertical="center"/>
    </xf>
    <xf numFmtId="0" fontId="3" fillId="6" borderId="32" xfId="0" applyFont="1" applyFill="1" applyBorder="1" applyAlignment="1">
      <alignment horizontal="center" vertical="center"/>
    </xf>
    <xf numFmtId="0" fontId="3" fillId="6" borderId="34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11" fillId="6" borderId="37" xfId="0" applyFont="1" applyFill="1" applyBorder="1" applyAlignment="1">
      <alignment horizontal="center" vertical="center" wrapText="1"/>
    </xf>
    <xf numFmtId="0" fontId="11" fillId="6" borderId="38" xfId="0" applyFont="1" applyFill="1" applyBorder="1" applyAlignment="1">
      <alignment horizontal="center" vertical="center" wrapText="1"/>
    </xf>
    <xf numFmtId="0" fontId="11" fillId="6" borderId="29" xfId="0" applyFont="1" applyFill="1" applyBorder="1" applyAlignment="1">
      <alignment horizontal="center" vertical="center" wrapText="1"/>
    </xf>
    <xf numFmtId="0" fontId="11" fillId="6" borderId="27" xfId="0" applyFont="1" applyFill="1" applyBorder="1" applyAlignment="1">
      <alignment horizontal="center" vertical="center" wrapText="1"/>
    </xf>
    <xf numFmtId="0" fontId="11" fillId="6" borderId="26" xfId="0" applyFont="1" applyFill="1" applyBorder="1" applyAlignment="1">
      <alignment horizontal="center" vertical="center" wrapText="1"/>
    </xf>
    <xf numFmtId="0" fontId="11" fillId="6" borderId="25" xfId="0" applyFont="1" applyFill="1" applyBorder="1" applyAlignment="1">
      <alignment horizontal="center" vertical="center" wrapText="1"/>
    </xf>
    <xf numFmtId="0" fontId="3" fillId="6" borderId="35" xfId="0" applyFont="1" applyFill="1" applyBorder="1" applyAlignment="1">
      <alignment horizontal="center" vertical="center"/>
    </xf>
    <xf numFmtId="0" fontId="3" fillId="6" borderId="3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11" fillId="6" borderId="23" xfId="0" applyFont="1" applyFill="1" applyBorder="1" applyAlignment="1">
      <alignment horizontal="center" vertical="center" wrapText="1"/>
    </xf>
    <xf numFmtId="0" fontId="11" fillId="6" borderId="31" xfId="0" applyFont="1" applyFill="1" applyBorder="1" applyAlignment="1">
      <alignment horizontal="center" vertical="center" wrapText="1"/>
    </xf>
    <xf numFmtId="0" fontId="11" fillId="6" borderId="32" xfId="0" applyFont="1" applyFill="1" applyBorder="1" applyAlignment="1">
      <alignment horizontal="center" vertical="center" wrapText="1"/>
    </xf>
    <xf numFmtId="0" fontId="11" fillId="6" borderId="22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/>
    </xf>
    <xf numFmtId="17" fontId="50" fillId="0" borderId="0" xfId="0" applyNumberFormat="1" applyFont="1" applyAlignment="1">
      <alignment horizontal="center"/>
    </xf>
    <xf numFmtId="0" fontId="52" fillId="0" borderId="0" xfId="0" applyFont="1" applyAlignment="1">
      <alignment horizontal="center"/>
    </xf>
    <xf numFmtId="0" fontId="51" fillId="27" borderId="46" xfId="0" applyFont="1" applyFill="1" applyBorder="1" applyAlignment="1">
      <alignment horizontal="center" vertical="center" wrapText="1"/>
    </xf>
    <xf numFmtId="0" fontId="55" fillId="0" borderId="46" xfId="0" applyFont="1" applyBorder="1" applyAlignment="1">
      <alignment horizontal="center" vertical="center" wrapText="1"/>
    </xf>
    <xf numFmtId="0" fontId="55" fillId="0" borderId="33" xfId="0" applyFont="1" applyBorder="1" applyAlignment="1">
      <alignment horizontal="center" vertical="center" wrapText="1"/>
    </xf>
    <xf numFmtId="0" fontId="46" fillId="0" borderId="48" xfId="0" applyFont="1" applyBorder="1" applyAlignment="1">
      <alignment horizontal="center" vertical="center"/>
    </xf>
    <xf numFmtId="0" fontId="46" fillId="0" borderId="39" xfId="0" applyFont="1" applyBorder="1" applyAlignment="1">
      <alignment horizontal="center" vertical="center"/>
    </xf>
    <xf numFmtId="49" fontId="46" fillId="0" borderId="46" xfId="0" applyNumberFormat="1" applyFont="1" applyBorder="1" applyAlignment="1">
      <alignment horizontal="center" vertical="center"/>
    </xf>
    <xf numFmtId="49" fontId="46" fillId="0" borderId="33" xfId="0" applyNumberFormat="1" applyFont="1" applyBorder="1" applyAlignment="1">
      <alignment horizontal="center" vertical="center"/>
    </xf>
    <xf numFmtId="0" fontId="46" fillId="26" borderId="46" xfId="0" applyFont="1" applyFill="1" applyBorder="1" applyAlignment="1">
      <alignment horizontal="center" vertical="center" wrapText="1"/>
    </xf>
    <xf numFmtId="0" fontId="46" fillId="26" borderId="33" xfId="0" applyFont="1" applyFill="1" applyBorder="1" applyAlignment="1">
      <alignment horizontal="center" vertical="center" wrapText="1"/>
    </xf>
    <xf numFmtId="0" fontId="54" fillId="26" borderId="46" xfId="0" applyFont="1" applyFill="1" applyBorder="1" applyAlignment="1">
      <alignment horizontal="center" vertical="center" wrapText="1"/>
    </xf>
    <xf numFmtId="0" fontId="54" fillId="26" borderId="33" xfId="0" applyFont="1" applyFill="1" applyBorder="1" applyAlignment="1">
      <alignment horizontal="center" vertical="center" wrapText="1"/>
    </xf>
    <xf numFmtId="49" fontId="69" fillId="28" borderId="1" xfId="0" applyNumberFormat="1" applyFont="1" applyFill="1" applyBorder="1" applyAlignment="1">
      <alignment horizontal="center" vertical="center" wrapText="1"/>
    </xf>
    <xf numFmtId="0" fontId="51" fillId="0" borderId="46" xfId="0" applyFont="1" applyBorder="1" applyAlignment="1">
      <alignment horizontal="center" vertical="center"/>
    </xf>
    <xf numFmtId="0" fontId="51" fillId="0" borderId="33" xfId="0" applyFont="1" applyBorder="1" applyAlignment="1">
      <alignment horizontal="center" vertical="center"/>
    </xf>
    <xf numFmtId="0" fontId="58" fillId="28" borderId="32" xfId="0" applyFont="1" applyFill="1" applyBorder="1" applyAlignment="1">
      <alignment horizontal="left"/>
    </xf>
    <xf numFmtId="0" fontId="58" fillId="28" borderId="62" xfId="0" applyFont="1" applyFill="1" applyBorder="1" applyAlignment="1">
      <alignment horizontal="left"/>
    </xf>
    <xf numFmtId="0" fontId="51" fillId="0" borderId="18" xfId="0" applyFont="1" applyBorder="1" applyAlignment="1">
      <alignment horizontal="center" vertical="center"/>
    </xf>
    <xf numFmtId="0" fontId="51" fillId="0" borderId="19" xfId="0" applyFont="1" applyBorder="1" applyAlignment="1">
      <alignment horizontal="center" vertical="center"/>
    </xf>
    <xf numFmtId="0" fontId="73" fillId="27" borderId="18" xfId="0" applyFont="1" applyFill="1" applyBorder="1" applyAlignment="1">
      <alignment horizontal="center" vertical="center"/>
    </xf>
    <xf numFmtId="0" fontId="73" fillId="27" borderId="52" xfId="0" applyFont="1" applyFill="1" applyBorder="1" applyAlignment="1">
      <alignment horizontal="center" vertical="center"/>
    </xf>
    <xf numFmtId="0" fontId="55" fillId="27" borderId="46" xfId="0" applyFont="1" applyFill="1" applyBorder="1" applyAlignment="1">
      <alignment horizontal="center" vertical="center" wrapText="1"/>
    </xf>
    <xf numFmtId="0" fontId="55" fillId="27" borderId="33" xfId="0" applyFont="1" applyFill="1" applyBorder="1" applyAlignment="1">
      <alignment horizontal="center" vertical="center" wrapText="1"/>
    </xf>
    <xf numFmtId="0" fontId="55" fillId="27" borderId="61" xfId="0" applyFont="1" applyFill="1" applyBorder="1" applyAlignment="1">
      <alignment horizontal="center" vertical="center" wrapText="1"/>
    </xf>
    <xf numFmtId="0" fontId="55" fillId="27" borderId="52" xfId="0" applyFont="1" applyFill="1" applyBorder="1" applyAlignment="1">
      <alignment horizontal="center" vertical="center" wrapText="1"/>
    </xf>
    <xf numFmtId="0" fontId="51" fillId="27" borderId="33" xfId="0" applyFont="1" applyFill="1" applyBorder="1" applyAlignment="1">
      <alignment horizontal="center" vertical="center" wrapText="1"/>
    </xf>
    <xf numFmtId="0" fontId="54" fillId="0" borderId="46" xfId="0" applyFont="1" applyBorder="1" applyAlignment="1">
      <alignment horizontal="center" vertical="center" wrapText="1"/>
    </xf>
    <xf numFmtId="0" fontId="54" fillId="0" borderId="33" xfId="0" applyFont="1" applyBorder="1" applyAlignment="1">
      <alignment horizontal="center" vertical="center" wrapText="1"/>
    </xf>
    <xf numFmtId="0" fontId="57" fillId="0" borderId="46" xfId="0" applyFont="1" applyBorder="1" applyAlignment="1">
      <alignment horizontal="center" vertical="center" wrapText="1"/>
    </xf>
    <xf numFmtId="0" fontId="57" fillId="0" borderId="33" xfId="0" applyFont="1" applyBorder="1" applyAlignment="1">
      <alignment horizontal="center" vertical="center" wrapText="1"/>
    </xf>
    <xf numFmtId="0" fontId="56" fillId="0" borderId="61" xfId="0" applyFont="1" applyBorder="1" applyAlignment="1">
      <alignment horizontal="center" vertical="center" wrapText="1"/>
    </xf>
    <xf numFmtId="0" fontId="56" fillId="0" borderId="52" xfId="0" applyFont="1" applyBorder="1" applyAlignment="1">
      <alignment horizontal="center" vertical="center" wrapText="1"/>
    </xf>
    <xf numFmtId="0" fontId="11" fillId="7" borderId="27" xfId="0" applyFont="1" applyFill="1" applyBorder="1" applyAlignment="1">
      <alignment horizontal="center" vertical="center" wrapText="1"/>
    </xf>
    <xf numFmtId="0" fontId="11" fillId="7" borderId="25" xfId="0" applyFont="1" applyFill="1" applyBorder="1" applyAlignment="1">
      <alignment horizontal="center" vertical="center" wrapText="1"/>
    </xf>
    <xf numFmtId="0" fontId="28" fillId="7" borderId="27" xfId="0" applyFont="1" applyFill="1" applyBorder="1" applyAlignment="1">
      <alignment horizontal="center" vertical="center" wrapText="1"/>
    </xf>
    <xf numFmtId="0" fontId="28" fillId="7" borderId="25" xfId="0" applyFont="1" applyFill="1" applyBorder="1" applyAlignment="1">
      <alignment horizontal="center" vertical="center" wrapText="1"/>
    </xf>
    <xf numFmtId="0" fontId="11" fillId="7" borderId="37" xfId="0" applyFont="1" applyFill="1" applyBorder="1" applyAlignment="1">
      <alignment horizontal="center" vertical="center" wrapText="1"/>
    </xf>
    <xf numFmtId="0" fontId="11" fillId="7" borderId="38" xfId="0" applyFont="1" applyFill="1" applyBorder="1" applyAlignment="1">
      <alignment horizontal="center" vertical="center" wrapText="1"/>
    </xf>
    <xf numFmtId="0" fontId="11" fillId="7" borderId="29" xfId="0" applyFont="1" applyFill="1" applyBorder="1" applyAlignment="1">
      <alignment horizontal="center" vertical="center" wrapText="1"/>
    </xf>
    <xf numFmtId="0" fontId="82" fillId="33" borderId="31" xfId="0" applyFont="1" applyFill="1" applyBorder="1" applyAlignment="1">
      <alignment horizontal="center"/>
    </xf>
    <xf numFmtId="0" fontId="82" fillId="33" borderId="32" xfId="0" applyFont="1" applyFill="1" applyBorder="1" applyAlignment="1">
      <alignment horizontal="center"/>
    </xf>
    <xf numFmtId="0" fontId="82" fillId="33" borderId="22" xfId="0" applyFont="1" applyFill="1" applyBorder="1" applyAlignment="1">
      <alignment horizontal="center"/>
    </xf>
    <xf numFmtId="0" fontId="57" fillId="34" borderId="13" xfId="0" applyFont="1" applyFill="1" applyBorder="1" applyAlignment="1">
      <alignment horizontal="center" wrapText="1"/>
    </xf>
    <xf numFmtId="0" fontId="87" fillId="34" borderId="60" xfId="0" applyFont="1" applyFill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  <xf numFmtId="0" fontId="14" fillId="0" borderId="32" xfId="0" applyFont="1" applyBorder="1" applyAlignment="1">
      <alignment horizontal="center" wrapText="1"/>
    </xf>
    <xf numFmtId="0" fontId="14" fillId="0" borderId="22" xfId="0" applyFont="1" applyBorder="1" applyAlignment="1">
      <alignment horizont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40" xfId="0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44" fontId="11" fillId="8" borderId="33" xfId="0" applyNumberFormat="1" applyFont="1" applyFill="1" applyBorder="1" applyAlignment="1">
      <alignment horizontal="left" vertical="center"/>
    </xf>
    <xf numFmtId="44" fontId="11" fillId="8" borderId="41" xfId="0" applyNumberFormat="1" applyFont="1" applyFill="1" applyBorder="1" applyAlignment="1">
      <alignment horizontal="left" vertical="center"/>
    </xf>
    <xf numFmtId="0" fontId="3" fillId="0" borderId="1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2">
    <cellStyle name="Énfasis1" xfId="1" builtinId="29"/>
    <cellStyle name="Euro" xfId="2" xr:uid="{00000000-0005-0000-0000-000001000000}"/>
    <cellStyle name="Millares" xfId="11" builtinId="3"/>
    <cellStyle name="Millares 4" xfId="3" xr:uid="{00000000-0005-0000-0000-000003000000}"/>
    <cellStyle name="Moneda" xfId="4" builtinId="4"/>
    <cellStyle name="Moneda 2" xfId="9" xr:uid="{00000000-0005-0000-0000-000005000000}"/>
    <cellStyle name="Normal" xfId="0" builtinId="0"/>
    <cellStyle name="Normal 2" xfId="5" xr:uid="{00000000-0005-0000-0000-000007000000}"/>
    <cellStyle name="Normal 2 2" xfId="10" xr:uid="{00000000-0005-0000-0000-000008000000}"/>
    <cellStyle name="Normal 3" xfId="8" xr:uid="{00000000-0005-0000-0000-000009000000}"/>
    <cellStyle name="Normal 4" xfId="6" xr:uid="{00000000-0005-0000-0000-00000A000000}"/>
    <cellStyle name="Porcentaje" xfId="7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tyles" Target="styles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18831" name="Rectangle 3">
          <a:extLst>
            <a:ext uri="{FF2B5EF4-FFF2-40B4-BE49-F238E27FC236}">
              <a16:creationId xmlns:a16="http://schemas.microsoft.com/office/drawing/2014/main" id="{00000000-0008-0000-0300-00008F490000}"/>
            </a:ext>
          </a:extLst>
        </xdr:cNvPr>
        <xdr:cNvSpPr>
          <a:spLocks noChangeArrowheads="1"/>
        </xdr:cNvSpPr>
      </xdr:nvSpPr>
      <xdr:spPr bwMode="auto">
        <a:xfrm>
          <a:off x="9334500" y="0"/>
          <a:ext cx="0" cy="0"/>
        </a:xfrm>
        <a:prstGeom prst="rect">
          <a:avLst/>
        </a:prstGeom>
        <a:solidFill>
          <a:srgbClr val="FFFF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052" name="Rectangle 4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SpPr>
          <a:spLocks noChangeArrowheads="1"/>
        </xdr:cNvSpPr>
      </xdr:nvSpPr>
      <xdr:spPr bwMode="auto">
        <a:xfrm>
          <a:off x="6953250" y="638175"/>
          <a:ext cx="466725" cy="209550"/>
        </a:xfrm>
        <a:prstGeom prst="rect">
          <a:avLst/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s-CL" sz="1000" b="1" i="0" strike="noStrike">
            <a:solidFill>
              <a:srgbClr val="FF99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CL" sz="1000" b="1" i="0" strike="noStrike">
            <a:solidFill>
              <a:srgbClr val="FF99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1650" name="Rectangle 3">
          <a:extLst>
            <a:ext uri="{FF2B5EF4-FFF2-40B4-BE49-F238E27FC236}">
              <a16:creationId xmlns:a16="http://schemas.microsoft.com/office/drawing/2014/main" id="{00000000-0008-0000-0400-000092540000}"/>
            </a:ext>
          </a:extLst>
        </xdr:cNvPr>
        <xdr:cNvSpPr>
          <a:spLocks noChangeArrowheads="1"/>
        </xdr:cNvSpPr>
      </xdr:nvSpPr>
      <xdr:spPr bwMode="auto">
        <a:xfrm>
          <a:off x="11191875" y="0"/>
          <a:ext cx="0" cy="0"/>
        </a:xfrm>
        <a:prstGeom prst="rect">
          <a:avLst/>
        </a:prstGeom>
        <a:solidFill>
          <a:srgbClr val="FFFF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" name="Rectangle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10658475" y="0"/>
          <a:ext cx="0" cy="0"/>
        </a:xfrm>
        <a:prstGeom prst="rect">
          <a:avLst/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s-CL" sz="1000" b="1" i="0" strike="noStrike">
            <a:solidFill>
              <a:srgbClr val="FF99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CL" sz="1000" b="1" i="0" strike="noStrike">
            <a:solidFill>
              <a:srgbClr val="FF99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3" name="Rectangle 3">
          <a:extLst>
            <a:ext uri="{FF2B5EF4-FFF2-40B4-BE49-F238E27FC236}">
              <a16:creationId xmlns:a16="http://schemas.microsoft.com/office/drawing/2014/main" id="{00000000-0008-0000-0500-0000B7500000}"/>
            </a:ext>
          </a:extLst>
        </xdr:cNvPr>
        <xdr:cNvSpPr>
          <a:spLocks noChangeArrowheads="1"/>
        </xdr:cNvSpPr>
      </xdr:nvSpPr>
      <xdr:spPr bwMode="auto">
        <a:xfrm>
          <a:off x="6991350" y="0"/>
          <a:ext cx="0" cy="0"/>
        </a:xfrm>
        <a:prstGeom prst="rect">
          <a:avLst/>
        </a:prstGeom>
        <a:solidFill>
          <a:srgbClr val="FFFF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2" name="Rectangle 4">
          <a:extLst>
            <a:ext uri="{FF2B5EF4-FFF2-40B4-BE49-F238E27FC236}">
              <a16:creationId xmlns:a16="http://schemas.microsoft.com/office/drawing/2014/main" id="{00000000-0008-0000-0500-000004080000}"/>
            </a:ext>
          </a:extLst>
        </xdr:cNvPr>
        <xdr:cNvSpPr>
          <a:spLocks noChangeArrowheads="1"/>
        </xdr:cNvSpPr>
      </xdr:nvSpPr>
      <xdr:spPr bwMode="auto">
        <a:xfrm>
          <a:off x="6953250" y="638175"/>
          <a:ext cx="466725" cy="209550"/>
        </a:xfrm>
        <a:prstGeom prst="rect">
          <a:avLst/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s-CL" sz="1000" b="1" i="0" strike="noStrike">
            <a:solidFill>
              <a:srgbClr val="FF99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CL" sz="1000" b="1" i="0" strike="noStrike">
            <a:solidFill>
              <a:srgbClr val="FF99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157110</xdr:colOff>
      <xdr:row>0</xdr:row>
      <xdr:rowOff>0</xdr:rowOff>
    </xdr:from>
    <xdr:to>
      <xdr:col>3</xdr:col>
      <xdr:colOff>574640</xdr:colOff>
      <xdr:row>3</xdr:row>
      <xdr:rowOff>147480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6EAD7FA-2A7A-44FC-B324-BADEC871A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110" y="0"/>
          <a:ext cx="874730" cy="633255"/>
        </a:xfrm>
        <a:prstGeom prst="rect">
          <a:avLst/>
        </a:prstGeom>
      </xdr:spPr>
    </xdr:pic>
    <xdr:clientData/>
  </xdr:twoCellAnchor>
  <xdr:twoCellAnchor editAs="oneCell">
    <xdr:from>
      <xdr:col>20</xdr:col>
      <xdr:colOff>566958</xdr:colOff>
      <xdr:row>0</xdr:row>
      <xdr:rowOff>107373</xdr:rowOff>
    </xdr:from>
    <xdr:to>
      <xdr:col>21</xdr:col>
      <xdr:colOff>151823</xdr:colOff>
      <xdr:row>4</xdr:row>
      <xdr:rowOff>171450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00FC225-0E26-4F56-9B6C-5F68A92D359B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4175" b="33289"/>
        <a:stretch/>
      </xdr:blipFill>
      <xdr:spPr bwMode="auto">
        <a:xfrm>
          <a:off x="12949458" y="107373"/>
          <a:ext cx="975515" cy="103562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19</xdr:col>
      <xdr:colOff>357187</xdr:colOff>
      <xdr:row>101</xdr:row>
      <xdr:rowOff>0</xdr:rowOff>
    </xdr:from>
    <xdr:to>
      <xdr:col>20</xdr:col>
      <xdr:colOff>731370</xdr:colOff>
      <xdr:row>104</xdr:row>
      <xdr:rowOff>100075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7A75041F-AB6A-4336-9597-B0574AA9068C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4175" b="33289"/>
        <a:stretch/>
      </xdr:blipFill>
      <xdr:spPr bwMode="auto">
        <a:xfrm>
          <a:off x="16883062" y="45986700"/>
          <a:ext cx="731370" cy="8525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18</xdr:col>
      <xdr:colOff>1021772</xdr:colOff>
      <xdr:row>101</xdr:row>
      <xdr:rowOff>0</xdr:rowOff>
    </xdr:from>
    <xdr:to>
      <xdr:col>20</xdr:col>
      <xdr:colOff>972340</xdr:colOff>
      <xdr:row>111</xdr:row>
      <xdr:rowOff>142006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7E9C0FB2-3ECF-4502-8E35-1FA0115C6207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4175" b="33289"/>
        <a:stretch/>
      </xdr:blipFill>
      <xdr:spPr bwMode="auto">
        <a:xfrm>
          <a:off x="16509422" y="58497354"/>
          <a:ext cx="972340" cy="107545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PRESUPUESTO%2020223\PRESUPUESTOS%20POR%20UNIDAD%202023\UNION%20DE%20PRESUPUESTOS%202023.xlsx" TargetMode="External"/><Relationship Id="rId1" Type="http://schemas.openxmlformats.org/officeDocument/2006/relationships/externalLinkPath" Target="/Users/dell/Desktop/PRESUPUESTO%202023/PRESUPUESTOS%20POR%20UNIDAD%202023/UNION%20DE%20PRESUPUESTOS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Y/Desktop/TODAS%20LAS%20PLANILLAS/DESC.DE%20PRESTAMOS%20OCTUBRE%20ORIGINAL.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ORERIA/Downloads/DESC.DE%20PRESTAMOS%20NOVIEMBRE%20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SOLIDADO"/>
      <sheetName val="UNION DE PRESUPUESTOS "/>
      <sheetName val="MEDIO AMBIENTE"/>
      <sheetName val="COMUNICACIONES"/>
      <sheetName val="CAM "/>
      <sheetName val="CONTABILIDAD"/>
      <sheetName val="UNIDAD MUJER"/>
      <sheetName val="REF"/>
      <sheetName val="DESPACHO MUNICIPAL"/>
      <sheetName val="UNIDAD DE LA NIÑEZ"/>
      <sheetName val="UAIP"/>
      <sheetName val="SERVICIOS GENERALES"/>
      <sheetName val="AUDITORIA INTERNA"/>
      <sheetName val="PRESUPUESTO"/>
      <sheetName val="GERENCIA"/>
      <sheetName val="UGDA"/>
      <sheetName val="TALENTO HUMANO"/>
      <sheetName val="UNIDAD JURIDICA"/>
      <sheetName val="UATM"/>
      <sheetName val="TESORERIA "/>
      <sheetName val="UNIDAD DE INFORMATICA"/>
      <sheetName val="PROYECCION SOCIAL "/>
      <sheetName val="PROYECTOS "/>
      <sheetName val="DEPORTES"/>
      <sheetName val="UACI"/>
    </sheetNames>
    <sheetDataSet>
      <sheetData sheetId="0" refreshError="1">
        <row r="8">
          <cell r="J8">
            <v>3000</v>
          </cell>
        </row>
        <row r="18">
          <cell r="J18"/>
        </row>
        <row r="27">
          <cell r="I27">
            <v>1000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UENTO OCTUBRE"/>
      <sheetName val="LLEGADAS TARDIAS"/>
      <sheetName val="CAJA CRED TENANCINGO"/>
      <sheetName val="COOP.EL AGUILA"/>
      <sheetName val="CAJA CRED SUCHITOTO"/>
      <sheetName val="BANCO FOMENTO AGROPECUARIO"/>
      <sheetName val="COPADEO"/>
      <sheetName val="AGEPYM"/>
      <sheetName val="ACAPRODUSCA DE R.L."/>
      <sheetName val="ACECENTA"/>
      <sheetName val="HABITAT"/>
      <sheetName val="AGUILARES"/>
      <sheetName val="BANCO AZUL"/>
      <sheetName val="CAJA CRED COJUTE "/>
      <sheetName val="HP EL SALVADOR"/>
    </sheetNames>
    <sheetDataSet>
      <sheetData sheetId="0" refreshError="1">
        <row r="7">
          <cell r="R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UENTO NOVIEMBRE"/>
      <sheetName val="LLEGADAS TARDIAS"/>
      <sheetName val="CAJA CRED TENANCINGO"/>
      <sheetName val="COOP.EL AGUILA"/>
      <sheetName val="CAJA CRED SUCHITOTO"/>
      <sheetName val="BANCO FOMENTO AGROPECUARIO"/>
      <sheetName val="COPADEO"/>
      <sheetName val="AGEPYM"/>
      <sheetName val="ACAPRODUSCA DE R.L."/>
      <sheetName val="ACECENTA"/>
      <sheetName val="HABITAT"/>
      <sheetName val="AGUILARES"/>
      <sheetName val="BANCO AZUL"/>
      <sheetName val="CAJA CRED COJUTE "/>
      <sheetName val="HP EL SALVADOR"/>
    </sheetNames>
    <sheetDataSet>
      <sheetData sheetId="0" refreshError="1">
        <row r="8">
          <cell r="R8">
            <v>96.17</v>
          </cell>
        </row>
        <row r="10">
          <cell r="R10">
            <v>254.72</v>
          </cell>
        </row>
        <row r="11">
          <cell r="R11">
            <v>140.07</v>
          </cell>
        </row>
        <row r="12">
          <cell r="R12">
            <v>0</v>
          </cell>
        </row>
        <row r="13">
          <cell r="R13">
            <v>0</v>
          </cell>
        </row>
        <row r="18">
          <cell r="R18">
            <v>71.399999999999991</v>
          </cell>
        </row>
        <row r="19">
          <cell r="R19">
            <v>0</v>
          </cell>
        </row>
        <row r="20">
          <cell r="R20">
            <v>0</v>
          </cell>
        </row>
        <row r="21">
          <cell r="R21">
            <v>77.260000000000005</v>
          </cell>
        </row>
        <row r="22">
          <cell r="R22">
            <v>100.61</v>
          </cell>
        </row>
        <row r="23">
          <cell r="R23">
            <v>262.68</v>
          </cell>
        </row>
        <row r="24">
          <cell r="R24">
            <v>0.34</v>
          </cell>
        </row>
        <row r="25">
          <cell r="R25">
            <v>78.44</v>
          </cell>
        </row>
        <row r="26">
          <cell r="R26">
            <v>417.61</v>
          </cell>
        </row>
        <row r="27">
          <cell r="R27">
            <v>196.42000000000002</v>
          </cell>
        </row>
        <row r="28">
          <cell r="R28">
            <v>114</v>
          </cell>
        </row>
        <row r="29">
          <cell r="R29">
            <v>251</v>
          </cell>
        </row>
        <row r="30">
          <cell r="R30">
            <v>407.75</v>
          </cell>
        </row>
        <row r="31">
          <cell r="R31">
            <v>158</v>
          </cell>
        </row>
        <row r="32">
          <cell r="R32">
            <v>0</v>
          </cell>
        </row>
        <row r="33">
          <cell r="R33">
            <v>0</v>
          </cell>
        </row>
        <row r="38">
          <cell r="R38">
            <v>158.63999999999999</v>
          </cell>
        </row>
        <row r="39">
          <cell r="R39">
            <v>0</v>
          </cell>
        </row>
        <row r="40">
          <cell r="R40">
            <v>0</v>
          </cell>
        </row>
        <row r="41">
          <cell r="R41">
            <v>0</v>
          </cell>
        </row>
        <row r="42">
          <cell r="R42">
            <v>98.320000000000007</v>
          </cell>
        </row>
        <row r="43">
          <cell r="R43">
            <v>117.59</v>
          </cell>
        </row>
        <row r="44">
          <cell r="R44">
            <v>0</v>
          </cell>
        </row>
        <row r="45">
          <cell r="R45">
            <v>78.31</v>
          </cell>
        </row>
        <row r="46">
          <cell r="R46">
            <v>79.33</v>
          </cell>
        </row>
        <row r="47">
          <cell r="R47">
            <v>0.68</v>
          </cell>
        </row>
        <row r="48">
          <cell r="R48">
            <v>79.56</v>
          </cell>
        </row>
        <row r="49">
          <cell r="R49">
            <v>0</v>
          </cell>
        </row>
        <row r="50">
          <cell r="R50">
            <v>0</v>
          </cell>
        </row>
        <row r="58">
          <cell r="R58">
            <v>3.28</v>
          </cell>
        </row>
        <row r="59">
          <cell r="R59">
            <v>0</v>
          </cell>
        </row>
        <row r="60">
          <cell r="R60">
            <v>116</v>
          </cell>
        </row>
        <row r="61">
          <cell r="R61">
            <v>117.89999999999999</v>
          </cell>
        </row>
        <row r="62">
          <cell r="R62">
            <v>97.3</v>
          </cell>
        </row>
        <row r="63">
          <cell r="R63">
            <v>1.38</v>
          </cell>
        </row>
        <row r="64">
          <cell r="R64">
            <v>0</v>
          </cell>
        </row>
        <row r="65">
          <cell r="R65">
            <v>72</v>
          </cell>
        </row>
        <row r="66">
          <cell r="R66">
            <v>70.53</v>
          </cell>
        </row>
        <row r="67">
          <cell r="R67">
            <v>0</v>
          </cell>
        </row>
        <row r="68">
          <cell r="R68">
            <v>50</v>
          </cell>
        </row>
        <row r="70">
          <cell r="R70">
            <v>0</v>
          </cell>
        </row>
        <row r="71">
          <cell r="R71">
            <v>0.88</v>
          </cell>
        </row>
        <row r="72">
          <cell r="R72">
            <v>0</v>
          </cell>
        </row>
        <row r="73">
          <cell r="R73">
            <v>77.260000000000005</v>
          </cell>
        </row>
        <row r="74">
          <cell r="R74">
            <v>129</v>
          </cell>
        </row>
        <row r="75">
          <cell r="R75">
            <v>79.25</v>
          </cell>
        </row>
        <row r="77">
          <cell r="R77">
            <v>0</v>
          </cell>
        </row>
        <row r="78">
          <cell r="R78">
            <v>82.339999999999989</v>
          </cell>
        </row>
        <row r="79">
          <cell r="R79">
            <v>0</v>
          </cell>
        </row>
        <row r="80">
          <cell r="R80">
            <v>0</v>
          </cell>
        </row>
        <row r="81">
          <cell r="R81">
            <v>0</v>
          </cell>
        </row>
        <row r="82">
          <cell r="R82">
            <v>74.53</v>
          </cell>
        </row>
        <row r="83">
          <cell r="R83">
            <v>0</v>
          </cell>
        </row>
        <row r="84">
          <cell r="R84">
            <v>51</v>
          </cell>
        </row>
        <row r="85">
          <cell r="R85">
            <v>0</v>
          </cell>
        </row>
        <row r="86">
          <cell r="R86">
            <v>76.22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6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D55"/>
  <sheetViews>
    <sheetView view="pageBreakPreview" zoomScale="60" zoomScaleNormal="70" workbookViewId="0">
      <selection activeCell="C6" sqref="C6"/>
    </sheetView>
  </sheetViews>
  <sheetFormatPr baseColWidth="10" defaultColWidth="11.42578125" defaultRowHeight="23.25"/>
  <cols>
    <col min="1" max="1" width="35.85546875" style="393" customWidth="1"/>
    <col min="2" max="2" width="32.7109375" style="393" customWidth="1"/>
    <col min="3" max="3" width="93" style="393" customWidth="1"/>
    <col min="4" max="4" width="42.7109375" style="393" customWidth="1"/>
    <col min="5" max="16384" width="11.42578125" style="393"/>
  </cols>
  <sheetData>
    <row r="1" spans="1:4" ht="22.5" customHeight="1">
      <c r="A1" s="987" t="s">
        <v>334</v>
      </c>
      <c r="B1" s="987"/>
      <c r="C1" s="987"/>
      <c r="D1" s="987"/>
    </row>
    <row r="2" spans="1:4" ht="24.75" customHeight="1">
      <c r="A2" s="987" t="s">
        <v>327</v>
      </c>
      <c r="B2" s="987"/>
      <c r="C2" s="987"/>
      <c r="D2" s="987"/>
    </row>
    <row r="3" spans="1:4" ht="26.25" customHeight="1" thickBot="1">
      <c r="A3" s="988" t="s">
        <v>963</v>
      </c>
      <c r="B3" s="988"/>
      <c r="C3" s="988"/>
      <c r="D3" s="988"/>
    </row>
    <row r="4" spans="1:4" s="394" customFormat="1" ht="45" customHeight="1" thickBot="1">
      <c r="A4" s="413" t="s">
        <v>495</v>
      </c>
      <c r="B4" s="414" t="s">
        <v>103</v>
      </c>
      <c r="C4" s="414" t="s">
        <v>85</v>
      </c>
      <c r="D4" s="415" t="s">
        <v>104</v>
      </c>
    </row>
    <row r="5" spans="1:4" ht="75.75" customHeight="1">
      <c r="A5" s="995" t="s">
        <v>43</v>
      </c>
      <c r="B5" s="395"/>
      <c r="C5" s="396" t="s">
        <v>345</v>
      </c>
      <c r="D5" s="995" t="s">
        <v>105</v>
      </c>
    </row>
    <row r="6" spans="1:4" ht="31.5" customHeight="1">
      <c r="A6" s="996"/>
      <c r="B6" s="391" t="s">
        <v>77</v>
      </c>
      <c r="C6" s="398" t="s">
        <v>313</v>
      </c>
      <c r="D6" s="996"/>
    </row>
    <row r="7" spans="1:4" ht="36.75" customHeight="1" thickBot="1">
      <c r="A7" s="996"/>
      <c r="B7" s="391" t="s">
        <v>325</v>
      </c>
      <c r="C7" s="398" t="s">
        <v>552</v>
      </c>
      <c r="D7" s="996"/>
    </row>
    <row r="8" spans="1:4" ht="28.5" customHeight="1">
      <c r="A8" s="995" t="s">
        <v>191</v>
      </c>
      <c r="B8" s="399"/>
      <c r="C8" s="396" t="s">
        <v>192</v>
      </c>
      <c r="D8" s="996"/>
    </row>
    <row r="9" spans="1:4" ht="34.5" customHeight="1" thickBot="1">
      <c r="A9" s="996"/>
      <c r="B9" s="400" t="s">
        <v>193</v>
      </c>
      <c r="C9" s="401" t="s">
        <v>314</v>
      </c>
      <c r="D9" s="996"/>
    </row>
    <row r="10" spans="1:4" ht="34.5" customHeight="1">
      <c r="A10" s="995" t="s">
        <v>961</v>
      </c>
      <c r="B10" s="395"/>
      <c r="C10" s="416" t="s">
        <v>960</v>
      </c>
      <c r="D10" s="989" t="s">
        <v>106</v>
      </c>
    </row>
    <row r="11" spans="1:4" ht="34.5" customHeight="1">
      <c r="A11" s="996"/>
      <c r="B11" s="391" t="s">
        <v>84</v>
      </c>
      <c r="C11" s="393" t="s">
        <v>326</v>
      </c>
      <c r="D11" s="990"/>
    </row>
    <row r="12" spans="1:4" ht="34.5" customHeight="1">
      <c r="A12" s="996"/>
      <c r="B12" s="397"/>
      <c r="C12" s="402" t="s">
        <v>667</v>
      </c>
      <c r="D12" s="990"/>
    </row>
    <row r="13" spans="1:4" ht="27" customHeight="1">
      <c r="A13" s="996"/>
      <c r="B13" s="391" t="s">
        <v>668</v>
      </c>
      <c r="C13" s="392" t="s">
        <v>674</v>
      </c>
      <c r="D13" s="991"/>
    </row>
    <row r="14" spans="1:4" ht="34.5" customHeight="1">
      <c r="A14" s="996"/>
      <c r="B14" s="391" t="s">
        <v>669</v>
      </c>
      <c r="C14" s="392" t="s">
        <v>675</v>
      </c>
      <c r="D14" s="991"/>
    </row>
    <row r="15" spans="1:4" ht="34.5" customHeight="1">
      <c r="A15" s="996"/>
      <c r="B15" s="391" t="s">
        <v>670</v>
      </c>
      <c r="C15" s="392" t="s">
        <v>676</v>
      </c>
      <c r="D15" s="992"/>
    </row>
    <row r="16" spans="1:4" ht="34.5" customHeight="1">
      <c r="A16" s="996"/>
      <c r="B16" s="391" t="s">
        <v>671</v>
      </c>
      <c r="C16" s="392" t="s">
        <v>677</v>
      </c>
      <c r="D16" s="992"/>
    </row>
    <row r="17" spans="1:4" ht="34.5" customHeight="1">
      <c r="A17" s="996"/>
      <c r="B17" s="391" t="s">
        <v>672</v>
      </c>
      <c r="C17" s="392" t="s">
        <v>678</v>
      </c>
      <c r="D17" s="992"/>
    </row>
    <row r="18" spans="1:4" ht="34.5" customHeight="1">
      <c r="A18" s="996"/>
      <c r="B18" s="391"/>
      <c r="C18" s="402" t="s">
        <v>673</v>
      </c>
      <c r="D18" s="992"/>
    </row>
    <row r="19" spans="1:4" ht="34.5" customHeight="1">
      <c r="A19" s="996"/>
      <c r="B19" s="391" t="s">
        <v>679</v>
      </c>
      <c r="C19" s="392" t="s">
        <v>686</v>
      </c>
      <c r="D19" s="992"/>
    </row>
    <row r="20" spans="1:4" ht="34.5" customHeight="1">
      <c r="A20" s="996"/>
      <c r="B20" s="391" t="s">
        <v>680</v>
      </c>
      <c r="C20" s="392" t="s">
        <v>687</v>
      </c>
      <c r="D20" s="992"/>
    </row>
    <row r="21" spans="1:4" ht="34.5" customHeight="1">
      <c r="A21" s="996"/>
      <c r="B21" s="391" t="s">
        <v>681</v>
      </c>
      <c r="C21" s="392" t="s">
        <v>688</v>
      </c>
      <c r="D21" s="992"/>
    </row>
    <row r="22" spans="1:4" ht="34.5" customHeight="1">
      <c r="A22" s="996"/>
      <c r="B22" s="391" t="s">
        <v>682</v>
      </c>
      <c r="C22" s="392" t="s">
        <v>689</v>
      </c>
      <c r="D22" s="992"/>
    </row>
    <row r="23" spans="1:4" ht="34.5" customHeight="1">
      <c r="A23" s="996"/>
      <c r="B23" s="391" t="s">
        <v>683</v>
      </c>
      <c r="C23" s="392" t="s">
        <v>690</v>
      </c>
      <c r="D23" s="992"/>
    </row>
    <row r="24" spans="1:4" ht="34.5" customHeight="1">
      <c r="A24" s="996"/>
      <c r="B24" s="391" t="s">
        <v>684</v>
      </c>
      <c r="C24" s="392" t="s">
        <v>691</v>
      </c>
      <c r="D24" s="992"/>
    </row>
    <row r="25" spans="1:4" ht="34.5" customHeight="1" thickBot="1">
      <c r="A25" s="997"/>
      <c r="B25" s="403" t="s">
        <v>685</v>
      </c>
      <c r="C25" s="404" t="s">
        <v>692</v>
      </c>
      <c r="D25" s="993"/>
    </row>
    <row r="26" spans="1:4" ht="15" customHeight="1">
      <c r="A26" s="405"/>
      <c r="B26" s="405"/>
      <c r="C26" s="406"/>
      <c r="D26" s="407"/>
    </row>
    <row r="27" spans="1:4" ht="15" customHeight="1">
      <c r="A27" s="405"/>
      <c r="B27" s="405"/>
      <c r="C27" s="406"/>
      <c r="D27" s="406"/>
    </row>
    <row r="28" spans="1:4" s="409" customFormat="1" ht="15" customHeight="1">
      <c r="A28" s="994"/>
      <c r="B28" s="994"/>
      <c r="C28" s="994"/>
      <c r="D28" s="408"/>
    </row>
    <row r="29" spans="1:4" ht="15" customHeight="1">
      <c r="A29" s="406"/>
      <c r="B29" s="406"/>
      <c r="C29" s="406"/>
      <c r="D29" s="406"/>
    </row>
    <row r="30" spans="1:4" ht="15" customHeight="1">
      <c r="A30" s="410"/>
      <c r="B30" s="986"/>
      <c r="C30" s="986"/>
      <c r="D30" s="406"/>
    </row>
    <row r="31" spans="1:4" ht="15" customHeight="1">
      <c r="A31" s="410"/>
      <c r="B31" s="411"/>
      <c r="C31" s="412"/>
      <c r="D31" s="406"/>
    </row>
    <row r="32" spans="1:4" ht="15" customHeight="1">
      <c r="A32" s="410"/>
      <c r="B32" s="986"/>
      <c r="C32" s="986"/>
      <c r="D32" s="406"/>
    </row>
    <row r="33" spans="1:4" ht="15" customHeight="1">
      <c r="A33" s="410"/>
      <c r="B33" s="411"/>
      <c r="C33" s="412"/>
      <c r="D33" s="406"/>
    </row>
    <row r="34" spans="1:4" ht="15" customHeight="1">
      <c r="A34" s="410"/>
      <c r="B34" s="986"/>
      <c r="C34" s="986"/>
      <c r="D34" s="406"/>
    </row>
    <row r="35" spans="1:4" ht="15" customHeight="1">
      <c r="A35" s="406"/>
      <c r="B35" s="406"/>
      <c r="C35" s="406"/>
      <c r="D35" s="406"/>
    </row>
    <row r="36" spans="1:4" ht="15" customHeight="1">
      <c r="A36" s="406"/>
      <c r="B36" s="406"/>
      <c r="C36" s="406"/>
      <c r="D36" s="406"/>
    </row>
    <row r="37" spans="1:4" ht="15" customHeight="1">
      <c r="A37" s="406"/>
      <c r="B37" s="406"/>
      <c r="C37" s="406"/>
      <c r="D37" s="406"/>
    </row>
    <row r="38" spans="1:4" ht="15" customHeight="1">
      <c r="A38" s="406"/>
      <c r="B38" s="406"/>
      <c r="C38" s="406"/>
      <c r="D38" s="406"/>
    </row>
    <row r="39" spans="1:4" ht="15" customHeight="1">
      <c r="A39" s="406"/>
      <c r="B39" s="406"/>
      <c r="C39" s="406"/>
      <c r="D39" s="406"/>
    </row>
    <row r="40" spans="1:4" ht="15" customHeight="1">
      <c r="A40" s="406"/>
      <c r="B40" s="406"/>
      <c r="C40" s="406"/>
      <c r="D40" s="406"/>
    </row>
    <row r="41" spans="1:4" ht="15" customHeight="1">
      <c r="A41" s="406"/>
      <c r="B41" s="406"/>
      <c r="C41" s="406"/>
      <c r="D41" s="406"/>
    </row>
    <row r="42" spans="1:4" ht="15" customHeight="1">
      <c r="A42" s="406"/>
      <c r="B42" s="406"/>
      <c r="C42" s="406"/>
      <c r="D42" s="406"/>
    </row>
    <row r="43" spans="1:4" ht="15" customHeight="1">
      <c r="A43" s="406"/>
      <c r="B43" s="406"/>
      <c r="C43" s="406"/>
      <c r="D43" s="406"/>
    </row>
    <row r="44" spans="1:4" ht="15" customHeight="1">
      <c r="A44" s="406"/>
      <c r="B44" s="406"/>
      <c r="C44" s="406"/>
      <c r="D44" s="406"/>
    </row>
    <row r="45" spans="1:4" ht="15" customHeight="1">
      <c r="A45" s="406"/>
      <c r="B45" s="406"/>
      <c r="C45" s="406"/>
      <c r="D45" s="406"/>
    </row>
    <row r="46" spans="1:4" ht="15" customHeight="1">
      <c r="A46" s="406"/>
      <c r="B46" s="406"/>
      <c r="C46" s="406"/>
      <c r="D46" s="406"/>
    </row>
    <row r="47" spans="1:4" ht="15" customHeight="1">
      <c r="A47" s="406"/>
      <c r="B47" s="406"/>
      <c r="C47" s="406"/>
      <c r="D47" s="406"/>
    </row>
    <row r="48" spans="1:4" ht="15" customHeight="1">
      <c r="A48" s="406"/>
      <c r="B48" s="406"/>
      <c r="C48" s="406"/>
      <c r="D48" s="406"/>
    </row>
    <row r="49" spans="1:4" ht="15" customHeight="1">
      <c r="A49" s="406"/>
      <c r="B49" s="406"/>
      <c r="C49" s="406"/>
      <c r="D49" s="406"/>
    </row>
    <row r="50" spans="1:4" ht="15" customHeight="1">
      <c r="A50" s="406"/>
      <c r="B50" s="406"/>
      <c r="C50" s="406"/>
      <c r="D50" s="406"/>
    </row>
    <row r="51" spans="1:4" ht="15" customHeight="1">
      <c r="A51" s="406"/>
      <c r="B51" s="406"/>
      <c r="C51" s="406"/>
      <c r="D51" s="406"/>
    </row>
    <row r="52" spans="1:4" ht="15" customHeight="1"/>
    <row r="53" spans="1:4" ht="15" customHeight="1"/>
    <row r="54" spans="1:4" ht="15" customHeight="1"/>
    <row r="55" spans="1:4" ht="15" customHeight="1"/>
  </sheetData>
  <mergeCells count="12">
    <mergeCell ref="B34:C34"/>
    <mergeCell ref="A1:D1"/>
    <mergeCell ref="A2:D2"/>
    <mergeCell ref="A3:D3"/>
    <mergeCell ref="D10:D25"/>
    <mergeCell ref="A28:C28"/>
    <mergeCell ref="A5:A7"/>
    <mergeCell ref="A10:A25"/>
    <mergeCell ref="A8:A9"/>
    <mergeCell ref="D5:D9"/>
    <mergeCell ref="B30:C30"/>
    <mergeCell ref="B32:C32"/>
  </mergeCells>
  <phoneticPr fontId="48" type="noConversion"/>
  <printOptions horizontalCentered="1"/>
  <pageMargins left="0.31496062992125984" right="0.31496062992125984" top="1.3385826771653544" bottom="0.74803149606299213" header="0.31496062992125984" footer="0.31496062992125984"/>
  <pageSetup paperSize="5" scale="5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/>
  </sheetPr>
  <dimension ref="A2:P68"/>
  <sheetViews>
    <sheetView view="pageBreakPreview" zoomScaleNormal="100" zoomScaleSheetLayoutView="100" workbookViewId="0">
      <selection activeCell="J13" sqref="J13"/>
    </sheetView>
  </sheetViews>
  <sheetFormatPr baseColWidth="10" defaultColWidth="11.42578125" defaultRowHeight="16.5"/>
  <cols>
    <col min="1" max="1" width="23.7109375" style="630" customWidth="1"/>
    <col min="2" max="2" width="36.140625" style="630" customWidth="1"/>
    <col min="3" max="3" width="1.7109375" style="630" customWidth="1"/>
    <col min="4" max="4" width="11.5703125" style="630" customWidth="1"/>
    <col min="5" max="5" width="10.42578125" style="630" customWidth="1"/>
    <col min="6" max="6" width="11.140625" style="630" customWidth="1"/>
    <col min="7" max="7" width="1.5703125" style="630" customWidth="1"/>
    <col min="8" max="8" width="13.42578125" style="630" hidden="1" customWidth="1"/>
    <col min="9" max="9" width="3.5703125" style="630" customWidth="1"/>
    <col min="10" max="10" width="17.7109375" style="630" customWidth="1"/>
    <col min="11" max="11" width="5" style="630" customWidth="1"/>
    <col min="12" max="12" width="17" style="630" customWidth="1"/>
    <col min="13" max="13" width="4.5703125" style="630" customWidth="1"/>
    <col min="14" max="14" width="18.42578125" style="630" customWidth="1"/>
    <col min="15" max="15" width="5.42578125" style="630" customWidth="1"/>
    <col min="16" max="16" width="15.85546875" style="630" customWidth="1"/>
    <col min="17" max="16384" width="11.42578125" style="630"/>
  </cols>
  <sheetData>
    <row r="2" spans="1:16">
      <c r="B2" s="1166" t="s">
        <v>1188</v>
      </c>
      <c r="C2" s="1166"/>
      <c r="D2" s="1166"/>
      <c r="E2" s="1166"/>
      <c r="F2" s="1166"/>
      <c r="G2" s="1166"/>
      <c r="H2" s="1166"/>
      <c r="I2" s="1166"/>
      <c r="J2" s="1166"/>
      <c r="K2" s="1166"/>
      <c r="L2" s="1166"/>
      <c r="M2" s="1166"/>
    </row>
    <row r="3" spans="1:16">
      <c r="A3" s="1167"/>
      <c r="B3" s="1167"/>
      <c r="C3" s="1167"/>
      <c r="D3" s="1167"/>
      <c r="E3" s="1167"/>
      <c r="F3" s="1167"/>
      <c r="G3" s="1167"/>
      <c r="H3" s="1167"/>
    </row>
    <row r="4" spans="1:16" ht="75" customHeight="1" thickBot="1">
      <c r="A4" s="631" t="s">
        <v>845</v>
      </c>
      <c r="B4" s="631" t="s">
        <v>846</v>
      </c>
      <c r="C4" s="631"/>
      <c r="D4" s="653" t="s">
        <v>562</v>
      </c>
      <c r="E4" s="649" t="s">
        <v>861</v>
      </c>
      <c r="F4" s="649"/>
      <c r="G4" s="631"/>
      <c r="H4" s="632" t="s">
        <v>847</v>
      </c>
      <c r="I4" s="633"/>
      <c r="J4" s="632" t="s">
        <v>1012</v>
      </c>
      <c r="K4" s="763"/>
      <c r="L4" s="632" t="s">
        <v>958</v>
      </c>
      <c r="M4" s="763"/>
      <c r="N4" s="632" t="s">
        <v>1013</v>
      </c>
      <c r="P4" s="632" t="s">
        <v>1014</v>
      </c>
    </row>
    <row r="5" spans="1:16" ht="17.25" thickTop="1">
      <c r="A5" s="1168" t="s">
        <v>848</v>
      </c>
      <c r="B5" s="1168"/>
      <c r="C5" s="630" t="s">
        <v>849</v>
      </c>
      <c r="D5" s="630" t="s">
        <v>562</v>
      </c>
      <c r="E5" s="630" t="s">
        <v>224</v>
      </c>
      <c r="F5" s="629" t="s">
        <v>225</v>
      </c>
      <c r="H5" s="634">
        <v>40000</v>
      </c>
      <c r="I5" s="629" t="s">
        <v>849</v>
      </c>
      <c r="J5" s="634">
        <v>480000.03</v>
      </c>
      <c r="K5" s="634"/>
      <c r="L5" s="666"/>
      <c r="M5" s="666"/>
      <c r="N5" s="634">
        <v>221070.76</v>
      </c>
      <c r="O5" s="661"/>
      <c r="P5" s="634"/>
    </row>
    <row r="6" spans="1:16">
      <c r="A6" s="759"/>
      <c r="B6" s="831" t="s">
        <v>1026</v>
      </c>
      <c r="F6" s="629"/>
      <c r="H6" s="634"/>
      <c r="I6" s="629"/>
      <c r="J6" s="634"/>
      <c r="K6" s="634"/>
      <c r="L6" s="666"/>
      <c r="M6" s="666"/>
      <c r="N6" s="634"/>
      <c r="O6" s="661"/>
      <c r="P6" s="634"/>
    </row>
    <row r="7" spans="1:16" ht="17.25" thickBot="1">
      <c r="A7" s="656"/>
      <c r="B7" s="841" t="s">
        <v>1027</v>
      </c>
      <c r="C7" s="842"/>
      <c r="D7" s="842">
        <v>54399</v>
      </c>
      <c r="E7" s="842"/>
      <c r="F7" s="842"/>
      <c r="G7" s="842"/>
      <c r="H7" s="843">
        <f>9000+17000</f>
        <v>26000</v>
      </c>
      <c r="I7" s="844"/>
      <c r="J7" s="845">
        <v>79893.600000000006</v>
      </c>
      <c r="K7" s="647"/>
      <c r="L7" s="839">
        <f>J7/12</f>
        <v>6657.8</v>
      </c>
      <c r="M7" s="766"/>
      <c r="N7" s="767">
        <v>0</v>
      </c>
      <c r="O7" s="767"/>
      <c r="P7" s="836">
        <f>+J7+J8+J9+J10+J11+J12+J13</f>
        <v>156000</v>
      </c>
    </row>
    <row r="8" spans="1:16" ht="17.25" thickTop="1">
      <c r="A8" s="639"/>
      <c r="B8" s="640" t="s">
        <v>1028</v>
      </c>
      <c r="C8" s="629"/>
      <c r="D8" s="629">
        <v>54106</v>
      </c>
      <c r="E8" s="629"/>
      <c r="F8" s="629"/>
      <c r="G8" s="629"/>
      <c r="H8" s="637"/>
      <c r="J8" s="834">
        <v>2645</v>
      </c>
      <c r="K8" s="647"/>
      <c r="L8" s="840">
        <f>J8/12</f>
        <v>220.41666666666666</v>
      </c>
      <c r="M8" s="666"/>
      <c r="N8" s="765"/>
      <c r="O8" s="765"/>
      <c r="P8" s="765"/>
    </row>
    <row r="9" spans="1:16">
      <c r="A9" s="639"/>
      <c r="B9" s="640" t="s">
        <v>1029</v>
      </c>
      <c r="C9" s="629"/>
      <c r="D9" s="629">
        <v>54107</v>
      </c>
      <c r="E9" s="629"/>
      <c r="F9" s="629"/>
      <c r="G9" s="629"/>
      <c r="H9" s="637"/>
      <c r="J9" s="834">
        <v>180</v>
      </c>
      <c r="K9" s="647"/>
      <c r="L9" s="666">
        <f t="shared" ref="L9:L12" si="0">J9/12</f>
        <v>15</v>
      </c>
      <c r="M9" s="666"/>
      <c r="N9" s="765"/>
      <c r="O9" s="765"/>
      <c r="P9" s="765"/>
    </row>
    <row r="10" spans="1:16">
      <c r="A10" s="639"/>
      <c r="B10" s="640" t="s">
        <v>1030</v>
      </c>
      <c r="C10" s="629"/>
      <c r="D10" s="629">
        <v>54109</v>
      </c>
      <c r="E10" s="629"/>
      <c r="F10" s="629"/>
      <c r="G10" s="629"/>
      <c r="H10" s="637"/>
      <c r="J10" s="834">
        <v>3600</v>
      </c>
      <c r="K10" s="647"/>
      <c r="L10" s="666">
        <f t="shared" si="0"/>
        <v>300</v>
      </c>
      <c r="M10" s="666"/>
      <c r="N10" s="765"/>
      <c r="O10" s="765"/>
      <c r="P10" s="765"/>
    </row>
    <row r="11" spans="1:16">
      <c r="A11" s="639"/>
      <c r="B11" s="640" t="s">
        <v>1032</v>
      </c>
      <c r="C11" s="629"/>
      <c r="D11" s="629">
        <v>54110</v>
      </c>
      <c r="E11" s="629"/>
      <c r="F11" s="629"/>
      <c r="G11" s="629"/>
      <c r="H11" s="637"/>
      <c r="J11" s="834">
        <v>24022.44</v>
      </c>
      <c r="K11" s="647"/>
      <c r="L11" s="666">
        <f t="shared" si="0"/>
        <v>2001.87</v>
      </c>
      <c r="M11" s="666"/>
      <c r="N11" s="765"/>
      <c r="O11" s="765"/>
      <c r="P11" s="765"/>
    </row>
    <row r="12" spans="1:16">
      <c r="A12" s="639"/>
      <c r="B12" s="640" t="s">
        <v>1031</v>
      </c>
      <c r="C12" s="629"/>
      <c r="D12" s="629">
        <v>54199</v>
      </c>
      <c r="E12" s="629"/>
      <c r="F12" s="629"/>
      <c r="G12" s="629"/>
      <c r="H12" s="637"/>
      <c r="J12" s="834">
        <v>1800</v>
      </c>
      <c r="K12" s="647"/>
      <c r="L12" s="666">
        <f t="shared" si="0"/>
        <v>150</v>
      </c>
      <c r="M12" s="666"/>
      <c r="N12" s="765"/>
      <c r="O12" s="765"/>
      <c r="P12" s="765"/>
    </row>
    <row r="13" spans="1:16" s="832" customFormat="1" ht="16.5" customHeight="1">
      <c r="B13" s="640" t="s">
        <v>1033</v>
      </c>
      <c r="D13" s="833">
        <v>54302</v>
      </c>
      <c r="J13" s="835">
        <f>12858.96+31000</f>
        <v>43858.96</v>
      </c>
      <c r="L13" s="666">
        <f>J13/12</f>
        <v>3654.9133333333334</v>
      </c>
    </row>
    <row r="14" spans="1:16">
      <c r="A14" s="639"/>
      <c r="B14" s="640"/>
      <c r="C14" s="629"/>
      <c r="D14" s="629"/>
      <c r="E14" s="629"/>
      <c r="F14" s="629"/>
      <c r="G14" s="629"/>
      <c r="H14" s="1170">
        <v>8000</v>
      </c>
      <c r="J14" s="663"/>
      <c r="K14" s="663"/>
      <c r="L14" s="666">
        <f t="shared" ref="L14:L65" si="1">J14/12</f>
        <v>0</v>
      </c>
      <c r="M14" s="666"/>
      <c r="N14" s="661"/>
      <c r="O14" s="661"/>
      <c r="P14" s="661"/>
    </row>
    <row r="15" spans="1:16">
      <c r="A15" s="639"/>
      <c r="B15" s="629" t="s">
        <v>860</v>
      </c>
      <c r="C15" s="629"/>
      <c r="D15" s="629">
        <v>54201</v>
      </c>
      <c r="E15" s="637">
        <v>900</v>
      </c>
      <c r="F15" s="652">
        <f>E15*12</f>
        <v>10800</v>
      </c>
      <c r="G15" s="629"/>
      <c r="H15" s="1170"/>
      <c r="J15" s="663"/>
      <c r="K15" s="663"/>
      <c r="L15" s="666">
        <f t="shared" si="1"/>
        <v>0</v>
      </c>
      <c r="M15" s="666"/>
      <c r="N15" s="661"/>
      <c r="O15" s="661"/>
      <c r="P15" s="661"/>
    </row>
    <row r="16" spans="1:16" ht="17.25" thickBot="1">
      <c r="A16" s="639"/>
      <c r="B16" s="629" t="s">
        <v>862</v>
      </c>
      <c r="C16" s="629"/>
      <c r="D16" s="629">
        <v>54202</v>
      </c>
      <c r="E16" s="637">
        <v>300</v>
      </c>
      <c r="F16" s="652">
        <f>E16*12</f>
        <v>3600</v>
      </c>
      <c r="G16" s="629"/>
      <c r="H16" s="1170"/>
      <c r="J16" s="663">
        <f>SUM(F15:F18)</f>
        <v>109200</v>
      </c>
      <c r="K16" s="663"/>
      <c r="L16" s="766">
        <f>J16/12</f>
        <v>9100</v>
      </c>
      <c r="M16" s="766"/>
      <c r="N16" s="767"/>
      <c r="O16" s="767"/>
      <c r="P16" s="836">
        <f>J16+N16</f>
        <v>109200</v>
      </c>
    </row>
    <row r="17" spans="1:16" ht="17.25" thickTop="1">
      <c r="A17" s="639"/>
      <c r="B17" s="660" t="s">
        <v>863</v>
      </c>
      <c r="C17" s="629"/>
      <c r="D17" s="629">
        <v>54203</v>
      </c>
      <c r="E17" s="637">
        <v>400</v>
      </c>
      <c r="F17" s="652">
        <f>E17*12</f>
        <v>4800</v>
      </c>
      <c r="G17" s="629"/>
      <c r="H17" s="1170"/>
      <c r="J17" s="663"/>
      <c r="K17" s="663"/>
      <c r="L17" s="666">
        <f t="shared" si="1"/>
        <v>0</v>
      </c>
      <c r="M17" s="666"/>
      <c r="N17" s="661"/>
      <c r="O17" s="661"/>
      <c r="P17" s="661"/>
    </row>
    <row r="18" spans="1:16" ht="17.25" thickBot="1">
      <c r="A18" s="642" t="s">
        <v>261</v>
      </c>
      <c r="B18" s="636" t="s">
        <v>864</v>
      </c>
      <c r="C18" s="636"/>
      <c r="D18" s="636">
        <v>54205</v>
      </c>
      <c r="E18" s="657">
        <v>7500</v>
      </c>
      <c r="F18" s="658">
        <f>E18*12</f>
        <v>90000</v>
      </c>
      <c r="G18" s="636"/>
      <c r="H18" s="1171"/>
      <c r="I18" s="650"/>
      <c r="J18" s="664"/>
      <c r="K18" s="663"/>
      <c r="L18" s="666">
        <f t="shared" si="1"/>
        <v>0</v>
      </c>
      <c r="M18" s="666"/>
      <c r="N18" s="661"/>
      <c r="O18" s="637"/>
      <c r="P18" s="661"/>
    </row>
    <row r="19" spans="1:16" ht="17.25" thickTop="1">
      <c r="A19" s="643"/>
      <c r="C19" s="629"/>
      <c r="D19" s="629"/>
      <c r="E19" s="637"/>
      <c r="F19" s="652"/>
      <c r="G19" s="629"/>
      <c r="H19" s="651"/>
      <c r="J19" s="651"/>
      <c r="K19" s="651"/>
      <c r="L19" s="666">
        <f t="shared" si="1"/>
        <v>0</v>
      </c>
      <c r="M19" s="666"/>
      <c r="N19" s="661"/>
      <c r="O19" s="765"/>
      <c r="P19" s="661"/>
    </row>
    <row r="20" spans="1:16">
      <c r="A20" s="643"/>
      <c r="B20" s="640"/>
      <c r="C20" s="629"/>
      <c r="D20" s="629">
        <v>54399</v>
      </c>
      <c r="E20" s="830">
        <v>41.6666666666667</v>
      </c>
      <c r="F20" s="641">
        <f>(E20*12)+N21+0.03</f>
        <v>500.03000000000037</v>
      </c>
      <c r="G20" s="641"/>
      <c r="H20" s="637"/>
      <c r="I20" s="661"/>
      <c r="J20" s="641">
        <f>+F20</f>
        <v>500.03000000000037</v>
      </c>
      <c r="K20" s="641"/>
      <c r="L20" s="666">
        <f t="shared" si="1"/>
        <v>41.669166666666698</v>
      </c>
      <c r="M20" s="666"/>
      <c r="N20" s="661"/>
      <c r="O20" s="661"/>
      <c r="P20" s="661"/>
    </row>
    <row r="21" spans="1:16" ht="17.25" thickBot="1">
      <c r="A21" s="643" t="s">
        <v>850</v>
      </c>
      <c r="B21" s="640" t="s">
        <v>851</v>
      </c>
      <c r="C21" s="629"/>
      <c r="D21" s="629"/>
      <c r="E21" s="641"/>
      <c r="F21" s="641"/>
      <c r="G21" s="641"/>
      <c r="H21" s="637">
        <v>500</v>
      </c>
      <c r="I21" s="661"/>
      <c r="J21" s="638"/>
      <c r="K21" s="638"/>
      <c r="L21" s="766">
        <f>J21/12</f>
        <v>0</v>
      </c>
      <c r="M21" s="766"/>
      <c r="N21" s="767"/>
      <c r="O21" s="767"/>
      <c r="P21" s="836">
        <f>J20+N21</f>
        <v>500.03000000000037</v>
      </c>
    </row>
    <row r="22" spans="1:16" ht="18" thickTop="1" thickBot="1">
      <c r="A22" s="642"/>
      <c r="B22" s="635"/>
      <c r="C22" s="636"/>
      <c r="D22" s="636"/>
      <c r="E22" s="657"/>
      <c r="F22" s="657"/>
      <c r="G22" s="657"/>
      <c r="H22" s="657"/>
      <c r="I22" s="662"/>
      <c r="J22" s="659"/>
      <c r="K22" s="647"/>
      <c r="L22" s="666">
        <f t="shared" si="1"/>
        <v>0</v>
      </c>
      <c r="M22" s="666"/>
      <c r="N22" s="661"/>
      <c r="O22" s="661"/>
      <c r="P22" s="661"/>
    </row>
    <row r="23" spans="1:16" ht="17.25" thickTop="1">
      <c r="A23" s="643"/>
      <c r="B23" s="640"/>
      <c r="C23" s="629"/>
      <c r="D23" s="629"/>
      <c r="E23" s="641"/>
      <c r="F23" s="641"/>
      <c r="G23" s="641">
        <v>0</v>
      </c>
      <c r="H23" s="637"/>
      <c r="I23" s="661"/>
      <c r="J23" s="641"/>
      <c r="K23" s="641"/>
      <c r="L23" s="666">
        <f t="shared" si="1"/>
        <v>0</v>
      </c>
      <c r="M23" s="666"/>
      <c r="N23" s="661"/>
      <c r="O23" s="661"/>
      <c r="P23" s="661"/>
    </row>
    <row r="24" spans="1:16">
      <c r="A24" s="1169" t="s">
        <v>852</v>
      </c>
      <c r="B24" s="629" t="s">
        <v>853</v>
      </c>
      <c r="C24" s="629"/>
      <c r="D24" s="629">
        <v>54106</v>
      </c>
      <c r="E24" s="641"/>
      <c r="F24" s="641"/>
      <c r="G24" s="641"/>
      <c r="H24" s="637" t="s">
        <v>872</v>
      </c>
      <c r="I24" s="661"/>
      <c r="J24" s="638"/>
      <c r="K24" s="638"/>
      <c r="L24" s="666">
        <f t="shared" si="1"/>
        <v>0</v>
      </c>
      <c r="M24" s="666"/>
      <c r="N24" s="661"/>
      <c r="O24" s="661"/>
      <c r="P24" s="661"/>
    </row>
    <row r="25" spans="1:16" ht="17.25" thickBot="1">
      <c r="A25" s="1169"/>
      <c r="C25" s="629"/>
      <c r="D25" s="629">
        <v>54104</v>
      </c>
      <c r="E25" s="641"/>
      <c r="F25" s="641">
        <v>500</v>
      </c>
      <c r="G25" s="641"/>
      <c r="H25" s="637"/>
      <c r="I25" s="661"/>
      <c r="J25" s="638">
        <f>SUM(F24:F29)</f>
        <v>500</v>
      </c>
      <c r="K25" s="638"/>
      <c r="L25" s="766">
        <f>SUM(J25+N25)/12</f>
        <v>41.666666666666664</v>
      </c>
      <c r="M25" s="766"/>
      <c r="N25" s="767"/>
      <c r="O25" s="767"/>
      <c r="P25" s="836">
        <f>J25+N25-N25</f>
        <v>500</v>
      </c>
    </row>
    <row r="26" spans="1:16" ht="17.25" thickTop="1">
      <c r="A26" s="1169"/>
      <c r="B26" s="640"/>
      <c r="C26" s="629"/>
      <c r="D26" s="629">
        <v>54112</v>
      </c>
      <c r="E26" s="641"/>
      <c r="F26" s="641"/>
      <c r="G26" s="641"/>
      <c r="H26" s="637"/>
      <c r="I26" s="661"/>
      <c r="J26" s="638"/>
      <c r="K26" s="638"/>
      <c r="L26" s="666">
        <f t="shared" si="1"/>
        <v>0</v>
      </c>
      <c r="M26" s="666"/>
      <c r="N26" s="661"/>
      <c r="O26" s="661"/>
      <c r="P26" s="661"/>
    </row>
    <row r="27" spans="1:16">
      <c r="A27" s="1169"/>
      <c r="B27" s="640"/>
      <c r="C27" s="629"/>
      <c r="D27" s="629">
        <v>54399</v>
      </c>
      <c r="E27" s="641"/>
      <c r="F27" s="641"/>
      <c r="G27" s="641"/>
      <c r="H27" s="637"/>
      <c r="I27" s="661"/>
      <c r="J27" s="638"/>
      <c r="K27" s="638"/>
      <c r="L27" s="666">
        <f t="shared" si="1"/>
        <v>0</v>
      </c>
      <c r="M27" s="666"/>
      <c r="N27" s="661"/>
      <c r="O27" s="661"/>
      <c r="P27" s="661"/>
    </row>
    <row r="28" spans="1:16">
      <c r="A28" s="1169"/>
      <c r="B28" s="640"/>
      <c r="C28" s="629"/>
      <c r="D28" s="629">
        <v>51201</v>
      </c>
      <c r="E28" s="641"/>
      <c r="F28" s="641"/>
      <c r="G28" s="641"/>
      <c r="H28" s="637"/>
      <c r="I28" s="661"/>
      <c r="J28" s="638"/>
      <c r="K28" s="638"/>
      <c r="L28" s="666">
        <f t="shared" si="1"/>
        <v>0</v>
      </c>
      <c r="M28" s="666"/>
      <c r="N28" s="661"/>
      <c r="O28" s="661"/>
      <c r="P28" s="661"/>
    </row>
    <row r="29" spans="1:16" ht="17.25" thickBot="1">
      <c r="A29" s="1169"/>
      <c r="B29" s="635"/>
      <c r="C29" s="636"/>
      <c r="D29" s="636">
        <v>54199</v>
      </c>
      <c r="E29" s="657"/>
      <c r="F29" s="657"/>
      <c r="G29" s="657"/>
      <c r="H29" s="657"/>
      <c r="I29" s="662"/>
      <c r="J29" s="659"/>
      <c r="K29" s="647"/>
      <c r="L29" s="666">
        <f t="shared" si="1"/>
        <v>0</v>
      </c>
      <c r="M29" s="666"/>
      <c r="N29" s="661"/>
      <c r="O29" s="661"/>
      <c r="P29" s="661"/>
    </row>
    <row r="30" spans="1:16" ht="17.25" thickTop="1">
      <c r="A30" s="1169"/>
      <c r="C30" s="629"/>
      <c r="D30" s="654"/>
      <c r="E30" s="641"/>
      <c r="F30" s="641"/>
      <c r="G30" s="641"/>
      <c r="H30" s="637"/>
      <c r="I30" s="661"/>
      <c r="J30" s="638"/>
      <c r="K30" s="638"/>
      <c r="L30" s="666">
        <f t="shared" si="1"/>
        <v>0</v>
      </c>
      <c r="M30" s="666"/>
      <c r="N30" s="661"/>
      <c r="O30" s="661"/>
      <c r="P30" s="661"/>
    </row>
    <row r="31" spans="1:16">
      <c r="A31" s="1169"/>
      <c r="B31" s="629" t="s">
        <v>854</v>
      </c>
      <c r="C31" s="629"/>
      <c r="D31" s="629">
        <v>54106</v>
      </c>
      <c r="E31" s="641"/>
      <c r="F31" s="641">
        <v>2000</v>
      </c>
      <c r="G31" s="641"/>
      <c r="H31" s="637"/>
      <c r="I31" s="661"/>
      <c r="J31" s="638"/>
      <c r="K31" s="638"/>
      <c r="L31" s="666">
        <f t="shared" si="1"/>
        <v>0</v>
      </c>
      <c r="M31" s="666"/>
      <c r="N31" s="661"/>
      <c r="O31" s="661"/>
      <c r="P31" s="661"/>
    </row>
    <row r="32" spans="1:16">
      <c r="A32" s="1169"/>
      <c r="B32" s="640"/>
      <c r="C32" s="629"/>
      <c r="D32" s="629">
        <v>54104</v>
      </c>
      <c r="E32" s="641"/>
      <c r="F32" s="641">
        <v>15000</v>
      </c>
      <c r="G32" s="641"/>
      <c r="H32" s="637"/>
      <c r="I32" s="661"/>
      <c r="J32" s="638"/>
      <c r="K32" s="638"/>
      <c r="L32" s="666">
        <f t="shared" si="1"/>
        <v>0</v>
      </c>
      <c r="M32" s="666"/>
      <c r="N32" s="661"/>
      <c r="O32" s="661"/>
      <c r="P32" s="661"/>
    </row>
    <row r="33" spans="1:16">
      <c r="A33" s="1169"/>
      <c r="B33" s="640"/>
      <c r="C33" s="629"/>
      <c r="D33" s="629">
        <v>54111</v>
      </c>
      <c r="E33" s="641"/>
      <c r="F33" s="641">
        <v>15000</v>
      </c>
      <c r="G33" s="641"/>
      <c r="H33" s="637"/>
      <c r="I33" s="661"/>
      <c r="J33" s="638"/>
      <c r="K33" s="638"/>
      <c r="L33" s="666"/>
      <c r="M33" s="666"/>
      <c r="N33" s="661"/>
      <c r="O33" s="661"/>
      <c r="P33" s="661"/>
    </row>
    <row r="34" spans="1:16" ht="17.25" thickBot="1">
      <c r="A34" s="1169"/>
      <c r="B34" s="640"/>
      <c r="C34" s="629"/>
      <c r="D34" s="629">
        <v>54112</v>
      </c>
      <c r="E34" s="641"/>
      <c r="F34" s="641">
        <v>19000</v>
      </c>
      <c r="G34" s="641"/>
      <c r="H34" s="637"/>
      <c r="I34" s="661"/>
      <c r="J34" s="638">
        <f>SUM(F31:F37)</f>
        <v>63500</v>
      </c>
      <c r="K34" s="638"/>
      <c r="L34" s="766">
        <f>SUM(J34+N34)/12</f>
        <v>5291.666666666667</v>
      </c>
      <c r="M34" s="766"/>
      <c r="N34" s="767"/>
      <c r="O34" s="767"/>
      <c r="P34" s="836">
        <f>J34+N34-N34</f>
        <v>63500</v>
      </c>
    </row>
    <row r="35" spans="1:16" ht="17.25" thickTop="1">
      <c r="A35" s="1169"/>
      <c r="B35" s="640"/>
      <c r="C35" s="629"/>
      <c r="D35" s="629">
        <v>54399</v>
      </c>
      <c r="E35" s="641"/>
      <c r="F35" s="641">
        <v>9000</v>
      </c>
      <c r="G35" s="641"/>
      <c r="H35" s="637"/>
      <c r="I35" s="661"/>
      <c r="J35" s="638"/>
      <c r="K35" s="638"/>
      <c r="L35" s="666"/>
      <c r="M35" s="666"/>
      <c r="N35" s="661"/>
      <c r="O35" s="661"/>
      <c r="P35" s="661"/>
    </row>
    <row r="36" spans="1:16">
      <c r="A36" s="1169"/>
      <c r="B36" s="640"/>
      <c r="C36" s="629"/>
      <c r="D36" s="629">
        <v>51201</v>
      </c>
      <c r="E36" s="641"/>
      <c r="F36" s="641">
        <v>2000</v>
      </c>
      <c r="G36" s="641"/>
      <c r="H36" s="637"/>
      <c r="I36" s="661"/>
      <c r="J36" s="638"/>
      <c r="K36" s="638"/>
      <c r="L36" s="666">
        <f t="shared" si="1"/>
        <v>0</v>
      </c>
      <c r="M36" s="666"/>
      <c r="N36" s="661"/>
      <c r="O36" s="661"/>
      <c r="P36" s="661"/>
    </row>
    <row r="37" spans="1:16" ht="17.25" thickBot="1">
      <c r="A37" s="1169"/>
      <c r="B37" s="635"/>
      <c r="C37" s="636"/>
      <c r="D37" s="636">
        <v>54199</v>
      </c>
      <c r="E37" s="657"/>
      <c r="F37" s="657">
        <v>1500</v>
      </c>
      <c r="G37" s="657"/>
      <c r="H37" s="657"/>
      <c r="I37" s="662"/>
      <c r="J37" s="659"/>
      <c r="K37" s="647"/>
      <c r="L37" s="666">
        <f t="shared" si="1"/>
        <v>0</v>
      </c>
      <c r="M37" s="666"/>
      <c r="N37" s="661"/>
      <c r="O37" s="661"/>
      <c r="P37" s="661"/>
    </row>
    <row r="38" spans="1:16" ht="17.25" thickTop="1">
      <c r="A38" s="1169"/>
      <c r="B38" s="640"/>
      <c r="C38" s="629"/>
      <c r="D38" s="654"/>
      <c r="E38" s="641"/>
      <c r="F38" s="641"/>
      <c r="G38" s="641"/>
      <c r="H38" s="637"/>
      <c r="I38" s="661"/>
      <c r="J38" s="638"/>
      <c r="K38" s="638"/>
      <c r="L38" s="666">
        <f t="shared" si="1"/>
        <v>0</v>
      </c>
      <c r="M38" s="666"/>
      <c r="N38" s="661"/>
      <c r="O38" s="661"/>
      <c r="P38" s="661"/>
    </row>
    <row r="39" spans="1:16">
      <c r="A39" s="1169"/>
      <c r="B39" s="640"/>
      <c r="C39" s="629"/>
      <c r="D39" s="826">
        <v>51401</v>
      </c>
      <c r="E39" s="641"/>
      <c r="F39" s="641">
        <v>800</v>
      </c>
      <c r="G39" s="641"/>
      <c r="H39" s="637"/>
      <c r="I39" s="661"/>
      <c r="J39" s="638"/>
      <c r="K39" s="638"/>
      <c r="L39" s="666"/>
      <c r="M39" s="666"/>
      <c r="N39" s="661"/>
      <c r="O39" s="661"/>
      <c r="P39" s="661"/>
    </row>
    <row r="40" spans="1:16">
      <c r="A40" s="1169"/>
      <c r="B40" s="640"/>
      <c r="C40" s="629"/>
      <c r="D40" s="826">
        <v>51501</v>
      </c>
      <c r="E40" s="641"/>
      <c r="F40" s="641">
        <v>950</v>
      </c>
      <c r="G40" s="641"/>
      <c r="H40" s="637"/>
      <c r="I40" s="661"/>
      <c r="J40" s="638"/>
      <c r="K40" s="638"/>
      <c r="L40" s="666"/>
      <c r="M40" s="666"/>
      <c r="N40" s="661"/>
      <c r="O40" s="661"/>
      <c r="P40" s="661"/>
    </row>
    <row r="41" spans="1:16">
      <c r="A41" s="1169"/>
      <c r="B41" s="629" t="s">
        <v>906</v>
      </c>
      <c r="C41" s="629"/>
      <c r="D41" s="629">
        <v>54104</v>
      </c>
      <c r="E41" s="641"/>
      <c r="F41" s="641">
        <v>1050</v>
      </c>
      <c r="G41" s="641"/>
      <c r="H41" s="637"/>
      <c r="I41" s="661"/>
      <c r="J41" s="638"/>
      <c r="K41" s="638"/>
      <c r="L41" s="666">
        <f t="shared" si="1"/>
        <v>0</v>
      </c>
      <c r="M41" s="666"/>
      <c r="N41" s="661"/>
      <c r="O41" s="661"/>
      <c r="P41" s="661"/>
    </row>
    <row r="42" spans="1:16">
      <c r="A42" s="1169"/>
      <c r="B42" s="640"/>
      <c r="C42" s="629"/>
      <c r="D42" s="629">
        <v>54112</v>
      </c>
      <c r="E42" s="641"/>
      <c r="F42" s="641"/>
      <c r="G42" s="641"/>
      <c r="H42" s="637"/>
      <c r="I42" s="661"/>
      <c r="J42" s="638"/>
      <c r="K42" s="638"/>
      <c r="L42" s="666">
        <f t="shared" si="1"/>
        <v>0</v>
      </c>
      <c r="M42" s="666"/>
      <c r="N42" s="661"/>
      <c r="O42" s="661"/>
      <c r="P42" s="661"/>
    </row>
    <row r="43" spans="1:16" ht="17.25" thickBot="1">
      <c r="A43" s="1169"/>
      <c r="B43" s="640"/>
      <c r="C43" s="629"/>
      <c r="D43" s="629">
        <v>54399</v>
      </c>
      <c r="E43" s="641"/>
      <c r="F43" s="641">
        <v>2950</v>
      </c>
      <c r="G43" s="641"/>
      <c r="H43" s="637"/>
      <c r="I43" s="661"/>
      <c r="J43" s="638">
        <f>SUM(F39:F45)</f>
        <v>9750</v>
      </c>
      <c r="K43" s="638"/>
      <c r="L43" s="766">
        <f>J43/12</f>
        <v>812.5</v>
      </c>
      <c r="M43" s="766"/>
      <c r="N43" s="767">
        <v>0</v>
      </c>
      <c r="O43" s="767"/>
      <c r="P43" s="836">
        <f>J43+N43-N43</f>
        <v>9750</v>
      </c>
    </row>
    <row r="44" spans="1:16" ht="17.25" thickTop="1">
      <c r="A44" s="1169"/>
      <c r="B44" s="640"/>
      <c r="C44" s="629"/>
      <c r="D44" s="629">
        <v>51201</v>
      </c>
      <c r="E44" s="641"/>
      <c r="F44" s="641">
        <v>4000</v>
      </c>
      <c r="G44" s="641"/>
      <c r="H44" s="637"/>
      <c r="I44" s="661"/>
      <c r="J44" s="638"/>
      <c r="K44" s="638"/>
      <c r="L44" s="666">
        <f t="shared" si="1"/>
        <v>0</v>
      </c>
      <c r="M44" s="666"/>
      <c r="N44" s="661"/>
      <c r="O44" s="661"/>
      <c r="P44" s="661"/>
    </row>
    <row r="45" spans="1:16" ht="17.25" thickBot="1">
      <c r="A45" s="1169"/>
      <c r="B45" s="635"/>
      <c r="C45" s="636"/>
      <c r="D45" s="636">
        <v>54118</v>
      </c>
      <c r="E45" s="657"/>
      <c r="F45" s="657"/>
      <c r="G45" s="657"/>
      <c r="H45" s="657"/>
      <c r="I45" s="662"/>
      <c r="J45" s="659"/>
      <c r="K45" s="647"/>
      <c r="L45" s="666">
        <f t="shared" si="1"/>
        <v>0</v>
      </c>
      <c r="M45" s="666"/>
      <c r="N45" s="661"/>
      <c r="O45" s="661"/>
      <c r="P45" s="661"/>
    </row>
    <row r="46" spans="1:16" ht="17.25" thickTop="1">
      <c r="A46" s="1169"/>
      <c r="B46" s="640"/>
      <c r="C46" s="629"/>
      <c r="D46" s="654"/>
      <c r="E46" s="641"/>
      <c r="F46" s="641"/>
      <c r="G46" s="641"/>
      <c r="H46" s="637"/>
      <c r="I46" s="661"/>
      <c r="J46" s="638"/>
      <c r="K46" s="638"/>
      <c r="L46" s="666">
        <f t="shared" si="1"/>
        <v>0</v>
      </c>
      <c r="M46" s="666"/>
      <c r="N46" s="661"/>
      <c r="O46" s="661"/>
      <c r="P46" s="661"/>
    </row>
    <row r="47" spans="1:16" ht="17.25" thickBot="1">
      <c r="A47" s="643"/>
      <c r="B47" s="640"/>
      <c r="C47" s="629"/>
      <c r="D47" s="629">
        <v>54199</v>
      </c>
      <c r="E47" s="641"/>
      <c r="F47" s="641"/>
      <c r="G47" s="641"/>
      <c r="H47" s="637"/>
      <c r="I47" s="661"/>
      <c r="J47" s="641">
        <f>+SUM(F47:F49)</f>
        <v>500</v>
      </c>
      <c r="K47" s="641"/>
      <c r="L47" s="766">
        <f t="shared" si="1"/>
        <v>41.666666666666664</v>
      </c>
      <c r="M47" s="766"/>
      <c r="N47" s="767">
        <v>0</v>
      </c>
      <c r="O47" s="767"/>
      <c r="P47" s="836">
        <f>J47+N47</f>
        <v>500</v>
      </c>
    </row>
    <row r="48" spans="1:16" ht="17.25" thickTop="1">
      <c r="A48" s="643" t="s">
        <v>855</v>
      </c>
      <c r="B48" s="629" t="s">
        <v>856</v>
      </c>
      <c r="C48" s="629"/>
      <c r="D48" s="629">
        <v>54101</v>
      </c>
      <c r="E48" s="641"/>
      <c r="F48" s="641">
        <v>500</v>
      </c>
      <c r="G48" s="641"/>
      <c r="H48" s="637"/>
      <c r="I48" s="661"/>
      <c r="J48" s="647"/>
      <c r="K48" s="647"/>
      <c r="L48" s="666">
        <f t="shared" si="1"/>
        <v>0</v>
      </c>
      <c r="M48" s="666"/>
      <c r="N48" s="661"/>
      <c r="O48" s="661"/>
      <c r="P48" s="661"/>
    </row>
    <row r="49" spans="1:16" ht="17.25" thickBot="1">
      <c r="A49" s="643"/>
      <c r="B49" s="635"/>
      <c r="C49" s="636"/>
      <c r="D49" s="636">
        <v>54118</v>
      </c>
      <c r="E49" s="657"/>
      <c r="F49" s="657"/>
      <c r="G49" s="657"/>
      <c r="H49" s="657"/>
      <c r="I49" s="662"/>
      <c r="J49" s="659"/>
      <c r="K49" s="647"/>
      <c r="L49" s="666">
        <f t="shared" si="1"/>
        <v>0</v>
      </c>
      <c r="M49" s="666"/>
      <c r="N49" s="661"/>
      <c r="O49" s="661"/>
      <c r="P49" s="661"/>
    </row>
    <row r="50" spans="1:16" ht="17.25" thickTop="1">
      <c r="A50" s="643"/>
      <c r="B50" s="640"/>
      <c r="C50" s="629"/>
      <c r="D50" s="629">
        <v>54112</v>
      </c>
      <c r="E50" s="641"/>
      <c r="F50" s="641">
        <v>500</v>
      </c>
      <c r="G50" s="629"/>
      <c r="H50" s="637"/>
      <c r="J50" s="647"/>
      <c r="K50" s="647"/>
      <c r="L50" s="666">
        <f t="shared" si="1"/>
        <v>0</v>
      </c>
      <c r="M50" s="666"/>
      <c r="N50" s="661"/>
      <c r="O50" s="661"/>
      <c r="P50" s="661"/>
    </row>
    <row r="51" spans="1:16" ht="17.25" thickBot="1">
      <c r="A51" s="643" t="s">
        <v>857</v>
      </c>
      <c r="B51" s="640"/>
      <c r="C51" s="629"/>
      <c r="D51" s="629">
        <v>54111</v>
      </c>
      <c r="E51" s="629"/>
      <c r="F51" s="641"/>
      <c r="G51" s="629"/>
      <c r="H51" s="637"/>
      <c r="J51" s="647">
        <f>+F50+F51+F52</f>
        <v>500</v>
      </c>
      <c r="K51" s="647"/>
      <c r="L51" s="766">
        <f t="shared" si="1"/>
        <v>41.666666666666664</v>
      </c>
      <c r="M51" s="766"/>
      <c r="N51" s="767">
        <v>0</v>
      </c>
      <c r="O51" s="767"/>
      <c r="P51" s="836">
        <f>J51+N51</f>
        <v>500</v>
      </c>
    </row>
    <row r="52" spans="1:16" ht="18" thickTop="1" thickBot="1">
      <c r="A52" s="643"/>
      <c r="B52" s="635"/>
      <c r="C52" s="636"/>
      <c r="D52" s="636">
        <v>54399</v>
      </c>
      <c r="E52" s="636"/>
      <c r="F52" s="657"/>
      <c r="G52" s="636"/>
      <c r="H52" s="657"/>
      <c r="I52" s="650"/>
      <c r="J52" s="657"/>
      <c r="K52" s="637"/>
      <c r="L52" s="666">
        <f t="shared" si="1"/>
        <v>0</v>
      </c>
      <c r="M52" s="666"/>
      <c r="N52" s="661"/>
      <c r="O52" s="661"/>
      <c r="P52" s="661"/>
    </row>
    <row r="53" spans="1:16" ht="17.25" thickTop="1">
      <c r="B53" s="640"/>
      <c r="C53" s="629"/>
      <c r="D53" s="629"/>
      <c r="E53" s="629"/>
      <c r="F53" s="629"/>
      <c r="G53" s="629"/>
      <c r="H53" s="637"/>
      <c r="J53" s="638"/>
      <c r="K53" s="638"/>
      <c r="L53" s="666">
        <f t="shared" si="1"/>
        <v>0</v>
      </c>
      <c r="M53" s="666"/>
      <c r="N53" s="661"/>
      <c r="O53" s="661"/>
      <c r="P53" s="661"/>
    </row>
    <row r="54" spans="1:16">
      <c r="A54" s="643"/>
      <c r="B54" s="640"/>
      <c r="C54" s="629"/>
      <c r="D54" s="629">
        <v>54106</v>
      </c>
      <c r="E54" s="641"/>
      <c r="F54" s="641"/>
      <c r="G54" s="629"/>
      <c r="H54" s="637"/>
      <c r="J54" s="638"/>
      <c r="K54" s="638"/>
      <c r="L54" s="666">
        <f t="shared" si="1"/>
        <v>0</v>
      </c>
      <c r="M54" s="666"/>
      <c r="N54" s="661"/>
      <c r="O54" s="661"/>
      <c r="P54" s="661"/>
    </row>
    <row r="55" spans="1:16">
      <c r="A55" s="643" t="s">
        <v>858</v>
      </c>
      <c r="B55" s="640"/>
      <c r="C55" s="629"/>
      <c r="D55" s="629">
        <v>54104</v>
      </c>
      <c r="E55" s="641"/>
      <c r="F55" s="641"/>
      <c r="G55" s="629"/>
      <c r="H55" s="637"/>
      <c r="J55" s="638"/>
      <c r="K55" s="638"/>
      <c r="L55" s="666">
        <f t="shared" si="1"/>
        <v>0</v>
      </c>
      <c r="M55" s="666"/>
      <c r="N55" s="661"/>
      <c r="O55" s="661"/>
      <c r="P55" s="661"/>
    </row>
    <row r="56" spans="1:16" ht="17.25" thickBot="1">
      <c r="A56" s="643"/>
      <c r="B56" s="640"/>
      <c r="C56" s="629"/>
      <c r="D56" s="629">
        <v>54112</v>
      </c>
      <c r="E56" s="641"/>
      <c r="F56" s="641"/>
      <c r="G56" s="629"/>
      <c r="H56" s="637"/>
      <c r="J56" s="638">
        <f>+F54+F55+F56+F57+F58</f>
        <v>500</v>
      </c>
      <c r="K56" s="638"/>
      <c r="L56" s="766">
        <f t="shared" si="1"/>
        <v>41.666666666666664</v>
      </c>
      <c r="M56" s="766"/>
      <c r="N56" s="767"/>
      <c r="O56" s="767"/>
      <c r="P56" s="836">
        <f>J56+N56</f>
        <v>500</v>
      </c>
    </row>
    <row r="57" spans="1:16" ht="17.25" thickTop="1">
      <c r="A57" s="643"/>
      <c r="B57" s="640"/>
      <c r="C57" s="629"/>
      <c r="D57" s="629">
        <v>54399</v>
      </c>
      <c r="E57" s="637"/>
      <c r="F57" s="637">
        <v>500</v>
      </c>
      <c r="G57" s="629"/>
      <c r="H57" s="637"/>
      <c r="J57" s="647"/>
      <c r="K57" s="647"/>
      <c r="L57" s="666">
        <f t="shared" si="1"/>
        <v>0</v>
      </c>
      <c r="M57" s="666"/>
      <c r="N57" s="661"/>
      <c r="O57" s="661"/>
      <c r="P57" s="661"/>
    </row>
    <row r="58" spans="1:16">
      <c r="A58" s="643"/>
      <c r="B58" s="640"/>
      <c r="C58" s="629"/>
      <c r="D58" s="629">
        <v>51201</v>
      </c>
      <c r="E58" s="637"/>
      <c r="F58" s="637"/>
      <c r="G58" s="629"/>
      <c r="H58" s="637"/>
      <c r="J58" s="647"/>
      <c r="K58" s="647"/>
      <c r="L58" s="666">
        <f t="shared" si="1"/>
        <v>0</v>
      </c>
      <c r="M58" s="666"/>
      <c r="N58" s="661"/>
      <c r="O58" s="661"/>
      <c r="P58" s="661"/>
    </row>
    <row r="59" spans="1:16">
      <c r="A59" s="643"/>
      <c r="B59" s="640"/>
      <c r="C59" s="629"/>
      <c r="D59" s="629"/>
      <c r="E59" s="637"/>
      <c r="F59" s="637"/>
      <c r="G59" s="629"/>
      <c r="H59" s="637"/>
      <c r="J59" s="647"/>
      <c r="K59" s="647"/>
      <c r="L59" s="666"/>
      <c r="M59" s="666"/>
      <c r="N59" s="661"/>
      <c r="O59" s="661"/>
      <c r="P59" s="661"/>
    </row>
    <row r="60" spans="1:16">
      <c r="A60" s="643"/>
      <c r="B60" s="640"/>
      <c r="C60" s="629"/>
      <c r="D60" s="629"/>
      <c r="E60" s="637"/>
      <c r="F60" s="637"/>
      <c r="G60" s="629"/>
      <c r="H60" s="637"/>
      <c r="J60" s="647"/>
      <c r="K60" s="647"/>
      <c r="L60" s="666"/>
      <c r="M60" s="666"/>
      <c r="N60" s="661"/>
      <c r="O60" s="661"/>
      <c r="P60" s="661"/>
    </row>
    <row r="61" spans="1:16" s="761" customFormat="1" ht="17.25" thickBot="1">
      <c r="A61" s="757" t="s">
        <v>873</v>
      </c>
      <c r="B61" s="758"/>
      <c r="C61" s="759"/>
      <c r="D61" s="759">
        <v>54399</v>
      </c>
      <c r="E61" s="760"/>
      <c r="F61" s="760"/>
      <c r="G61" s="759"/>
      <c r="H61" s="760">
        <v>0</v>
      </c>
      <c r="J61" s="762">
        <v>0</v>
      </c>
      <c r="K61" s="762"/>
      <c r="L61" s="769"/>
      <c r="M61" s="769"/>
      <c r="N61" s="770">
        <f>F61</f>
        <v>0</v>
      </c>
      <c r="O61" s="770"/>
      <c r="P61" s="767">
        <f>J61+N61</f>
        <v>0</v>
      </c>
    </row>
    <row r="62" spans="1:16" ht="17.25" thickTop="1">
      <c r="A62" s="643" t="s">
        <v>1000</v>
      </c>
      <c r="B62" s="640"/>
      <c r="C62" s="629"/>
      <c r="D62" s="629"/>
      <c r="E62" s="637"/>
      <c r="F62" s="637">
        <f>30000+35000</f>
        <v>65000</v>
      </c>
      <c r="G62" s="629"/>
      <c r="H62" s="637"/>
      <c r="J62" s="647">
        <f>+F62</f>
        <v>65000</v>
      </c>
      <c r="K62" s="647"/>
      <c r="L62" s="666"/>
      <c r="M62" s="666"/>
      <c r="N62" s="661"/>
      <c r="O62" s="661"/>
      <c r="P62" s="837">
        <f>+J62</f>
        <v>65000</v>
      </c>
    </row>
    <row r="63" spans="1:16">
      <c r="A63" s="643"/>
      <c r="B63" s="640"/>
      <c r="C63" s="629"/>
      <c r="D63" s="629"/>
      <c r="E63" s="637"/>
      <c r="F63" s="637"/>
      <c r="G63" s="629"/>
      <c r="H63" s="637"/>
      <c r="J63" s="647"/>
      <c r="K63" s="647"/>
      <c r="L63" s="666"/>
      <c r="M63" s="666"/>
      <c r="N63" s="661"/>
      <c r="O63" s="661"/>
      <c r="P63" s="661"/>
    </row>
    <row r="64" spans="1:16">
      <c r="A64" s="643"/>
      <c r="B64" s="640"/>
      <c r="C64" s="629"/>
      <c r="D64" s="629"/>
      <c r="E64" s="637"/>
      <c r="F64" s="637"/>
      <c r="G64" s="629"/>
      <c r="H64" s="637"/>
      <c r="J64" s="647"/>
      <c r="K64" s="647"/>
      <c r="L64" s="666">
        <f t="shared" si="1"/>
        <v>0</v>
      </c>
      <c r="M64" s="666"/>
      <c r="N64" s="661"/>
      <c r="O64" s="661"/>
      <c r="P64" s="661"/>
    </row>
    <row r="65" spans="1:16" ht="17.25" thickBot="1">
      <c r="A65" s="643" t="s">
        <v>867</v>
      </c>
      <c r="B65" s="640"/>
      <c r="C65" s="629"/>
      <c r="D65" s="629">
        <v>56305</v>
      </c>
      <c r="E65" s="629"/>
      <c r="F65" s="641">
        <v>500</v>
      </c>
      <c r="G65" s="629"/>
      <c r="H65" s="637"/>
      <c r="J65" s="638">
        <f>+F65</f>
        <v>500</v>
      </c>
      <c r="K65" s="638"/>
      <c r="L65" s="766">
        <f t="shared" si="1"/>
        <v>41.666666666666664</v>
      </c>
      <c r="M65" s="766"/>
      <c r="N65" s="767">
        <v>0</v>
      </c>
      <c r="O65" s="767"/>
      <c r="P65" s="836">
        <f>J65+N65</f>
        <v>500</v>
      </c>
    </row>
    <row r="66" spans="1:16" ht="18" thickTop="1" thickBot="1">
      <c r="A66" s="643" t="s">
        <v>1023</v>
      </c>
      <c r="B66" s="640"/>
      <c r="C66" s="629"/>
      <c r="D66" s="629">
        <v>54399</v>
      </c>
      <c r="E66" s="629"/>
      <c r="F66" s="641"/>
      <c r="G66" s="629"/>
      <c r="H66" s="637"/>
      <c r="J66" s="638">
        <f>73550</f>
        <v>73550</v>
      </c>
      <c r="K66" s="638"/>
      <c r="L66" s="666"/>
      <c r="M66" s="666"/>
      <c r="N66" s="662"/>
      <c r="O66" s="765"/>
      <c r="P66" s="838">
        <f>+J66</f>
        <v>73550</v>
      </c>
    </row>
    <row r="67" spans="1:16" ht="18" thickTop="1" thickBot="1">
      <c r="A67" s="644"/>
      <c r="B67" s="645" t="s">
        <v>859</v>
      </c>
      <c r="C67" s="646" t="s">
        <v>849</v>
      </c>
      <c r="D67" s="646"/>
      <c r="E67" s="646"/>
      <c r="F67" s="646"/>
      <c r="G67" s="646"/>
      <c r="H67" s="648"/>
      <c r="I67" s="629" t="s">
        <v>849</v>
      </c>
      <c r="J67" s="665">
        <f>SUM(J7:J66)</f>
        <v>480000.03</v>
      </c>
      <c r="K67" s="764"/>
      <c r="N67" s="768">
        <f>N5-(SUM(N7:N65))</f>
        <v>221070.76</v>
      </c>
      <c r="O67" s="661"/>
      <c r="P67" s="768">
        <f>P5-(SUM(P7:P66))</f>
        <v>-480000.03</v>
      </c>
    </row>
    <row r="68" spans="1:16" ht="17.25" thickTop="1">
      <c r="A68" s="1166"/>
      <c r="B68" s="1166"/>
      <c r="F68" s="666"/>
      <c r="J68" s="666">
        <f>+J7+J8+J9+J10+J11+J12+J13+J16+J20+J25+J34+J43+J47+J51+J56+J62+J65+J66</f>
        <v>480000.03</v>
      </c>
      <c r="P68" s="666"/>
    </row>
  </sheetData>
  <mergeCells count="6">
    <mergeCell ref="B2:M2"/>
    <mergeCell ref="A3:H3"/>
    <mergeCell ref="A5:B5"/>
    <mergeCell ref="A24:A46"/>
    <mergeCell ref="A68:B68"/>
    <mergeCell ref="H14:H18"/>
  </mergeCells>
  <pageMargins left="0.70866141732283472" right="0.70866141732283472" top="0.74803149606299213" bottom="0.94488188976377963" header="0.31496062992125984" footer="0.51181102362204722"/>
  <pageSetup paperSize="5" scale="5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  <pageSetUpPr fitToPage="1"/>
  </sheetPr>
  <dimension ref="A1:K52"/>
  <sheetViews>
    <sheetView view="pageBreakPreview" zoomScale="86" zoomScaleNormal="100" zoomScaleSheetLayoutView="86" workbookViewId="0">
      <selection activeCell="G45" sqref="G45"/>
    </sheetView>
  </sheetViews>
  <sheetFormatPr baseColWidth="10" defaultColWidth="11.42578125" defaultRowHeight="12.75"/>
  <cols>
    <col min="1" max="1" width="4.5703125" style="23" customWidth="1"/>
    <col min="2" max="2" width="4.42578125" style="23" customWidth="1"/>
    <col min="3" max="4" width="4.5703125" style="23" customWidth="1"/>
    <col min="5" max="5" width="6.140625" style="23" customWidth="1"/>
    <col min="6" max="6" width="10.28515625" style="23" customWidth="1"/>
    <col min="7" max="7" width="49.28515625" style="19" customWidth="1"/>
    <col min="8" max="8" width="21.28515625" style="4" customWidth="1"/>
    <col min="9" max="9" width="11.42578125" style="56"/>
    <col min="10" max="10" width="14.7109375" style="142" bestFit="1" customWidth="1"/>
    <col min="11" max="11" width="13.7109375" style="21" bestFit="1" customWidth="1"/>
    <col min="12" max="16384" width="11.42578125" style="21"/>
  </cols>
  <sheetData>
    <row r="1" spans="1:11" ht="20.25">
      <c r="A1" s="1104"/>
      <c r="B1" s="1104"/>
      <c r="C1" s="1104"/>
      <c r="D1" s="1104"/>
      <c r="E1" s="1104"/>
      <c r="F1" s="1104"/>
      <c r="G1" s="1104"/>
      <c r="H1" s="1104"/>
      <c r="I1" s="151"/>
    </row>
    <row r="2" spans="1:11" ht="18">
      <c r="A2" s="1138" t="s">
        <v>327</v>
      </c>
      <c r="B2" s="1138"/>
      <c r="C2" s="1138"/>
      <c r="D2" s="1138"/>
      <c r="E2" s="1138"/>
      <c r="F2" s="1138"/>
      <c r="G2" s="1138"/>
      <c r="H2" s="1138"/>
      <c r="I2" s="1138"/>
    </row>
    <row r="3" spans="1:11" ht="15.75">
      <c r="A3" s="1136" t="s">
        <v>190</v>
      </c>
      <c r="B3" s="1137"/>
      <c r="C3" s="1137"/>
      <c r="D3" s="1137"/>
      <c r="E3" s="1137"/>
      <c r="F3" s="1137"/>
      <c r="G3" s="1137"/>
      <c r="H3" s="1137"/>
      <c r="K3" s="55"/>
    </row>
    <row r="4" spans="1:11" ht="15.75">
      <c r="A4" s="1136" t="s">
        <v>968</v>
      </c>
      <c r="B4" s="1137"/>
      <c r="C4" s="1137"/>
      <c r="D4" s="1137"/>
      <c r="E4" s="1137"/>
      <c r="F4" s="1137"/>
      <c r="G4" s="1137"/>
      <c r="H4" s="1137"/>
      <c r="K4" s="55"/>
    </row>
    <row r="5" spans="1:11" ht="15">
      <c r="A5" s="1134" t="s">
        <v>7</v>
      </c>
      <c r="B5" s="1135"/>
      <c r="C5" s="1135"/>
      <c r="D5" s="1135"/>
      <c r="E5" s="1135"/>
      <c r="F5" s="1135"/>
      <c r="G5" s="1135"/>
      <c r="H5" s="1135"/>
    </row>
    <row r="6" spans="1:11" ht="8.25" customHeight="1">
      <c r="A6" s="1130"/>
      <c r="B6" s="1131"/>
      <c r="C6" s="1131"/>
      <c r="D6" s="1131"/>
      <c r="E6" s="1131"/>
      <c r="F6" s="1131"/>
      <c r="G6" s="1131"/>
      <c r="H6" s="1131"/>
    </row>
    <row r="7" spans="1:11" ht="15.75">
      <c r="A7" s="1173" t="s">
        <v>153</v>
      </c>
      <c r="B7" s="1173"/>
      <c r="C7" s="1173"/>
      <c r="D7" s="1173"/>
      <c r="E7" s="1173"/>
      <c r="F7" s="1173"/>
      <c r="G7" s="1173"/>
      <c r="H7" s="1173"/>
      <c r="K7" s="55"/>
    </row>
    <row r="8" spans="1:11" ht="16.5" thickBot="1">
      <c r="A8" s="1174" t="s">
        <v>577</v>
      </c>
      <c r="B8" s="1174"/>
      <c r="C8" s="1174"/>
      <c r="D8" s="1174"/>
      <c r="E8" s="1174"/>
      <c r="F8" s="1174"/>
      <c r="G8" s="1174"/>
      <c r="H8" s="1174"/>
      <c r="K8" s="55"/>
    </row>
    <row r="9" spans="1:11" ht="15.75" thickBot="1">
      <c r="A9" s="1175" t="s">
        <v>0</v>
      </c>
      <c r="B9" s="1176"/>
      <c r="C9" s="1176"/>
      <c r="D9" s="1176"/>
      <c r="E9" s="1176"/>
      <c r="F9" s="1176"/>
      <c r="G9" s="1144" t="s">
        <v>128</v>
      </c>
      <c r="H9" s="1123" t="s">
        <v>129</v>
      </c>
      <c r="K9" s="55"/>
    </row>
    <row r="10" spans="1:11" ht="200.25" customHeight="1" thickBot="1">
      <c r="A10" s="223" t="s">
        <v>122</v>
      </c>
      <c r="B10" s="224" t="s">
        <v>123</v>
      </c>
      <c r="C10" s="224" t="s">
        <v>103</v>
      </c>
      <c r="D10" s="224" t="s">
        <v>124</v>
      </c>
      <c r="E10" s="225" t="s">
        <v>130</v>
      </c>
      <c r="F10" s="226" t="s">
        <v>88</v>
      </c>
      <c r="G10" s="1145"/>
      <c r="H10" s="1124"/>
      <c r="J10" s="147"/>
    </row>
    <row r="11" spans="1:11" s="56" customFormat="1" ht="15.75" customHeight="1">
      <c r="A11" s="8">
        <v>4</v>
      </c>
      <c r="B11" s="1" t="s">
        <v>346</v>
      </c>
      <c r="C11" s="10" t="s">
        <v>43</v>
      </c>
      <c r="D11" s="1" t="s">
        <v>45</v>
      </c>
      <c r="E11" s="10" t="s">
        <v>579</v>
      </c>
      <c r="F11" s="149">
        <v>54101</v>
      </c>
      <c r="G11" s="150" t="s">
        <v>33</v>
      </c>
      <c r="H11" s="176"/>
      <c r="J11" s="142"/>
      <c r="K11" s="21"/>
    </row>
    <row r="12" spans="1:11" s="56" customFormat="1" ht="15.75" customHeight="1">
      <c r="A12" s="8">
        <v>4</v>
      </c>
      <c r="B12" s="1" t="s">
        <v>346</v>
      </c>
      <c r="C12" s="10" t="s">
        <v>43</v>
      </c>
      <c r="D12" s="1" t="s">
        <v>45</v>
      </c>
      <c r="E12" s="10" t="s">
        <v>579</v>
      </c>
      <c r="F12" s="2">
        <v>54103</v>
      </c>
      <c r="G12" s="6" t="s">
        <v>154</v>
      </c>
      <c r="H12" s="176"/>
      <c r="J12" s="142"/>
      <c r="K12" s="21"/>
    </row>
    <row r="13" spans="1:11" s="56" customFormat="1" ht="15.75" customHeight="1">
      <c r="A13" s="8">
        <v>4</v>
      </c>
      <c r="B13" s="1" t="s">
        <v>346</v>
      </c>
      <c r="C13" s="10" t="s">
        <v>43</v>
      </c>
      <c r="D13" s="1" t="s">
        <v>45</v>
      </c>
      <c r="E13" s="10" t="s">
        <v>579</v>
      </c>
      <c r="F13" s="2">
        <v>54104</v>
      </c>
      <c r="G13" s="6" t="s">
        <v>133</v>
      </c>
      <c r="H13" s="176"/>
      <c r="J13" s="142"/>
      <c r="K13" s="21"/>
    </row>
    <row r="14" spans="1:11" s="56" customFormat="1" ht="15.75" customHeight="1">
      <c r="A14" s="8">
        <v>4</v>
      </c>
      <c r="B14" s="1" t="s">
        <v>346</v>
      </c>
      <c r="C14" s="10" t="s">
        <v>43</v>
      </c>
      <c r="D14" s="1" t="s">
        <v>45</v>
      </c>
      <c r="E14" s="10" t="s">
        <v>579</v>
      </c>
      <c r="F14" s="2">
        <v>54105</v>
      </c>
      <c r="G14" s="6" t="s">
        <v>490</v>
      </c>
      <c r="H14" s="176"/>
      <c r="J14" s="142"/>
      <c r="K14" s="21"/>
    </row>
    <row r="15" spans="1:11" s="56" customFormat="1" ht="15.75" customHeight="1">
      <c r="A15" s="8">
        <v>4</v>
      </c>
      <c r="B15" s="1" t="s">
        <v>346</v>
      </c>
      <c r="C15" s="10" t="s">
        <v>43</v>
      </c>
      <c r="D15" s="1" t="s">
        <v>45</v>
      </c>
      <c r="E15" s="10" t="s">
        <v>579</v>
      </c>
      <c r="F15" s="2">
        <v>54106</v>
      </c>
      <c r="G15" s="6" t="s">
        <v>155</v>
      </c>
      <c r="H15" s="176"/>
      <c r="J15" s="142"/>
      <c r="K15" s="21"/>
    </row>
    <row r="16" spans="1:11" s="56" customFormat="1" ht="15.75" customHeight="1">
      <c r="A16" s="8">
        <v>4</v>
      </c>
      <c r="B16" s="1" t="s">
        <v>346</v>
      </c>
      <c r="C16" s="10" t="s">
        <v>43</v>
      </c>
      <c r="D16" s="1" t="s">
        <v>45</v>
      </c>
      <c r="E16" s="10" t="s">
        <v>579</v>
      </c>
      <c r="F16" s="2">
        <v>54107</v>
      </c>
      <c r="G16" s="6" t="s">
        <v>135</v>
      </c>
      <c r="H16" s="176">
        <v>3309.82</v>
      </c>
      <c r="J16" s="142"/>
      <c r="K16" s="21"/>
    </row>
    <row r="17" spans="1:11" s="56" customFormat="1" ht="15.75" customHeight="1">
      <c r="A17" s="8">
        <v>4</v>
      </c>
      <c r="B17" s="1" t="s">
        <v>346</v>
      </c>
      <c r="C17" s="10" t="s">
        <v>43</v>
      </c>
      <c r="D17" s="1" t="s">
        <v>45</v>
      </c>
      <c r="E17" s="10" t="s">
        <v>579</v>
      </c>
      <c r="F17" s="2">
        <v>54109</v>
      </c>
      <c r="G17" s="6" t="s">
        <v>312</v>
      </c>
      <c r="H17" s="176"/>
      <c r="J17" s="142"/>
      <c r="K17" s="21"/>
    </row>
    <row r="18" spans="1:11" s="56" customFormat="1" ht="15.75" customHeight="1">
      <c r="A18" s="8">
        <v>4</v>
      </c>
      <c r="B18" s="1" t="s">
        <v>346</v>
      </c>
      <c r="C18" s="10" t="s">
        <v>43</v>
      </c>
      <c r="D18" s="1" t="s">
        <v>45</v>
      </c>
      <c r="E18" s="10" t="s">
        <v>579</v>
      </c>
      <c r="F18" s="2">
        <v>54110</v>
      </c>
      <c r="G18" s="6" t="s">
        <v>35</v>
      </c>
      <c r="H18" s="176"/>
      <c r="J18" s="142"/>
      <c r="K18" s="21"/>
    </row>
    <row r="19" spans="1:11" s="56" customFormat="1" ht="15.75" customHeight="1">
      <c r="A19" s="8">
        <v>4</v>
      </c>
      <c r="B19" s="1" t="s">
        <v>346</v>
      </c>
      <c r="C19" s="10" t="s">
        <v>43</v>
      </c>
      <c r="D19" s="1" t="s">
        <v>45</v>
      </c>
      <c r="E19" s="10" t="s">
        <v>579</v>
      </c>
      <c r="F19" s="2">
        <v>54111</v>
      </c>
      <c r="G19" s="6" t="s">
        <v>41</v>
      </c>
      <c r="H19" s="176">
        <v>10000</v>
      </c>
      <c r="J19" s="142"/>
      <c r="K19" s="21"/>
    </row>
    <row r="20" spans="1:11" s="56" customFormat="1" ht="15.75" customHeight="1">
      <c r="A20" s="8">
        <v>4</v>
      </c>
      <c r="B20" s="1" t="s">
        <v>346</v>
      </c>
      <c r="C20" s="10" t="s">
        <v>43</v>
      </c>
      <c r="D20" s="1" t="s">
        <v>45</v>
      </c>
      <c r="E20" s="10" t="s">
        <v>579</v>
      </c>
      <c r="F20" s="2">
        <v>54112</v>
      </c>
      <c r="G20" s="6" t="s">
        <v>40</v>
      </c>
      <c r="H20" s="176">
        <v>10000</v>
      </c>
      <c r="J20" s="142"/>
      <c r="K20" s="21"/>
    </row>
    <row r="21" spans="1:11" s="56" customFormat="1" ht="26.25" customHeight="1">
      <c r="A21" s="8">
        <v>4</v>
      </c>
      <c r="B21" s="1" t="s">
        <v>346</v>
      </c>
      <c r="C21" s="10" t="s">
        <v>43</v>
      </c>
      <c r="D21" s="1" t="s">
        <v>45</v>
      </c>
      <c r="E21" s="10" t="s">
        <v>579</v>
      </c>
      <c r="F21" s="2">
        <v>54113</v>
      </c>
      <c r="G21" s="267" t="s">
        <v>578</v>
      </c>
      <c r="H21" s="176"/>
      <c r="J21" s="142"/>
      <c r="K21" s="21"/>
    </row>
    <row r="22" spans="1:11" s="56" customFormat="1" ht="15.75" customHeight="1">
      <c r="A22" s="8">
        <v>4</v>
      </c>
      <c r="B22" s="1" t="s">
        <v>346</v>
      </c>
      <c r="C22" s="10" t="s">
        <v>43</v>
      </c>
      <c r="D22" s="1" t="s">
        <v>45</v>
      </c>
      <c r="E22" s="10" t="s">
        <v>579</v>
      </c>
      <c r="F22" s="2">
        <v>54115</v>
      </c>
      <c r="G22" s="6" t="s">
        <v>501</v>
      </c>
      <c r="H22" s="176"/>
      <c r="J22" s="142"/>
      <c r="K22" s="21"/>
    </row>
    <row r="23" spans="1:11" s="56" customFormat="1" ht="15.75" customHeight="1">
      <c r="A23" s="8">
        <v>4</v>
      </c>
      <c r="B23" s="1" t="s">
        <v>346</v>
      </c>
      <c r="C23" s="10" t="s">
        <v>43</v>
      </c>
      <c r="D23" s="1" t="s">
        <v>45</v>
      </c>
      <c r="E23" s="10" t="s">
        <v>579</v>
      </c>
      <c r="F23" s="2">
        <v>54118</v>
      </c>
      <c r="G23" s="6" t="s">
        <v>318</v>
      </c>
      <c r="H23" s="176"/>
      <c r="J23" s="142"/>
      <c r="K23" s="21"/>
    </row>
    <row r="24" spans="1:11" s="56" customFormat="1" ht="15.75" customHeight="1">
      <c r="A24" s="8"/>
      <c r="B24" s="1"/>
      <c r="C24" s="10"/>
      <c r="D24" s="1"/>
      <c r="E24" s="10" t="s">
        <v>579</v>
      </c>
      <c r="F24" s="2">
        <v>54119</v>
      </c>
      <c r="G24" s="6" t="s">
        <v>78</v>
      </c>
      <c r="H24" s="176"/>
      <c r="J24" s="142"/>
      <c r="K24" s="21"/>
    </row>
    <row r="25" spans="1:11" s="56" customFormat="1" ht="15.75" customHeight="1">
      <c r="A25" s="8"/>
      <c r="B25" s="1"/>
      <c r="C25" s="10"/>
      <c r="D25" s="1"/>
      <c r="E25" s="10" t="s">
        <v>579</v>
      </c>
      <c r="F25" s="2">
        <v>54199</v>
      </c>
      <c r="G25" s="6" t="s">
        <v>87</v>
      </c>
      <c r="H25" s="176"/>
      <c r="J25" s="142"/>
      <c r="K25" s="21"/>
    </row>
    <row r="26" spans="1:11" s="56" customFormat="1" ht="15.75" customHeight="1">
      <c r="A26" s="8"/>
      <c r="B26" s="1"/>
      <c r="C26" s="10"/>
      <c r="D26" s="1"/>
      <c r="E26" s="10" t="s">
        <v>579</v>
      </c>
      <c r="F26" s="2">
        <v>61105</v>
      </c>
      <c r="G26" s="6" t="s">
        <v>602</v>
      </c>
      <c r="H26" s="284"/>
      <c r="J26" s="142"/>
      <c r="K26" s="21"/>
    </row>
    <row r="27" spans="1:11" s="56" customFormat="1" ht="15.75" customHeight="1">
      <c r="A27" s="8"/>
      <c r="B27" s="1"/>
      <c r="C27" s="10"/>
      <c r="D27" s="1"/>
      <c r="E27" s="10" t="s">
        <v>579</v>
      </c>
      <c r="F27" s="2">
        <v>61108</v>
      </c>
      <c r="G27" s="6" t="s">
        <v>492</v>
      </c>
      <c r="H27" s="176"/>
      <c r="J27" s="142"/>
      <c r="K27" s="21"/>
    </row>
    <row r="28" spans="1:11" s="56" customFormat="1" ht="15.75" customHeight="1">
      <c r="A28" s="8"/>
      <c r="B28" s="1"/>
      <c r="C28" s="10"/>
      <c r="D28" s="1"/>
      <c r="E28" s="10" t="s">
        <v>579</v>
      </c>
      <c r="F28" s="2">
        <v>61109</v>
      </c>
      <c r="G28" s="6" t="s">
        <v>493</v>
      </c>
      <c r="H28" s="176"/>
      <c r="J28" s="142"/>
      <c r="K28" s="21"/>
    </row>
    <row r="29" spans="1:11" s="56" customFormat="1" ht="15.75" customHeight="1">
      <c r="A29" s="8"/>
      <c r="B29" s="1"/>
      <c r="C29" s="10"/>
      <c r="D29" s="1"/>
      <c r="E29" s="10" t="s">
        <v>579</v>
      </c>
      <c r="F29" s="2">
        <v>61199</v>
      </c>
      <c r="G29" s="6" t="s">
        <v>147</v>
      </c>
      <c r="H29" s="176"/>
      <c r="J29" s="142"/>
      <c r="K29" s="21"/>
    </row>
    <row r="30" spans="1:11" s="56" customFormat="1" ht="15.75" customHeight="1">
      <c r="A30" s="8">
        <v>4</v>
      </c>
      <c r="B30" s="1" t="s">
        <v>346</v>
      </c>
      <c r="C30" s="10" t="s">
        <v>43</v>
      </c>
      <c r="D30" s="1" t="s">
        <v>45</v>
      </c>
      <c r="E30" s="10" t="s">
        <v>579</v>
      </c>
      <c r="F30" s="2">
        <v>61501</v>
      </c>
      <c r="G30" s="6" t="s">
        <v>214</v>
      </c>
      <c r="H30" s="176"/>
      <c r="J30" s="142"/>
      <c r="K30" s="21"/>
    </row>
    <row r="31" spans="1:11" s="56" customFormat="1" ht="15.75" customHeight="1">
      <c r="A31" s="8">
        <v>4</v>
      </c>
      <c r="B31" s="1" t="s">
        <v>346</v>
      </c>
      <c r="C31" s="10" t="s">
        <v>43</v>
      </c>
      <c r="D31" s="1" t="s">
        <v>45</v>
      </c>
      <c r="E31" s="10" t="s">
        <v>579</v>
      </c>
      <c r="F31" s="2">
        <v>61502</v>
      </c>
      <c r="G31" s="6" t="s">
        <v>215</v>
      </c>
      <c r="H31" s="176"/>
      <c r="J31" s="142"/>
      <c r="K31" s="21"/>
    </row>
    <row r="32" spans="1:11" ht="15.75" customHeight="1">
      <c r="A32" s="8">
        <v>4</v>
      </c>
      <c r="B32" s="1" t="s">
        <v>346</v>
      </c>
      <c r="C32" s="10" t="s">
        <v>43</v>
      </c>
      <c r="D32" s="1" t="s">
        <v>45</v>
      </c>
      <c r="E32" s="10" t="s">
        <v>579</v>
      </c>
      <c r="F32" s="2">
        <v>61503</v>
      </c>
      <c r="G32" s="6" t="s">
        <v>216</v>
      </c>
      <c r="H32" s="176"/>
    </row>
    <row r="33" spans="1:11" ht="15.75" customHeight="1">
      <c r="A33" s="8">
        <v>4</v>
      </c>
      <c r="B33" s="1" t="s">
        <v>346</v>
      </c>
      <c r="C33" s="10" t="s">
        <v>43</v>
      </c>
      <c r="D33" s="1" t="s">
        <v>45</v>
      </c>
      <c r="E33" s="10" t="s">
        <v>579</v>
      </c>
      <c r="F33" s="2">
        <v>61599</v>
      </c>
      <c r="G33" s="6" t="s">
        <v>164</v>
      </c>
      <c r="H33" s="176"/>
    </row>
    <row r="34" spans="1:11" ht="15.75" customHeight="1">
      <c r="A34" s="8">
        <v>4</v>
      </c>
      <c r="B34" s="1" t="s">
        <v>346</v>
      </c>
      <c r="C34" s="10" t="s">
        <v>43</v>
      </c>
      <c r="D34" s="1" t="s">
        <v>45</v>
      </c>
      <c r="E34" s="10" t="s">
        <v>579</v>
      </c>
      <c r="F34" s="2">
        <v>61601</v>
      </c>
      <c r="G34" s="6" t="s">
        <v>165</v>
      </c>
      <c r="H34" s="176"/>
    </row>
    <row r="35" spans="1:11" ht="15.75" customHeight="1">
      <c r="A35" s="8">
        <v>4</v>
      </c>
      <c r="B35" s="1" t="s">
        <v>346</v>
      </c>
      <c r="C35" s="10" t="s">
        <v>43</v>
      </c>
      <c r="D35" s="1" t="s">
        <v>45</v>
      </c>
      <c r="E35" s="10" t="s">
        <v>579</v>
      </c>
      <c r="F35" s="2">
        <v>61602</v>
      </c>
      <c r="G35" s="6" t="s">
        <v>217</v>
      </c>
      <c r="H35" s="176"/>
    </row>
    <row r="36" spans="1:11" ht="15.75" customHeight="1">
      <c r="A36" s="8">
        <v>4</v>
      </c>
      <c r="B36" s="1" t="s">
        <v>346</v>
      </c>
      <c r="C36" s="10" t="s">
        <v>43</v>
      </c>
      <c r="D36" s="1" t="s">
        <v>45</v>
      </c>
      <c r="E36" s="10" t="s">
        <v>579</v>
      </c>
      <c r="F36" s="2">
        <v>61603</v>
      </c>
      <c r="G36" s="6" t="s">
        <v>218</v>
      </c>
      <c r="H36" s="176"/>
    </row>
    <row r="37" spans="1:11" ht="15.75" customHeight="1">
      <c r="A37" s="8">
        <v>4</v>
      </c>
      <c r="B37" s="1" t="s">
        <v>346</v>
      </c>
      <c r="C37" s="10" t="s">
        <v>43</v>
      </c>
      <c r="D37" s="1" t="s">
        <v>45</v>
      </c>
      <c r="E37" s="10" t="s">
        <v>579</v>
      </c>
      <c r="F37" s="2">
        <v>61604</v>
      </c>
      <c r="G37" s="6" t="s">
        <v>219</v>
      </c>
      <c r="H37" s="176"/>
    </row>
    <row r="38" spans="1:11" ht="15.75" customHeight="1">
      <c r="A38" s="8">
        <v>4</v>
      </c>
      <c r="B38" s="1" t="s">
        <v>346</v>
      </c>
      <c r="C38" s="10" t="s">
        <v>43</v>
      </c>
      <c r="D38" s="1" t="s">
        <v>45</v>
      </c>
      <c r="E38" s="10" t="s">
        <v>579</v>
      </c>
      <c r="F38" s="2">
        <v>61606</v>
      </c>
      <c r="G38" s="6" t="s">
        <v>220</v>
      </c>
      <c r="H38" s="176"/>
    </row>
    <row r="39" spans="1:11" ht="15.75" customHeight="1">
      <c r="A39" s="8">
        <v>4</v>
      </c>
      <c r="B39" s="1" t="s">
        <v>346</v>
      </c>
      <c r="C39" s="10" t="s">
        <v>43</v>
      </c>
      <c r="D39" s="1" t="s">
        <v>45</v>
      </c>
      <c r="E39" s="10" t="s">
        <v>579</v>
      </c>
      <c r="F39" s="2">
        <v>61607</v>
      </c>
      <c r="G39" s="6" t="s">
        <v>166</v>
      </c>
      <c r="H39" s="176"/>
    </row>
    <row r="40" spans="1:11" ht="15.75" customHeight="1">
      <c r="A40" s="8">
        <v>4</v>
      </c>
      <c r="B40" s="1" t="s">
        <v>346</v>
      </c>
      <c r="C40" s="10" t="s">
        <v>43</v>
      </c>
      <c r="D40" s="1" t="s">
        <v>45</v>
      </c>
      <c r="E40" s="10" t="s">
        <v>579</v>
      </c>
      <c r="F40" s="2">
        <v>61608</v>
      </c>
      <c r="G40" s="6" t="s">
        <v>167</v>
      </c>
      <c r="H40" s="176"/>
    </row>
    <row r="41" spans="1:11" ht="15.75" customHeight="1">
      <c r="A41" s="8">
        <v>4</v>
      </c>
      <c r="B41" s="1" t="s">
        <v>346</v>
      </c>
      <c r="C41" s="10" t="s">
        <v>43</v>
      </c>
      <c r="D41" s="1" t="s">
        <v>45</v>
      </c>
      <c r="E41" s="10" t="s">
        <v>579</v>
      </c>
      <c r="F41" s="2">
        <v>61609</v>
      </c>
      <c r="G41" s="6" t="s">
        <v>493</v>
      </c>
      <c r="H41" s="176"/>
    </row>
    <row r="42" spans="1:11" ht="15.75" customHeight="1">
      <c r="A42" s="8">
        <v>4</v>
      </c>
      <c r="B42" s="1" t="s">
        <v>346</v>
      </c>
      <c r="C42" s="10" t="s">
        <v>43</v>
      </c>
      <c r="D42" s="1" t="s">
        <v>45</v>
      </c>
      <c r="E42" s="10" t="s">
        <v>579</v>
      </c>
      <c r="F42" s="2">
        <v>61699</v>
      </c>
      <c r="G42" s="6" t="s">
        <v>168</v>
      </c>
      <c r="H42" s="176"/>
    </row>
    <row r="43" spans="1:11" ht="15.75" customHeight="1">
      <c r="A43" s="18"/>
      <c r="B43" s="16"/>
      <c r="C43" s="1"/>
      <c r="D43" s="16"/>
      <c r="E43" s="10" t="s">
        <v>579</v>
      </c>
      <c r="F43" s="168">
        <v>61201</v>
      </c>
      <c r="G43" s="7" t="s">
        <v>319</v>
      </c>
      <c r="H43" s="177"/>
    </row>
    <row r="44" spans="1:11" ht="15.75" customHeight="1" thickBot="1">
      <c r="A44" s="18"/>
      <c r="B44" s="16"/>
      <c r="C44" s="167"/>
      <c r="D44" s="16"/>
      <c r="E44" s="167"/>
      <c r="F44" s="168">
        <v>72101</v>
      </c>
      <c r="G44" s="7" t="s">
        <v>522</v>
      </c>
      <c r="H44" s="177"/>
    </row>
    <row r="45" spans="1:11" ht="27.75" customHeight="1" thickBot="1">
      <c r="A45" s="1177"/>
      <c r="B45" s="1178"/>
      <c r="C45" s="1178"/>
      <c r="D45" s="1178"/>
      <c r="E45" s="1178"/>
      <c r="F45" s="1179"/>
      <c r="G45" s="228" t="s">
        <v>169</v>
      </c>
      <c r="H45" s="229">
        <f>SUM(H11:H44)</f>
        <v>23309.82</v>
      </c>
      <c r="J45" s="146"/>
      <c r="K45" s="55"/>
    </row>
    <row r="46" spans="1:11">
      <c r="A46" s="22"/>
      <c r="B46" s="22"/>
      <c r="C46" s="22"/>
      <c r="D46" s="22"/>
      <c r="E46" s="22"/>
      <c r="F46" s="22"/>
      <c r="H46" s="31"/>
      <c r="K46" s="143"/>
    </row>
    <row r="47" spans="1:11" ht="15.75">
      <c r="A47" s="22"/>
      <c r="B47" s="22"/>
      <c r="C47" s="22"/>
      <c r="D47" s="22"/>
      <c r="E47" s="22"/>
      <c r="F47" s="22"/>
      <c r="G47" s="32"/>
      <c r="H47" s="152"/>
      <c r="K47" s="143"/>
    </row>
    <row r="48" spans="1:11" ht="19.5" customHeight="1">
      <c r="A48" s="1180" t="s">
        <v>8</v>
      </c>
      <c r="B48" s="1180"/>
      <c r="C48" s="1180"/>
      <c r="D48" s="1180"/>
      <c r="E48" s="1180"/>
      <c r="F48" s="1180"/>
      <c r="H48" s="153">
        <f>+H45-H47</f>
        <v>23309.82</v>
      </c>
      <c r="K48" s="169"/>
    </row>
    <row r="49" spans="1:8">
      <c r="A49" s="1172" t="s">
        <v>1</v>
      </c>
      <c r="B49" s="1172"/>
      <c r="C49" s="1172"/>
      <c r="D49" s="1172"/>
      <c r="E49" s="1172"/>
      <c r="F49" s="1172"/>
      <c r="G49" s="1172"/>
    </row>
    <row r="50" spans="1:8">
      <c r="A50" s="1172" t="s">
        <v>580</v>
      </c>
      <c r="B50" s="1172"/>
      <c r="C50" s="1172"/>
      <c r="D50" s="1172"/>
      <c r="E50" s="1172"/>
      <c r="F50" s="1172"/>
      <c r="G50" s="1172"/>
      <c r="H50" s="57"/>
    </row>
    <row r="51" spans="1:8">
      <c r="A51" s="1172" t="s">
        <v>5</v>
      </c>
      <c r="B51" s="1172"/>
      <c r="C51" s="1172"/>
      <c r="D51" s="1172"/>
      <c r="E51" s="1172"/>
      <c r="F51" s="1172"/>
      <c r="G51" s="1172"/>
    </row>
    <row r="52" spans="1:8">
      <c r="A52" s="1172"/>
      <c r="B52" s="1172"/>
      <c r="C52" s="1172"/>
      <c r="D52" s="1172"/>
      <c r="E52" s="1172"/>
      <c r="F52" s="1172"/>
      <c r="G52" s="1172"/>
    </row>
  </sheetData>
  <mergeCells count="18">
    <mergeCell ref="A5:H5"/>
    <mergeCell ref="A1:D1"/>
    <mergeCell ref="E1:H1"/>
    <mergeCell ref="A2:I2"/>
    <mergeCell ref="A3:H3"/>
    <mergeCell ref="A4:H4"/>
    <mergeCell ref="A52:G52"/>
    <mergeCell ref="A6:H6"/>
    <mergeCell ref="A7:H7"/>
    <mergeCell ref="A8:H8"/>
    <mergeCell ref="A9:F9"/>
    <mergeCell ref="G9:G10"/>
    <mergeCell ref="H9:H10"/>
    <mergeCell ref="A45:F45"/>
    <mergeCell ref="A48:F48"/>
    <mergeCell ref="A49:G49"/>
    <mergeCell ref="A50:G50"/>
    <mergeCell ref="A51:G51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87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K22"/>
  <sheetViews>
    <sheetView workbookViewId="0">
      <selection activeCell="E1" sqref="A1:H21"/>
    </sheetView>
  </sheetViews>
  <sheetFormatPr baseColWidth="10" defaultColWidth="11.42578125" defaultRowHeight="12.75"/>
  <cols>
    <col min="1" max="1" width="4.5703125" style="23" customWidth="1"/>
    <col min="2" max="2" width="4.42578125" style="23" customWidth="1"/>
    <col min="3" max="4" width="4.5703125" style="23" customWidth="1"/>
    <col min="5" max="5" width="6.140625" style="23" customWidth="1"/>
    <col min="6" max="6" width="10.28515625" style="23" customWidth="1"/>
    <col min="7" max="7" width="47.5703125" style="19" customWidth="1"/>
    <col min="8" max="8" width="21.28515625" style="4" customWidth="1"/>
    <col min="9" max="9" width="11.42578125" style="56"/>
    <col min="10" max="10" width="14.7109375" style="142" bestFit="1" customWidth="1"/>
    <col min="11" max="11" width="13.7109375" style="21" bestFit="1" customWidth="1"/>
    <col min="12" max="16384" width="11.42578125" style="21"/>
  </cols>
  <sheetData>
    <row r="1" spans="1:11" ht="20.25">
      <c r="A1" s="1104"/>
      <c r="B1" s="1104"/>
      <c r="C1" s="1104"/>
      <c r="D1" s="1104"/>
      <c r="E1" s="1104"/>
      <c r="F1" s="1104"/>
      <c r="G1" s="1104"/>
      <c r="H1" s="1104"/>
      <c r="I1" s="151"/>
    </row>
    <row r="2" spans="1:11" ht="18">
      <c r="A2" s="185" t="s">
        <v>1178</v>
      </c>
      <c r="B2" s="185"/>
      <c r="C2" s="185"/>
      <c r="D2" s="185"/>
      <c r="E2" s="185"/>
      <c r="F2" s="185"/>
      <c r="G2" s="185"/>
      <c r="H2" s="185"/>
      <c r="I2" s="185"/>
    </row>
    <row r="3" spans="1:11" ht="15.75">
      <c r="A3" s="1136" t="s">
        <v>190</v>
      </c>
      <c r="B3" s="1137"/>
      <c r="C3" s="1137"/>
      <c r="D3" s="1137"/>
      <c r="E3" s="1137"/>
      <c r="F3" s="1137"/>
      <c r="G3" s="1137"/>
      <c r="H3" s="1137"/>
      <c r="K3" s="55"/>
    </row>
    <row r="4" spans="1:11" ht="15.75">
      <c r="A4" s="1136" t="s">
        <v>968</v>
      </c>
      <c r="B4" s="1137"/>
      <c r="C4" s="1137"/>
      <c r="D4" s="1137"/>
      <c r="E4" s="1137"/>
      <c r="F4" s="1137"/>
      <c r="G4" s="1137"/>
      <c r="H4" s="1137"/>
      <c r="K4" s="55"/>
    </row>
    <row r="5" spans="1:11" ht="15">
      <c r="A5" s="1134" t="s">
        <v>7</v>
      </c>
      <c r="B5" s="1135"/>
      <c r="C5" s="1135"/>
      <c r="D5" s="1135"/>
      <c r="E5" s="1135"/>
      <c r="F5" s="1135"/>
      <c r="G5" s="1135"/>
      <c r="H5" s="1135"/>
    </row>
    <row r="6" spans="1:11" ht="8.25" customHeight="1">
      <c r="A6" s="1130"/>
      <c r="B6" s="1131"/>
      <c r="C6" s="1131"/>
      <c r="D6" s="1131"/>
      <c r="E6" s="1131"/>
      <c r="F6" s="1131"/>
      <c r="G6" s="1131"/>
      <c r="H6" s="1131"/>
    </row>
    <row r="7" spans="1:11" ht="15.75">
      <c r="A7" s="1173" t="s">
        <v>153</v>
      </c>
      <c r="B7" s="1173"/>
      <c r="C7" s="1173"/>
      <c r="D7" s="1173"/>
      <c r="E7" s="1173"/>
      <c r="F7" s="1173"/>
      <c r="G7" s="1173"/>
      <c r="H7" s="1173"/>
      <c r="K7" s="55"/>
    </row>
    <row r="8" spans="1:11" ht="16.5" thickBot="1">
      <c r="A8" s="1174" t="s">
        <v>1015</v>
      </c>
      <c r="B8" s="1174"/>
      <c r="C8" s="1174"/>
      <c r="D8" s="1174"/>
      <c r="E8" s="1174"/>
      <c r="F8" s="1174"/>
      <c r="G8" s="1174"/>
      <c r="H8" s="1174"/>
      <c r="K8" s="55"/>
    </row>
    <row r="9" spans="1:11" ht="15.75" thickBot="1">
      <c r="A9" s="1175" t="s">
        <v>0</v>
      </c>
      <c r="B9" s="1176"/>
      <c r="C9" s="1176"/>
      <c r="D9" s="1176"/>
      <c r="E9" s="1176"/>
      <c r="F9" s="1176"/>
      <c r="G9" s="1144" t="s">
        <v>128</v>
      </c>
      <c r="H9" s="1123" t="s">
        <v>129</v>
      </c>
      <c r="K9" s="55"/>
    </row>
    <row r="10" spans="1:11" ht="200.25" customHeight="1" thickBot="1">
      <c r="A10" s="223" t="s">
        <v>122</v>
      </c>
      <c r="B10" s="224" t="s">
        <v>123</v>
      </c>
      <c r="C10" s="224" t="s">
        <v>103</v>
      </c>
      <c r="D10" s="224" t="s">
        <v>124</v>
      </c>
      <c r="E10" s="225" t="s">
        <v>130</v>
      </c>
      <c r="F10" s="226" t="s">
        <v>88</v>
      </c>
      <c r="G10" s="1181"/>
      <c r="H10" s="1124"/>
      <c r="J10" s="147"/>
    </row>
    <row r="11" spans="1:11" ht="35.25" customHeight="1">
      <c r="A11" s="43">
        <v>1</v>
      </c>
      <c r="B11" s="42" t="s">
        <v>43</v>
      </c>
      <c r="C11" s="191" t="s">
        <v>43</v>
      </c>
      <c r="D11" s="42" t="s">
        <v>346</v>
      </c>
      <c r="E11" s="191" t="s">
        <v>579</v>
      </c>
      <c r="F11" s="276">
        <v>54101</v>
      </c>
      <c r="G11" s="300" t="s">
        <v>598</v>
      </c>
      <c r="H11" s="277">
        <v>12000</v>
      </c>
    </row>
    <row r="12" spans="1:11" ht="35.25" customHeight="1">
      <c r="A12" s="43">
        <v>1</v>
      </c>
      <c r="B12" s="42" t="s">
        <v>43</v>
      </c>
      <c r="C12" s="191" t="s">
        <v>43</v>
      </c>
      <c r="D12" s="42" t="s">
        <v>346</v>
      </c>
      <c r="E12" s="191" t="s">
        <v>579</v>
      </c>
      <c r="F12" s="276">
        <v>54199</v>
      </c>
      <c r="G12" s="300" t="s">
        <v>599</v>
      </c>
      <c r="H12" s="280">
        <v>5713.25</v>
      </c>
    </row>
    <row r="13" spans="1:11" ht="35.25" customHeight="1">
      <c r="A13" s="43">
        <v>1</v>
      </c>
      <c r="B13" s="42" t="s">
        <v>43</v>
      </c>
      <c r="C13" s="191" t="s">
        <v>43</v>
      </c>
      <c r="D13" s="42" t="s">
        <v>346</v>
      </c>
      <c r="E13" s="191" t="s">
        <v>579</v>
      </c>
      <c r="F13" s="276">
        <v>55603</v>
      </c>
      <c r="G13" s="278" t="s">
        <v>563</v>
      </c>
      <c r="H13" s="280">
        <v>100</v>
      </c>
    </row>
    <row r="14" spans="1:11" ht="35.25" customHeight="1" thickBot="1">
      <c r="A14" s="43">
        <v>1</v>
      </c>
      <c r="B14" s="42" t="s">
        <v>43</v>
      </c>
      <c r="C14" s="191" t="s">
        <v>43</v>
      </c>
      <c r="D14" s="42" t="s">
        <v>346</v>
      </c>
      <c r="E14" s="191" t="s">
        <v>579</v>
      </c>
      <c r="F14" s="276">
        <v>56304</v>
      </c>
      <c r="G14" s="278" t="s">
        <v>538</v>
      </c>
      <c r="H14" s="280">
        <v>12000</v>
      </c>
    </row>
    <row r="15" spans="1:11" ht="27.75" customHeight="1" thickBot="1">
      <c r="A15" s="1177"/>
      <c r="B15" s="1178"/>
      <c r="C15" s="1178"/>
      <c r="D15" s="1178"/>
      <c r="E15" s="1178"/>
      <c r="F15" s="1179"/>
      <c r="G15" s="279" t="s">
        <v>539</v>
      </c>
      <c r="H15" s="281">
        <f>SUM(H11:H14)</f>
        <v>29813.25</v>
      </c>
      <c r="J15" s="146"/>
      <c r="K15" s="55"/>
    </row>
    <row r="16" spans="1:11">
      <c r="A16" s="22"/>
      <c r="B16" s="22"/>
      <c r="C16" s="22"/>
      <c r="D16" s="22"/>
      <c r="E16" s="22"/>
      <c r="F16" s="22"/>
      <c r="H16" s="31"/>
      <c r="K16" s="143"/>
    </row>
    <row r="17" spans="1:11" ht="15.75">
      <c r="A17" s="22"/>
      <c r="B17" s="22"/>
      <c r="C17" s="22"/>
      <c r="D17" s="22"/>
      <c r="E17" s="22"/>
      <c r="F17" s="22"/>
      <c r="G17" s="32"/>
      <c r="H17" s="152"/>
      <c r="K17" s="143"/>
    </row>
    <row r="18" spans="1:11" ht="19.5" customHeight="1">
      <c r="A18" s="1180" t="s">
        <v>8</v>
      </c>
      <c r="B18" s="1180"/>
      <c r="C18" s="1180"/>
      <c r="D18" s="1180"/>
      <c r="E18" s="1180"/>
      <c r="F18" s="1180"/>
      <c r="H18" s="153"/>
      <c r="K18" s="169"/>
    </row>
    <row r="19" spans="1:11">
      <c r="A19" s="1172" t="s">
        <v>1</v>
      </c>
      <c r="B19" s="1172"/>
      <c r="C19" s="1172"/>
      <c r="D19" s="1172"/>
      <c r="E19" s="1172"/>
      <c r="F19" s="1172"/>
      <c r="G19" s="1172"/>
    </row>
    <row r="20" spans="1:11">
      <c r="A20" s="1172" t="s">
        <v>4</v>
      </c>
      <c r="B20" s="1172"/>
      <c r="C20" s="1172"/>
      <c r="D20" s="1172"/>
      <c r="E20" s="1172"/>
      <c r="F20" s="1172"/>
      <c r="G20" s="1172"/>
      <c r="H20" s="57"/>
    </row>
    <row r="21" spans="1:11">
      <c r="A21" s="1172" t="s">
        <v>5</v>
      </c>
      <c r="B21" s="1172"/>
      <c r="C21" s="1172"/>
      <c r="D21" s="1172"/>
      <c r="E21" s="1172"/>
      <c r="F21" s="1172"/>
      <c r="G21" s="1172"/>
    </row>
    <row r="22" spans="1:11">
      <c r="A22" s="1172"/>
      <c r="B22" s="1172"/>
      <c r="C22" s="1172"/>
      <c r="D22" s="1172"/>
      <c r="E22" s="1172"/>
      <c r="F22" s="1172"/>
      <c r="G22" s="1172"/>
    </row>
  </sheetData>
  <mergeCells count="17">
    <mergeCell ref="A5:H5"/>
    <mergeCell ref="A1:D1"/>
    <mergeCell ref="E1:H1"/>
    <mergeCell ref="A3:H3"/>
    <mergeCell ref="A4:H4"/>
    <mergeCell ref="A22:G22"/>
    <mergeCell ref="A6:H6"/>
    <mergeCell ref="A7:H7"/>
    <mergeCell ref="A8:H8"/>
    <mergeCell ref="A9:F9"/>
    <mergeCell ref="G9:G10"/>
    <mergeCell ref="H9:H10"/>
    <mergeCell ref="A15:F15"/>
    <mergeCell ref="A18:F18"/>
    <mergeCell ref="A19:G19"/>
    <mergeCell ref="A20:G20"/>
    <mergeCell ref="A21:G21"/>
  </mergeCells>
  <pageMargins left="0.70866141732283472" right="0.70866141732283472" top="0.94488188976377963" bottom="0.74803149606299213" header="0.31496062992125984" footer="0.31496062992125984"/>
  <pageSetup paperSize="5" scale="8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/>
    <pageSetUpPr fitToPage="1"/>
  </sheetPr>
  <dimension ref="A1:K19"/>
  <sheetViews>
    <sheetView view="pageBreakPreview" zoomScale="86" zoomScaleNormal="100" zoomScaleSheetLayoutView="86" workbookViewId="0">
      <selection activeCell="G9" sqref="G9:G10"/>
    </sheetView>
  </sheetViews>
  <sheetFormatPr baseColWidth="10" defaultColWidth="11.42578125" defaultRowHeight="12.75"/>
  <cols>
    <col min="1" max="1" width="4.5703125" style="23" customWidth="1"/>
    <col min="2" max="2" width="4.42578125" style="23" customWidth="1"/>
    <col min="3" max="4" width="4.5703125" style="23" customWidth="1"/>
    <col min="5" max="5" width="6.140625" style="23" customWidth="1"/>
    <col min="6" max="6" width="10.28515625" style="23" customWidth="1"/>
    <col min="7" max="7" width="49.28515625" style="19" customWidth="1"/>
    <col min="8" max="8" width="21.28515625" style="4" customWidth="1"/>
    <col min="9" max="9" width="11.42578125" style="56"/>
    <col min="10" max="10" width="14.7109375" style="142" bestFit="1" customWidth="1"/>
    <col min="11" max="11" width="13.7109375" style="21" bestFit="1" customWidth="1"/>
    <col min="12" max="16384" width="11.42578125" style="21"/>
  </cols>
  <sheetData>
    <row r="1" spans="1:11" ht="20.25">
      <c r="A1" s="1104"/>
      <c r="B1" s="1104"/>
      <c r="C1" s="1104"/>
      <c r="D1" s="1104"/>
      <c r="E1" s="1104"/>
      <c r="F1" s="1104"/>
      <c r="G1" s="1104"/>
      <c r="H1" s="1104"/>
      <c r="I1" s="151"/>
    </row>
    <row r="2" spans="1:11" ht="18">
      <c r="A2" s="1138" t="s">
        <v>327</v>
      </c>
      <c r="B2" s="1138"/>
      <c r="C2" s="1138"/>
      <c r="D2" s="1138"/>
      <c r="E2" s="1138"/>
      <c r="F2" s="1138"/>
      <c r="G2" s="1138"/>
      <c r="H2" s="1138"/>
      <c r="I2" s="1138"/>
    </row>
    <row r="3" spans="1:11" ht="15.75">
      <c r="A3" s="1136" t="s">
        <v>190</v>
      </c>
      <c r="B3" s="1137"/>
      <c r="C3" s="1137"/>
      <c r="D3" s="1137"/>
      <c r="E3" s="1137"/>
      <c r="F3" s="1137"/>
      <c r="G3" s="1137"/>
      <c r="H3" s="1137"/>
      <c r="K3" s="55"/>
    </row>
    <row r="4" spans="1:11" ht="15.75">
      <c r="A4" s="1136" t="s">
        <v>968</v>
      </c>
      <c r="B4" s="1137"/>
      <c r="C4" s="1137"/>
      <c r="D4" s="1137"/>
      <c r="E4" s="1137"/>
      <c r="F4" s="1137"/>
      <c r="G4" s="1137"/>
      <c r="H4" s="1137"/>
      <c r="K4" s="55"/>
    </row>
    <row r="5" spans="1:11" ht="15">
      <c r="A5" s="1134" t="s">
        <v>7</v>
      </c>
      <c r="B5" s="1135"/>
      <c r="C5" s="1135"/>
      <c r="D5" s="1135"/>
      <c r="E5" s="1135"/>
      <c r="F5" s="1135"/>
      <c r="G5" s="1135"/>
      <c r="H5" s="1135"/>
    </row>
    <row r="6" spans="1:11" ht="8.25" customHeight="1">
      <c r="A6" s="1130"/>
      <c r="B6" s="1131"/>
      <c r="C6" s="1131"/>
      <c r="D6" s="1131"/>
      <c r="E6" s="1131"/>
      <c r="F6" s="1131"/>
      <c r="G6" s="1131"/>
      <c r="H6" s="1131"/>
    </row>
    <row r="7" spans="1:11" ht="15.75">
      <c r="A7" s="1173" t="s">
        <v>153</v>
      </c>
      <c r="B7" s="1173"/>
      <c r="C7" s="1173"/>
      <c r="D7" s="1173"/>
      <c r="E7" s="1173"/>
      <c r="F7" s="1173"/>
      <c r="G7" s="1173"/>
      <c r="H7" s="1173"/>
      <c r="K7" s="55"/>
    </row>
    <row r="8" spans="1:11" ht="16.5" thickBot="1">
      <c r="A8" s="1174" t="s">
        <v>537</v>
      </c>
      <c r="B8" s="1174"/>
      <c r="C8" s="1174"/>
      <c r="D8" s="1174"/>
      <c r="E8" s="1174"/>
      <c r="F8" s="1174"/>
      <c r="G8" s="1174"/>
      <c r="H8" s="1174"/>
      <c r="K8" s="55"/>
    </row>
    <row r="9" spans="1:11" ht="15.75" thickBot="1">
      <c r="A9" s="1175" t="s">
        <v>0</v>
      </c>
      <c r="B9" s="1176"/>
      <c r="C9" s="1176"/>
      <c r="D9" s="1176"/>
      <c r="E9" s="1176"/>
      <c r="F9" s="1176"/>
      <c r="G9" s="1144" t="s">
        <v>128</v>
      </c>
      <c r="H9" s="1123" t="s">
        <v>129</v>
      </c>
      <c r="K9" s="55"/>
    </row>
    <row r="10" spans="1:11" ht="200.25" customHeight="1" thickBot="1">
      <c r="A10" s="223" t="s">
        <v>122</v>
      </c>
      <c r="B10" s="224" t="s">
        <v>123</v>
      </c>
      <c r="C10" s="224" t="s">
        <v>103</v>
      </c>
      <c r="D10" s="224" t="s">
        <v>124</v>
      </c>
      <c r="E10" s="225" t="s">
        <v>130</v>
      </c>
      <c r="F10" s="226" t="s">
        <v>88</v>
      </c>
      <c r="G10" s="1145"/>
      <c r="H10" s="1124"/>
      <c r="J10" s="147"/>
    </row>
    <row r="11" spans="1:11" ht="30" customHeight="1" thickBot="1">
      <c r="A11" s="43">
        <v>3</v>
      </c>
      <c r="B11" s="42" t="s">
        <v>46</v>
      </c>
      <c r="C11" s="191" t="s">
        <v>191</v>
      </c>
      <c r="D11" s="42" t="s">
        <v>43</v>
      </c>
      <c r="E11" s="191" t="s">
        <v>43</v>
      </c>
      <c r="F11" s="168">
        <v>72101</v>
      </c>
      <c r="G11" s="41" t="s">
        <v>522</v>
      </c>
      <c r="H11" s="192">
        <v>1272.25</v>
      </c>
    </row>
    <row r="12" spans="1:11" ht="27.75" customHeight="1" thickBot="1">
      <c r="A12" s="1177"/>
      <c r="B12" s="1178"/>
      <c r="C12" s="1178"/>
      <c r="D12" s="1178"/>
      <c r="E12" s="1178"/>
      <c r="F12" s="1179"/>
      <c r="G12" s="230" t="s">
        <v>169</v>
      </c>
      <c r="H12" s="231">
        <f>SUM(H11:H11)</f>
        <v>1272.25</v>
      </c>
      <c r="J12" s="146"/>
      <c r="K12" s="55"/>
    </row>
    <row r="13" spans="1:11">
      <c r="A13" s="22"/>
      <c r="B13" s="22"/>
      <c r="C13" s="22"/>
      <c r="D13" s="22"/>
      <c r="E13" s="22"/>
      <c r="F13" s="22"/>
      <c r="H13" s="31"/>
      <c r="K13" s="143"/>
    </row>
    <row r="14" spans="1:11" ht="15.75">
      <c r="A14" s="22"/>
      <c r="B14" s="22"/>
      <c r="C14" s="22"/>
      <c r="D14" s="22"/>
      <c r="E14" s="22"/>
      <c r="F14" s="22"/>
      <c r="G14" s="32"/>
      <c r="H14" s="152"/>
      <c r="K14" s="143"/>
    </row>
    <row r="15" spans="1:11" ht="19.5" customHeight="1">
      <c r="A15" s="1180" t="s">
        <v>8</v>
      </c>
      <c r="B15" s="1180"/>
      <c r="C15" s="1180"/>
      <c r="D15" s="1180"/>
      <c r="E15" s="1180"/>
      <c r="F15" s="1180"/>
      <c r="H15" s="153"/>
      <c r="K15" s="169"/>
    </row>
    <row r="16" spans="1:11">
      <c r="A16" s="1172" t="s">
        <v>1</v>
      </c>
      <c r="B16" s="1172"/>
      <c r="C16" s="1172"/>
      <c r="D16" s="1172"/>
      <c r="E16" s="1172"/>
      <c r="F16" s="1172"/>
      <c r="G16" s="1172"/>
    </row>
    <row r="17" spans="1:8">
      <c r="A17" s="1172" t="s">
        <v>4</v>
      </c>
      <c r="B17" s="1172"/>
      <c r="C17" s="1172"/>
      <c r="D17" s="1172"/>
      <c r="E17" s="1172"/>
      <c r="F17" s="1172"/>
      <c r="G17" s="1172"/>
      <c r="H17" s="57"/>
    </row>
    <row r="18" spans="1:8">
      <c r="A18" s="1172" t="s">
        <v>5</v>
      </c>
      <c r="B18" s="1172"/>
      <c r="C18" s="1172"/>
      <c r="D18" s="1172"/>
      <c r="E18" s="1172"/>
      <c r="F18" s="1172"/>
      <c r="G18" s="1172"/>
    </row>
    <row r="19" spans="1:8">
      <c r="A19" s="1172"/>
      <c r="B19" s="1172"/>
      <c r="C19" s="1172"/>
      <c r="D19" s="1172"/>
      <c r="E19" s="1172"/>
      <c r="F19" s="1172"/>
      <c r="G19" s="1172"/>
    </row>
  </sheetData>
  <mergeCells count="18">
    <mergeCell ref="A19:G19"/>
    <mergeCell ref="A12:F12"/>
    <mergeCell ref="A15:F15"/>
    <mergeCell ref="A16:G16"/>
    <mergeCell ref="A17:G17"/>
    <mergeCell ref="A18:G18"/>
    <mergeCell ref="A5:H5"/>
    <mergeCell ref="A6:H6"/>
    <mergeCell ref="A7:H7"/>
    <mergeCell ref="A8:H8"/>
    <mergeCell ref="A9:F9"/>
    <mergeCell ref="G9:G10"/>
    <mergeCell ref="H9:H10"/>
    <mergeCell ref="A1:D1"/>
    <mergeCell ref="E1:H1"/>
    <mergeCell ref="A2:I2"/>
    <mergeCell ref="A3:H3"/>
    <mergeCell ref="A4:H4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87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8"/>
    <pageSetUpPr fitToPage="1"/>
  </sheetPr>
  <dimension ref="A1:L125"/>
  <sheetViews>
    <sheetView topLeftCell="A85" zoomScaleNormal="100" workbookViewId="0">
      <selection sqref="A1:J126"/>
    </sheetView>
  </sheetViews>
  <sheetFormatPr baseColWidth="10" defaultColWidth="11.42578125" defaultRowHeight="12.75"/>
  <cols>
    <col min="1" max="1" width="7" style="36" customWidth="1"/>
    <col min="2" max="2" width="18.85546875" style="36" customWidth="1"/>
    <col min="3" max="3" width="17.85546875" style="536" customWidth="1"/>
    <col min="4" max="4" width="19.140625" style="36" customWidth="1"/>
    <col min="5" max="5" width="28.28515625" style="36" customWidth="1"/>
    <col min="6" max="6" width="14.5703125" style="36" customWidth="1"/>
    <col min="7" max="7" width="12" style="36" customWidth="1"/>
    <col min="8" max="9" width="15.140625" style="36" customWidth="1"/>
    <col min="10" max="10" width="16.28515625" style="36" customWidth="1"/>
    <col min="11" max="16384" width="11.42578125" style="36"/>
  </cols>
  <sheetData>
    <row r="1" spans="1:10" ht="14.25">
      <c r="A1" s="1182"/>
      <c r="B1" s="1182"/>
      <c r="C1" s="1182"/>
      <c r="D1" s="1182"/>
      <c r="E1" s="1182"/>
      <c r="F1" s="1182"/>
      <c r="G1" s="1182"/>
      <c r="H1" s="1182"/>
      <c r="I1" s="1182"/>
      <c r="J1" s="1182"/>
    </row>
    <row r="2" spans="1:10">
      <c r="A2" s="1026" t="s">
        <v>327</v>
      </c>
      <c r="B2" s="1026"/>
      <c r="C2" s="1026"/>
      <c r="D2" s="1026"/>
      <c r="E2" s="1026"/>
      <c r="F2" s="1026"/>
      <c r="G2" s="1026"/>
      <c r="H2" s="1026"/>
      <c r="I2" s="1026"/>
      <c r="J2" s="1026"/>
    </row>
    <row r="3" spans="1:10" ht="19.5" customHeight="1" thickBot="1">
      <c r="A3" s="1149" t="s">
        <v>971</v>
      </c>
      <c r="B3" s="1149"/>
      <c r="C3" s="1149"/>
      <c r="D3" s="1149"/>
      <c r="E3" s="1149"/>
      <c r="F3" s="1149"/>
      <c r="G3" s="1149"/>
      <c r="H3" s="1149"/>
      <c r="I3" s="1149"/>
      <c r="J3" s="1149"/>
    </row>
    <row r="4" spans="1:10" ht="30" customHeight="1">
      <c r="A4" s="1183" t="s">
        <v>221</v>
      </c>
      <c r="B4" s="1186" t="s">
        <v>477</v>
      </c>
      <c r="C4" s="1204" t="s">
        <v>815</v>
      </c>
      <c r="D4" s="1204" t="s">
        <v>480</v>
      </c>
      <c r="E4" s="1201" t="s">
        <v>478</v>
      </c>
      <c r="F4" s="1194" t="s">
        <v>225</v>
      </c>
      <c r="G4" s="1195"/>
      <c r="H4" s="1195"/>
      <c r="I4" s="1196"/>
      <c r="J4" s="1191" t="s">
        <v>541</v>
      </c>
    </row>
    <row r="5" spans="1:10" ht="12.75" customHeight="1">
      <c r="A5" s="1184"/>
      <c r="B5" s="1187"/>
      <c r="C5" s="1205"/>
      <c r="D5" s="1205"/>
      <c r="E5" s="1202"/>
      <c r="F5" s="1189" t="s">
        <v>540</v>
      </c>
      <c r="G5" s="1189" t="s">
        <v>342</v>
      </c>
      <c r="H5" s="1197" t="s">
        <v>693</v>
      </c>
      <c r="I5" s="1199" t="s">
        <v>481</v>
      </c>
      <c r="J5" s="1192"/>
    </row>
    <row r="6" spans="1:10" ht="13.5" thickBot="1">
      <c r="A6" s="1185"/>
      <c r="B6" s="1188"/>
      <c r="C6" s="1200"/>
      <c r="D6" s="1200"/>
      <c r="E6" s="1203"/>
      <c r="F6" s="1190"/>
      <c r="G6" s="1190"/>
      <c r="H6" s="1198"/>
      <c r="I6" s="1200"/>
      <c r="J6" s="1193"/>
    </row>
    <row r="7" spans="1:10" ht="15.95" customHeight="1">
      <c r="A7" s="234">
        <v>1</v>
      </c>
      <c r="B7" s="37" t="s">
        <v>77</v>
      </c>
      <c r="C7" s="537">
        <v>200</v>
      </c>
      <c r="D7" s="237">
        <v>2500</v>
      </c>
      <c r="E7" s="237">
        <v>2500</v>
      </c>
      <c r="F7" s="240">
        <f>E7*7.5/100*12</f>
        <v>2250</v>
      </c>
      <c r="G7" s="240">
        <f>E7*1/100*12</f>
        <v>300</v>
      </c>
      <c r="H7" s="240">
        <f>E7*8.75/100*12</f>
        <v>2625</v>
      </c>
      <c r="I7" s="238">
        <f>+E7*12</f>
        <v>30000</v>
      </c>
      <c r="J7" s="239">
        <f>I7</f>
        <v>30000</v>
      </c>
    </row>
    <row r="8" spans="1:10" ht="15.95" customHeight="1">
      <c r="A8" s="58">
        <v>2</v>
      </c>
      <c r="B8" s="37" t="s">
        <v>77</v>
      </c>
      <c r="C8" s="537">
        <v>200</v>
      </c>
      <c r="D8" s="237">
        <v>500</v>
      </c>
      <c r="E8" s="237">
        <v>500</v>
      </c>
      <c r="F8" s="240">
        <f t="shared" ref="F8:F13" si="0">E8*7.5/100*12</f>
        <v>450</v>
      </c>
      <c r="G8" s="240">
        <f>E8*1/100*12</f>
        <v>60</v>
      </c>
      <c r="H8" s="240">
        <f>E8*8.75/100*12</f>
        <v>525</v>
      </c>
      <c r="I8" s="240">
        <f>+E8*12</f>
        <v>6000</v>
      </c>
      <c r="J8" s="241">
        <f>F8+G8+H8+I8</f>
        <v>7035</v>
      </c>
    </row>
    <row r="9" spans="1:10" ht="15.95" customHeight="1">
      <c r="A9" s="58">
        <v>3</v>
      </c>
      <c r="B9" s="37" t="s">
        <v>77</v>
      </c>
      <c r="C9" s="537">
        <v>200</v>
      </c>
      <c r="D9" s="237">
        <v>1300</v>
      </c>
      <c r="E9" s="237">
        <v>1300</v>
      </c>
      <c r="F9" s="240">
        <f t="shared" si="0"/>
        <v>1170</v>
      </c>
      <c r="G9" s="240">
        <f t="shared" ref="G9:G13" si="1">E9*1/100*12</f>
        <v>156</v>
      </c>
      <c r="H9" s="240">
        <f t="shared" ref="H9:H13" si="2">E9*8.75/100*12</f>
        <v>1365</v>
      </c>
      <c r="I9" s="240">
        <f t="shared" ref="I9:I13" si="3">+E9*12</f>
        <v>15600</v>
      </c>
      <c r="J9" s="241">
        <f t="shared" ref="J9:J13" si="4">SUM(F9:I9)</f>
        <v>18291</v>
      </c>
    </row>
    <row r="10" spans="1:10" ht="22.5" customHeight="1">
      <c r="A10" s="58">
        <v>4</v>
      </c>
      <c r="B10" s="37" t="s">
        <v>77</v>
      </c>
      <c r="C10" s="537">
        <v>200</v>
      </c>
      <c r="D10" s="237">
        <v>1000</v>
      </c>
      <c r="E10" s="237">
        <v>1000</v>
      </c>
      <c r="F10" s="240">
        <f t="shared" si="0"/>
        <v>900</v>
      </c>
      <c r="G10" s="240">
        <f t="shared" si="1"/>
        <v>120</v>
      </c>
      <c r="H10" s="240">
        <f t="shared" si="2"/>
        <v>1050</v>
      </c>
      <c r="I10" s="240">
        <f t="shared" si="3"/>
        <v>12000</v>
      </c>
      <c r="J10" s="241">
        <f t="shared" si="4"/>
        <v>14070</v>
      </c>
    </row>
    <row r="11" spans="1:10" ht="15.95" customHeight="1">
      <c r="A11" s="58">
        <v>5</v>
      </c>
      <c r="B11" s="37" t="s">
        <v>77</v>
      </c>
      <c r="C11" s="537">
        <v>200</v>
      </c>
      <c r="D11" s="237">
        <v>1200</v>
      </c>
      <c r="E11" s="237">
        <v>1200</v>
      </c>
      <c r="F11" s="240">
        <f t="shared" si="0"/>
        <v>1080</v>
      </c>
      <c r="G11" s="240">
        <f t="shared" si="1"/>
        <v>144</v>
      </c>
      <c r="H11" s="240">
        <f t="shared" si="2"/>
        <v>1260</v>
      </c>
      <c r="I11" s="240">
        <f t="shared" si="3"/>
        <v>14400</v>
      </c>
      <c r="J11" s="241">
        <f t="shared" si="4"/>
        <v>16884</v>
      </c>
    </row>
    <row r="12" spans="1:10" ht="15.95" customHeight="1">
      <c r="A12" s="58">
        <v>6</v>
      </c>
      <c r="B12" s="37" t="s">
        <v>77</v>
      </c>
      <c r="C12" s="537">
        <v>200</v>
      </c>
      <c r="D12" s="237">
        <v>500</v>
      </c>
      <c r="E12" s="237">
        <v>500</v>
      </c>
      <c r="F12" s="240">
        <f t="shared" si="0"/>
        <v>450</v>
      </c>
      <c r="G12" s="240">
        <f t="shared" si="1"/>
        <v>60</v>
      </c>
      <c r="H12" s="240">
        <f t="shared" si="2"/>
        <v>525</v>
      </c>
      <c r="I12" s="240">
        <f t="shared" si="3"/>
        <v>6000</v>
      </c>
      <c r="J12" s="240">
        <f t="shared" si="4"/>
        <v>7035</v>
      </c>
    </row>
    <row r="13" spans="1:10" ht="15.95" customHeight="1">
      <c r="A13" s="58">
        <v>7</v>
      </c>
      <c r="B13" s="37" t="s">
        <v>77</v>
      </c>
      <c r="C13" s="537">
        <v>200</v>
      </c>
      <c r="D13" s="237">
        <v>500</v>
      </c>
      <c r="E13" s="237">
        <v>500</v>
      </c>
      <c r="F13" s="240">
        <f t="shared" si="0"/>
        <v>450</v>
      </c>
      <c r="G13" s="240">
        <f t="shared" si="1"/>
        <v>60</v>
      </c>
      <c r="H13" s="240">
        <f t="shared" si="2"/>
        <v>525</v>
      </c>
      <c r="I13" s="240">
        <f t="shared" si="3"/>
        <v>6000</v>
      </c>
      <c r="J13" s="240">
        <f t="shared" si="4"/>
        <v>7035</v>
      </c>
    </row>
    <row r="14" spans="1:10" ht="15.95" customHeight="1">
      <c r="A14" s="286"/>
      <c r="B14" s="287"/>
      <c r="C14" s="535">
        <f t="shared" ref="C14:J14" si="5">SUM(C7:C13)</f>
        <v>1400</v>
      </c>
      <c r="D14" s="288">
        <f t="shared" si="5"/>
        <v>7500</v>
      </c>
      <c r="E14" s="288">
        <f t="shared" si="5"/>
        <v>7500</v>
      </c>
      <c r="F14" s="288">
        <f t="shared" si="5"/>
        <v>6750</v>
      </c>
      <c r="G14" s="288">
        <f t="shared" si="5"/>
        <v>900</v>
      </c>
      <c r="H14" s="288">
        <f t="shared" si="5"/>
        <v>7875</v>
      </c>
      <c r="I14" s="288">
        <f t="shared" si="5"/>
        <v>90000</v>
      </c>
      <c r="J14" s="288">
        <f t="shared" si="5"/>
        <v>100350</v>
      </c>
    </row>
    <row r="15" spans="1:10" ht="15.95" customHeight="1">
      <c r="A15" s="58"/>
      <c r="B15" s="37"/>
      <c r="C15" s="534"/>
      <c r="D15" s="341"/>
      <c r="E15" s="341"/>
      <c r="F15" s="341"/>
      <c r="G15" s="341"/>
      <c r="H15" s="341"/>
      <c r="I15" s="341"/>
      <c r="J15" s="342"/>
    </row>
    <row r="16" spans="1:10" ht="15.95" customHeight="1">
      <c r="A16" s="58">
        <v>8</v>
      </c>
      <c r="B16" s="37" t="s">
        <v>325</v>
      </c>
      <c r="C16" s="537">
        <v>200</v>
      </c>
      <c r="D16" s="237">
        <v>900</v>
      </c>
      <c r="E16" s="237">
        <v>900</v>
      </c>
      <c r="F16" s="240">
        <f>E16*7.5/100*12</f>
        <v>810</v>
      </c>
      <c r="G16" s="240">
        <f>E16*1/100*12</f>
        <v>108</v>
      </c>
      <c r="H16" s="240">
        <f>E16*8.75/100*12</f>
        <v>945</v>
      </c>
      <c r="I16" s="240">
        <f>E16*12</f>
        <v>10800</v>
      </c>
      <c r="J16" s="241">
        <f>SUM(F16:I16)</f>
        <v>12663</v>
      </c>
    </row>
    <row r="17" spans="1:10" ht="15.95" customHeight="1">
      <c r="A17" s="58">
        <v>9</v>
      </c>
      <c r="B17" s="37" t="s">
        <v>325</v>
      </c>
      <c r="C17" s="537">
        <v>200</v>
      </c>
      <c r="D17" s="237">
        <v>400</v>
      </c>
      <c r="E17" s="237">
        <v>400</v>
      </c>
      <c r="F17" s="240">
        <f t="shared" ref="F17:F32" si="6">E17*7.5/100*12</f>
        <v>360</v>
      </c>
      <c r="G17" s="240">
        <f t="shared" ref="G17:G32" si="7">E17*1/100*12</f>
        <v>48</v>
      </c>
      <c r="H17" s="240">
        <f t="shared" ref="H17:H32" si="8">E17*8.75/100*12</f>
        <v>420</v>
      </c>
      <c r="I17" s="240">
        <f t="shared" ref="I17:I31" si="9">E17*12</f>
        <v>4800</v>
      </c>
      <c r="J17" s="241">
        <f t="shared" ref="J17:J32" si="10">SUM(F17:I17)</f>
        <v>5628</v>
      </c>
    </row>
    <row r="18" spans="1:10" ht="15.95" customHeight="1">
      <c r="A18" s="58">
        <v>10</v>
      </c>
      <c r="B18" s="37" t="s">
        <v>325</v>
      </c>
      <c r="C18" s="537">
        <v>200</v>
      </c>
      <c r="D18" s="237">
        <v>1100</v>
      </c>
      <c r="E18" s="237">
        <v>1100</v>
      </c>
      <c r="F18" s="240">
        <f t="shared" si="6"/>
        <v>990</v>
      </c>
      <c r="G18" s="240">
        <f t="shared" si="7"/>
        <v>132</v>
      </c>
      <c r="H18" s="240">
        <f t="shared" si="8"/>
        <v>1155</v>
      </c>
      <c r="I18" s="240">
        <f>E18*12</f>
        <v>13200</v>
      </c>
      <c r="J18" s="241">
        <f t="shared" si="10"/>
        <v>15477</v>
      </c>
    </row>
    <row r="19" spans="1:10" ht="15.95" customHeight="1">
      <c r="A19" s="58">
        <v>11</v>
      </c>
      <c r="B19" s="37" t="s">
        <v>325</v>
      </c>
      <c r="C19" s="537">
        <v>200</v>
      </c>
      <c r="D19" s="237">
        <v>450</v>
      </c>
      <c r="E19" s="237">
        <v>450</v>
      </c>
      <c r="F19" s="240">
        <f t="shared" si="6"/>
        <v>405</v>
      </c>
      <c r="G19" s="240">
        <f t="shared" si="7"/>
        <v>54</v>
      </c>
      <c r="H19" s="240">
        <f t="shared" si="8"/>
        <v>472.5</v>
      </c>
      <c r="I19" s="240">
        <f>E19*12</f>
        <v>5400</v>
      </c>
      <c r="J19" s="241">
        <f t="shared" si="10"/>
        <v>6331.5</v>
      </c>
    </row>
    <row r="20" spans="1:10" ht="15.95" customHeight="1">
      <c r="A20" s="58">
        <v>12</v>
      </c>
      <c r="B20" s="37" t="s">
        <v>325</v>
      </c>
      <c r="C20" s="537">
        <v>200</v>
      </c>
      <c r="D20" s="237">
        <v>500</v>
      </c>
      <c r="E20" s="237">
        <v>500</v>
      </c>
      <c r="F20" s="240">
        <f t="shared" si="6"/>
        <v>450</v>
      </c>
      <c r="G20" s="240">
        <f t="shared" si="7"/>
        <v>60</v>
      </c>
      <c r="H20" s="240">
        <f t="shared" si="8"/>
        <v>525</v>
      </c>
      <c r="I20" s="240">
        <f t="shared" si="9"/>
        <v>6000</v>
      </c>
      <c r="J20" s="241">
        <f t="shared" si="10"/>
        <v>7035</v>
      </c>
    </row>
    <row r="21" spans="1:10" ht="15.95" customHeight="1">
      <c r="A21" s="58">
        <v>13</v>
      </c>
      <c r="B21" s="37" t="s">
        <v>325</v>
      </c>
      <c r="C21" s="537">
        <v>200</v>
      </c>
      <c r="D21" s="237">
        <v>1100</v>
      </c>
      <c r="E21" s="237">
        <v>1100</v>
      </c>
      <c r="F21" s="240">
        <f>E21*7.5/100*12</f>
        <v>990</v>
      </c>
      <c r="G21" s="240">
        <f>E21*1/100*12</f>
        <v>132</v>
      </c>
      <c r="H21" s="240">
        <f t="shared" si="8"/>
        <v>1155</v>
      </c>
      <c r="I21" s="240">
        <f>E21*12</f>
        <v>13200</v>
      </c>
      <c r="J21" s="241">
        <f t="shared" si="10"/>
        <v>15477</v>
      </c>
    </row>
    <row r="22" spans="1:10" ht="15.95" customHeight="1">
      <c r="A22" s="58">
        <v>14</v>
      </c>
      <c r="B22" s="37" t="s">
        <v>325</v>
      </c>
      <c r="C22" s="537">
        <v>200</v>
      </c>
      <c r="D22" s="237">
        <v>500</v>
      </c>
      <c r="E22" s="237">
        <v>500</v>
      </c>
      <c r="F22" s="240">
        <f>E22*7.5/100*12</f>
        <v>450</v>
      </c>
      <c r="G22" s="240">
        <f>E22*1/100*12</f>
        <v>60</v>
      </c>
      <c r="H22" s="240">
        <f>E22*8.75/100*12</f>
        <v>525</v>
      </c>
      <c r="I22" s="240">
        <f>E22*12</f>
        <v>6000</v>
      </c>
      <c r="J22" s="241">
        <f t="shared" si="10"/>
        <v>7035</v>
      </c>
    </row>
    <row r="23" spans="1:10" ht="15.95" customHeight="1">
      <c r="A23" s="58">
        <v>15</v>
      </c>
      <c r="B23" s="37" t="s">
        <v>325</v>
      </c>
      <c r="C23" s="537">
        <v>200</v>
      </c>
      <c r="D23" s="237">
        <v>900</v>
      </c>
      <c r="E23" s="237">
        <v>900</v>
      </c>
      <c r="F23" s="240">
        <f t="shared" si="6"/>
        <v>810</v>
      </c>
      <c r="G23" s="240">
        <f t="shared" si="7"/>
        <v>108</v>
      </c>
      <c r="H23" s="240">
        <f t="shared" si="8"/>
        <v>945</v>
      </c>
      <c r="I23" s="240">
        <f t="shared" si="9"/>
        <v>10800</v>
      </c>
      <c r="J23" s="241">
        <f t="shared" si="10"/>
        <v>12663</v>
      </c>
    </row>
    <row r="24" spans="1:10" ht="15.95" customHeight="1">
      <c r="A24" s="58">
        <v>16</v>
      </c>
      <c r="B24" s="37" t="s">
        <v>325</v>
      </c>
      <c r="C24" s="537">
        <v>200</v>
      </c>
      <c r="D24" s="237">
        <v>500</v>
      </c>
      <c r="E24" s="237">
        <v>500</v>
      </c>
      <c r="F24" s="240">
        <f t="shared" si="6"/>
        <v>450</v>
      </c>
      <c r="G24" s="240">
        <f t="shared" si="7"/>
        <v>60</v>
      </c>
      <c r="H24" s="240">
        <f t="shared" si="8"/>
        <v>525</v>
      </c>
      <c r="I24" s="240">
        <f t="shared" si="9"/>
        <v>6000</v>
      </c>
      <c r="J24" s="241">
        <f t="shared" si="10"/>
        <v>7035</v>
      </c>
    </row>
    <row r="25" spans="1:10" ht="15.95" customHeight="1">
      <c r="A25" s="58">
        <v>17</v>
      </c>
      <c r="B25" s="37" t="s">
        <v>325</v>
      </c>
      <c r="C25" s="537">
        <v>200</v>
      </c>
      <c r="D25" s="237">
        <v>825</v>
      </c>
      <c r="E25" s="237">
        <v>825</v>
      </c>
      <c r="F25" s="240">
        <f t="shared" si="6"/>
        <v>742.5</v>
      </c>
      <c r="G25" s="240">
        <f t="shared" si="7"/>
        <v>99</v>
      </c>
      <c r="H25" s="240">
        <f t="shared" si="8"/>
        <v>866.25</v>
      </c>
      <c r="I25" s="240">
        <f t="shared" si="9"/>
        <v>9900</v>
      </c>
      <c r="J25" s="241">
        <f t="shared" si="10"/>
        <v>11607.75</v>
      </c>
    </row>
    <row r="26" spans="1:10" ht="15.95" customHeight="1">
      <c r="A26" s="58">
        <v>18</v>
      </c>
      <c r="B26" s="37" t="s">
        <v>325</v>
      </c>
      <c r="C26" s="537">
        <v>200</v>
      </c>
      <c r="D26" s="237">
        <v>600</v>
      </c>
      <c r="E26" s="237">
        <v>600</v>
      </c>
      <c r="F26" s="240">
        <f t="shared" si="6"/>
        <v>540</v>
      </c>
      <c r="G26" s="240">
        <f t="shared" si="7"/>
        <v>72</v>
      </c>
      <c r="H26" s="240">
        <f t="shared" si="8"/>
        <v>630</v>
      </c>
      <c r="I26" s="240">
        <f t="shared" si="9"/>
        <v>7200</v>
      </c>
      <c r="J26" s="241">
        <f t="shared" si="10"/>
        <v>8442</v>
      </c>
    </row>
    <row r="27" spans="1:10" ht="15.95" customHeight="1">
      <c r="A27" s="58">
        <v>19</v>
      </c>
      <c r="B27" s="37" t="s">
        <v>325</v>
      </c>
      <c r="C27" s="537">
        <v>200</v>
      </c>
      <c r="D27" s="237">
        <v>400</v>
      </c>
      <c r="E27" s="237">
        <v>400</v>
      </c>
      <c r="F27" s="240">
        <f t="shared" si="6"/>
        <v>360</v>
      </c>
      <c r="G27" s="240">
        <f t="shared" si="7"/>
        <v>48</v>
      </c>
      <c r="H27" s="240">
        <f t="shared" si="8"/>
        <v>420</v>
      </c>
      <c r="I27" s="240">
        <f t="shared" si="9"/>
        <v>4800</v>
      </c>
      <c r="J27" s="241">
        <f t="shared" si="10"/>
        <v>5628</v>
      </c>
    </row>
    <row r="28" spans="1:10" ht="15.95" customHeight="1">
      <c r="A28" s="58">
        <v>20</v>
      </c>
      <c r="B28" s="37" t="s">
        <v>325</v>
      </c>
      <c r="C28" s="537">
        <v>200</v>
      </c>
      <c r="D28" s="237">
        <v>825</v>
      </c>
      <c r="E28" s="237">
        <v>825</v>
      </c>
      <c r="F28" s="240">
        <f t="shared" si="6"/>
        <v>742.5</v>
      </c>
      <c r="G28" s="240">
        <f t="shared" si="7"/>
        <v>99</v>
      </c>
      <c r="H28" s="240">
        <f t="shared" si="8"/>
        <v>866.25</v>
      </c>
      <c r="I28" s="240">
        <f t="shared" si="9"/>
        <v>9900</v>
      </c>
      <c r="J28" s="241">
        <f t="shared" si="10"/>
        <v>11607.75</v>
      </c>
    </row>
    <row r="29" spans="1:10" ht="15.95" customHeight="1">
      <c r="A29" s="58">
        <v>21</v>
      </c>
      <c r="B29" s="37" t="s">
        <v>325</v>
      </c>
      <c r="C29" s="537">
        <v>200</v>
      </c>
      <c r="D29" s="237">
        <v>687.5</v>
      </c>
      <c r="E29" s="237">
        <v>687.5</v>
      </c>
      <c r="F29" s="240">
        <f t="shared" si="6"/>
        <v>618.75</v>
      </c>
      <c r="G29" s="240">
        <f t="shared" si="7"/>
        <v>82.5</v>
      </c>
      <c r="H29" s="240">
        <f t="shared" si="8"/>
        <v>721.875</v>
      </c>
      <c r="I29" s="240">
        <f t="shared" si="9"/>
        <v>8250</v>
      </c>
      <c r="J29" s="241">
        <f t="shared" si="10"/>
        <v>9673.125</v>
      </c>
    </row>
    <row r="30" spans="1:10" ht="15.95" customHeight="1">
      <c r="A30" s="58">
        <v>22</v>
      </c>
      <c r="B30" s="37" t="s">
        <v>325</v>
      </c>
      <c r="C30" s="537">
        <v>200</v>
      </c>
      <c r="D30" s="237">
        <v>400</v>
      </c>
      <c r="E30" s="237">
        <v>400</v>
      </c>
      <c r="F30" s="240">
        <f t="shared" si="6"/>
        <v>360</v>
      </c>
      <c r="G30" s="240">
        <f t="shared" si="7"/>
        <v>48</v>
      </c>
      <c r="H30" s="240">
        <f t="shared" si="8"/>
        <v>420</v>
      </c>
      <c r="I30" s="240">
        <f t="shared" si="9"/>
        <v>4800</v>
      </c>
      <c r="J30" s="241">
        <f t="shared" si="10"/>
        <v>5628</v>
      </c>
    </row>
    <row r="31" spans="1:10" ht="15.95" customHeight="1">
      <c r="A31" s="58">
        <v>23</v>
      </c>
      <c r="B31" s="37" t="s">
        <v>325</v>
      </c>
      <c r="C31" s="537">
        <v>200</v>
      </c>
      <c r="D31" s="237">
        <v>600</v>
      </c>
      <c r="E31" s="237">
        <v>600</v>
      </c>
      <c r="F31" s="240">
        <f t="shared" si="6"/>
        <v>540</v>
      </c>
      <c r="G31" s="240">
        <f t="shared" si="7"/>
        <v>72</v>
      </c>
      <c r="H31" s="240">
        <f t="shared" si="8"/>
        <v>630</v>
      </c>
      <c r="I31" s="240">
        <f t="shared" si="9"/>
        <v>7200</v>
      </c>
      <c r="J31" s="241">
        <f t="shared" si="10"/>
        <v>8442</v>
      </c>
    </row>
    <row r="32" spans="1:10" ht="15.95" customHeight="1">
      <c r="A32" s="58">
        <v>24</v>
      </c>
      <c r="B32" s="37" t="s">
        <v>325</v>
      </c>
      <c r="C32" s="537">
        <v>200</v>
      </c>
      <c r="D32" s="237">
        <v>400</v>
      </c>
      <c r="E32" s="237">
        <v>400</v>
      </c>
      <c r="F32" s="240">
        <f t="shared" si="6"/>
        <v>360</v>
      </c>
      <c r="G32" s="240">
        <f t="shared" si="7"/>
        <v>48</v>
      </c>
      <c r="H32" s="240">
        <f t="shared" si="8"/>
        <v>420</v>
      </c>
      <c r="I32" s="240">
        <f>E32*12</f>
        <v>4800</v>
      </c>
      <c r="J32" s="241">
        <f t="shared" si="10"/>
        <v>5628</v>
      </c>
    </row>
    <row r="33" spans="1:10" ht="15.95" customHeight="1">
      <c r="A33" s="58"/>
      <c r="B33" s="37"/>
      <c r="C33" s="339">
        <f t="shared" ref="C33:J33" si="11">SUM(C16:C32)</f>
        <v>3400</v>
      </c>
      <c r="D33" s="339">
        <f t="shared" si="11"/>
        <v>11087.5</v>
      </c>
      <c r="E33" s="339">
        <f t="shared" si="11"/>
        <v>11087.5</v>
      </c>
      <c r="F33" s="339">
        <f t="shared" si="11"/>
        <v>9978.75</v>
      </c>
      <c r="G33" s="339">
        <f t="shared" si="11"/>
        <v>1330.5</v>
      </c>
      <c r="H33" s="339">
        <f t="shared" si="11"/>
        <v>11641.875</v>
      </c>
      <c r="I33" s="339">
        <f t="shared" si="11"/>
        <v>133050</v>
      </c>
      <c r="J33" s="340">
        <f t="shared" si="11"/>
        <v>156001.125</v>
      </c>
    </row>
    <row r="34" spans="1:10" ht="15.95" customHeight="1">
      <c r="A34" s="58"/>
      <c r="B34" s="346" t="s">
        <v>648</v>
      </c>
      <c r="C34" s="341">
        <f>C14+C33</f>
        <v>4800</v>
      </c>
      <c r="D34" s="341">
        <f>D14+D33</f>
        <v>18587.5</v>
      </c>
      <c r="E34" s="341">
        <f t="shared" ref="E34:J34" si="12">E14+E33</f>
        <v>18587.5</v>
      </c>
      <c r="F34" s="343">
        <f t="shared" si="12"/>
        <v>16728.75</v>
      </c>
      <c r="G34" s="343">
        <f t="shared" si="12"/>
        <v>2230.5</v>
      </c>
      <c r="H34" s="343">
        <f>H14+H33</f>
        <v>19516.875</v>
      </c>
      <c r="I34" s="343">
        <f>I14+I33</f>
        <v>223050</v>
      </c>
      <c r="J34" s="344">
        <f t="shared" si="12"/>
        <v>256351.125</v>
      </c>
    </row>
    <row r="35" spans="1:10" ht="15.95" customHeight="1">
      <c r="A35" s="58">
        <v>25</v>
      </c>
      <c r="B35" s="37" t="s">
        <v>193</v>
      </c>
      <c r="C35" s="534">
        <v>200</v>
      </c>
      <c r="D35" s="237">
        <v>825</v>
      </c>
      <c r="E35" s="237">
        <v>825</v>
      </c>
      <c r="F35" s="238">
        <f>E35*7.5/100*12</f>
        <v>742.5</v>
      </c>
      <c r="G35" s="240">
        <f>E35*1/100*12</f>
        <v>99</v>
      </c>
      <c r="H35" s="238">
        <f>E35*8.75/100*12</f>
        <v>866.25</v>
      </c>
      <c r="I35" s="238">
        <f>825*12</f>
        <v>9900</v>
      </c>
      <c r="J35" s="239">
        <f t="shared" ref="J35:J64" si="13">SUM(F35:I35)</f>
        <v>11607.75</v>
      </c>
    </row>
    <row r="36" spans="1:10" ht="15.95" customHeight="1">
      <c r="A36" s="58">
        <v>26</v>
      </c>
      <c r="B36" s="37" t="s">
        <v>193</v>
      </c>
      <c r="C36" s="534">
        <v>200</v>
      </c>
      <c r="D36" s="237">
        <v>400</v>
      </c>
      <c r="E36" s="237">
        <v>400</v>
      </c>
      <c r="F36" s="238">
        <f t="shared" ref="F36:F77" si="14">E36*7.5/100*12</f>
        <v>360</v>
      </c>
      <c r="G36" s="240">
        <f t="shared" ref="G36:G77" si="15">E36*1/100*12</f>
        <v>48</v>
      </c>
      <c r="H36" s="238">
        <f t="shared" ref="H36:H76" si="16">E36*8.75/100*12</f>
        <v>420</v>
      </c>
      <c r="I36" s="238">
        <f>400*12</f>
        <v>4800</v>
      </c>
      <c r="J36" s="241">
        <f t="shared" si="13"/>
        <v>5628</v>
      </c>
    </row>
    <row r="37" spans="1:10" ht="15.95" customHeight="1">
      <c r="A37" s="58">
        <v>27</v>
      </c>
      <c r="B37" s="37" t="s">
        <v>193</v>
      </c>
      <c r="C37" s="534">
        <v>200</v>
      </c>
      <c r="D37" s="237">
        <v>400</v>
      </c>
      <c r="E37" s="237">
        <v>400</v>
      </c>
      <c r="F37" s="238">
        <f t="shared" si="14"/>
        <v>360</v>
      </c>
      <c r="G37" s="240">
        <f t="shared" si="15"/>
        <v>48</v>
      </c>
      <c r="H37" s="238">
        <f>E37*8.75/100*12</f>
        <v>420</v>
      </c>
      <c r="I37" s="238">
        <f>400*12</f>
        <v>4800</v>
      </c>
      <c r="J37" s="241">
        <f t="shared" si="13"/>
        <v>5628</v>
      </c>
    </row>
    <row r="38" spans="1:10" ht="15.95" customHeight="1">
      <c r="A38" s="58">
        <v>28</v>
      </c>
      <c r="B38" s="37" t="s">
        <v>193</v>
      </c>
      <c r="C38" s="534">
        <v>200</v>
      </c>
      <c r="D38" s="237">
        <v>400</v>
      </c>
      <c r="E38" s="237">
        <v>400</v>
      </c>
      <c r="F38" s="238">
        <f t="shared" si="14"/>
        <v>360</v>
      </c>
      <c r="G38" s="240">
        <f t="shared" si="15"/>
        <v>48</v>
      </c>
      <c r="H38" s="238">
        <f t="shared" si="16"/>
        <v>420</v>
      </c>
      <c r="I38" s="238">
        <f>400*12</f>
        <v>4800</v>
      </c>
      <c r="J38" s="241">
        <f t="shared" si="13"/>
        <v>5628</v>
      </c>
    </row>
    <row r="39" spans="1:10" ht="15.95" customHeight="1">
      <c r="A39" s="58">
        <v>29</v>
      </c>
      <c r="B39" s="37" t="s">
        <v>193</v>
      </c>
      <c r="C39" s="534">
        <v>200</v>
      </c>
      <c r="D39" s="237">
        <v>400</v>
      </c>
      <c r="E39" s="237">
        <v>400</v>
      </c>
      <c r="F39" s="238">
        <f t="shared" si="14"/>
        <v>360</v>
      </c>
      <c r="G39" s="240">
        <f t="shared" si="15"/>
        <v>48</v>
      </c>
      <c r="H39" s="238">
        <f t="shared" si="16"/>
        <v>420</v>
      </c>
      <c r="I39" s="238">
        <f>400*12</f>
        <v>4800</v>
      </c>
      <c r="J39" s="241">
        <f>SUM(F39:I39)</f>
        <v>5628</v>
      </c>
    </row>
    <row r="40" spans="1:10" ht="15.95" customHeight="1">
      <c r="A40" s="58">
        <v>30</v>
      </c>
      <c r="B40" s="37" t="s">
        <v>193</v>
      </c>
      <c r="C40" s="534">
        <v>200</v>
      </c>
      <c r="D40" s="237">
        <v>400</v>
      </c>
      <c r="E40" s="237">
        <v>400</v>
      </c>
      <c r="F40" s="238">
        <f t="shared" si="14"/>
        <v>360</v>
      </c>
      <c r="G40" s="240">
        <f t="shared" si="15"/>
        <v>48</v>
      </c>
      <c r="H40" s="238">
        <f t="shared" si="16"/>
        <v>420</v>
      </c>
      <c r="I40" s="238">
        <f>400*12</f>
        <v>4800</v>
      </c>
      <c r="J40" s="241">
        <f t="shared" si="13"/>
        <v>5628</v>
      </c>
    </row>
    <row r="41" spans="1:10" ht="15.95" customHeight="1">
      <c r="A41" s="58">
        <v>31</v>
      </c>
      <c r="B41" s="37" t="s">
        <v>193</v>
      </c>
      <c r="C41" s="534">
        <v>200</v>
      </c>
      <c r="D41" s="237">
        <v>700</v>
      </c>
      <c r="E41" s="237">
        <v>700</v>
      </c>
      <c r="F41" s="238">
        <f t="shared" si="14"/>
        <v>630</v>
      </c>
      <c r="G41" s="240">
        <f t="shared" si="15"/>
        <v>84</v>
      </c>
      <c r="H41" s="238">
        <f t="shared" si="16"/>
        <v>735</v>
      </c>
      <c r="I41" s="238">
        <f>700*12</f>
        <v>8400</v>
      </c>
      <c r="J41" s="241">
        <f t="shared" si="13"/>
        <v>9849</v>
      </c>
    </row>
    <row r="42" spans="1:10" ht="15.95" customHeight="1">
      <c r="A42" s="58">
        <v>32</v>
      </c>
      <c r="B42" s="37" t="s">
        <v>193</v>
      </c>
      <c r="C42" s="534">
        <v>200</v>
      </c>
      <c r="D42" s="237">
        <v>700</v>
      </c>
      <c r="E42" s="237">
        <v>700</v>
      </c>
      <c r="F42" s="238">
        <f t="shared" si="14"/>
        <v>630</v>
      </c>
      <c r="G42" s="240">
        <f t="shared" si="15"/>
        <v>84</v>
      </c>
      <c r="H42" s="238">
        <f t="shared" si="16"/>
        <v>735</v>
      </c>
      <c r="I42" s="238">
        <f>700*12</f>
        <v>8400</v>
      </c>
      <c r="J42" s="241">
        <f t="shared" si="13"/>
        <v>9849</v>
      </c>
    </row>
    <row r="43" spans="1:10" ht="15.95" customHeight="1">
      <c r="A43" s="58">
        <v>33</v>
      </c>
      <c r="B43" s="37" t="s">
        <v>193</v>
      </c>
      <c r="C43" s="534">
        <v>200</v>
      </c>
      <c r="D43" s="237">
        <v>500</v>
      </c>
      <c r="E43" s="237">
        <v>500</v>
      </c>
      <c r="F43" s="238">
        <f t="shared" si="14"/>
        <v>450</v>
      </c>
      <c r="G43" s="240">
        <f t="shared" si="15"/>
        <v>60</v>
      </c>
      <c r="H43" s="238">
        <f t="shared" si="16"/>
        <v>525</v>
      </c>
      <c r="I43" s="238">
        <f>500*12</f>
        <v>6000</v>
      </c>
      <c r="J43" s="239">
        <f t="shared" si="13"/>
        <v>7035</v>
      </c>
    </row>
    <row r="44" spans="1:10" ht="15.95" customHeight="1">
      <c r="A44" s="58">
        <v>34</v>
      </c>
      <c r="B44" s="37" t="s">
        <v>193</v>
      </c>
      <c r="C44" s="534">
        <v>200</v>
      </c>
      <c r="D44" s="237">
        <v>550</v>
      </c>
      <c r="E44" s="237">
        <v>550</v>
      </c>
      <c r="F44" s="238">
        <f t="shared" si="14"/>
        <v>495</v>
      </c>
      <c r="G44" s="240">
        <f t="shared" si="15"/>
        <v>66</v>
      </c>
      <c r="H44" s="238">
        <f t="shared" si="16"/>
        <v>577.5</v>
      </c>
      <c r="I44" s="238">
        <f>550*12</f>
        <v>6600</v>
      </c>
      <c r="J44" s="241">
        <f t="shared" si="13"/>
        <v>7738.5</v>
      </c>
    </row>
    <row r="45" spans="1:10" ht="15.95" customHeight="1">
      <c r="A45" s="58">
        <v>35</v>
      </c>
      <c r="B45" s="37" t="s">
        <v>193</v>
      </c>
      <c r="C45" s="534">
        <v>200</v>
      </c>
      <c r="D45" s="237">
        <v>500</v>
      </c>
      <c r="E45" s="237">
        <v>500</v>
      </c>
      <c r="F45" s="238">
        <f t="shared" si="14"/>
        <v>450</v>
      </c>
      <c r="G45" s="240">
        <f t="shared" si="15"/>
        <v>60</v>
      </c>
      <c r="H45" s="238">
        <f t="shared" si="16"/>
        <v>525</v>
      </c>
      <c r="I45" s="238">
        <f>500*12</f>
        <v>6000</v>
      </c>
      <c r="J45" s="239">
        <f t="shared" si="13"/>
        <v>7035</v>
      </c>
    </row>
    <row r="46" spans="1:10" ht="15.95" customHeight="1">
      <c r="A46" s="58">
        <v>36</v>
      </c>
      <c r="B46" s="37" t="s">
        <v>193</v>
      </c>
      <c r="C46" s="534">
        <v>200</v>
      </c>
      <c r="D46" s="237">
        <v>1100</v>
      </c>
      <c r="E46" s="237">
        <v>1100</v>
      </c>
      <c r="F46" s="238">
        <f t="shared" si="14"/>
        <v>990</v>
      </c>
      <c r="G46" s="240">
        <f t="shared" si="15"/>
        <v>132</v>
      </c>
      <c r="H46" s="238">
        <f t="shared" si="16"/>
        <v>1155</v>
      </c>
      <c r="I46" s="238">
        <f>1100*12</f>
        <v>13200</v>
      </c>
      <c r="J46" s="241">
        <f t="shared" si="13"/>
        <v>15477</v>
      </c>
    </row>
    <row r="47" spans="1:10" ht="15.95" customHeight="1">
      <c r="A47" s="58">
        <v>37</v>
      </c>
      <c r="B47" s="37" t="s">
        <v>193</v>
      </c>
      <c r="C47" s="534">
        <v>200</v>
      </c>
      <c r="D47" s="237">
        <v>600</v>
      </c>
      <c r="E47" s="237">
        <v>600</v>
      </c>
      <c r="F47" s="238">
        <f t="shared" si="14"/>
        <v>540</v>
      </c>
      <c r="G47" s="240">
        <f t="shared" si="15"/>
        <v>72</v>
      </c>
      <c r="H47" s="238">
        <f t="shared" si="16"/>
        <v>630</v>
      </c>
      <c r="I47" s="238">
        <f>E47*12</f>
        <v>7200</v>
      </c>
      <c r="J47" s="241">
        <f t="shared" si="13"/>
        <v>8442</v>
      </c>
    </row>
    <row r="48" spans="1:10" ht="15.95" customHeight="1">
      <c r="A48" s="58">
        <v>38</v>
      </c>
      <c r="B48" s="37" t="s">
        <v>193</v>
      </c>
      <c r="C48" s="534">
        <v>200</v>
      </c>
      <c r="D48" s="237">
        <v>500</v>
      </c>
      <c r="E48" s="237">
        <v>500</v>
      </c>
      <c r="F48" s="238">
        <f t="shared" si="14"/>
        <v>450</v>
      </c>
      <c r="G48" s="240">
        <f t="shared" si="15"/>
        <v>60</v>
      </c>
      <c r="H48" s="238">
        <f t="shared" si="16"/>
        <v>525</v>
      </c>
      <c r="I48" s="238">
        <f>E48*12</f>
        <v>6000</v>
      </c>
      <c r="J48" s="241">
        <f t="shared" si="13"/>
        <v>7035</v>
      </c>
    </row>
    <row r="49" spans="1:10" ht="15.95" customHeight="1">
      <c r="A49" s="58">
        <v>39</v>
      </c>
      <c r="B49" s="37" t="s">
        <v>193</v>
      </c>
      <c r="C49" s="534">
        <v>200</v>
      </c>
      <c r="D49" s="237">
        <v>600</v>
      </c>
      <c r="E49" s="237">
        <v>600</v>
      </c>
      <c r="F49" s="238">
        <f t="shared" si="14"/>
        <v>540</v>
      </c>
      <c r="G49" s="240">
        <f t="shared" si="15"/>
        <v>72</v>
      </c>
      <c r="H49" s="238">
        <f t="shared" si="16"/>
        <v>630</v>
      </c>
      <c r="I49" s="238">
        <f t="shared" ref="I49:I77" si="17">E49*12</f>
        <v>7200</v>
      </c>
      <c r="J49" s="241">
        <f t="shared" si="13"/>
        <v>8442</v>
      </c>
    </row>
    <row r="50" spans="1:10" ht="15.95" customHeight="1">
      <c r="A50" s="58">
        <v>40</v>
      </c>
      <c r="B50" s="37" t="s">
        <v>193</v>
      </c>
      <c r="C50" s="534">
        <v>200</v>
      </c>
      <c r="D50" s="237">
        <v>500</v>
      </c>
      <c r="E50" s="237">
        <v>500</v>
      </c>
      <c r="F50" s="238">
        <f t="shared" si="14"/>
        <v>450</v>
      </c>
      <c r="G50" s="240">
        <f t="shared" si="15"/>
        <v>60</v>
      </c>
      <c r="H50" s="238">
        <f t="shared" si="16"/>
        <v>525</v>
      </c>
      <c r="I50" s="238">
        <f t="shared" si="17"/>
        <v>6000</v>
      </c>
      <c r="J50" s="239">
        <f t="shared" si="13"/>
        <v>7035</v>
      </c>
    </row>
    <row r="51" spans="1:10" ht="15.95" customHeight="1">
      <c r="A51" s="58">
        <v>41</v>
      </c>
      <c r="B51" s="37" t="s">
        <v>193</v>
      </c>
      <c r="C51" s="534">
        <v>200</v>
      </c>
      <c r="D51" s="237">
        <v>500</v>
      </c>
      <c r="E51" s="237">
        <v>500</v>
      </c>
      <c r="F51" s="238">
        <f t="shared" si="14"/>
        <v>450</v>
      </c>
      <c r="G51" s="240">
        <f t="shared" si="15"/>
        <v>60</v>
      </c>
      <c r="H51" s="238">
        <f t="shared" si="16"/>
        <v>525</v>
      </c>
      <c r="I51" s="238">
        <f>E51*12</f>
        <v>6000</v>
      </c>
      <c r="J51" s="241">
        <f t="shared" si="13"/>
        <v>7035</v>
      </c>
    </row>
    <row r="52" spans="1:10" ht="15.95" customHeight="1">
      <c r="A52" s="58">
        <v>42</v>
      </c>
      <c r="B52" s="37" t="s">
        <v>193</v>
      </c>
      <c r="C52" s="534">
        <v>200</v>
      </c>
      <c r="D52" s="237">
        <v>400</v>
      </c>
      <c r="E52" s="237">
        <v>400</v>
      </c>
      <c r="F52" s="238">
        <f t="shared" si="14"/>
        <v>360</v>
      </c>
      <c r="G52" s="240">
        <f t="shared" si="15"/>
        <v>48</v>
      </c>
      <c r="H52" s="238">
        <f t="shared" si="16"/>
        <v>420</v>
      </c>
      <c r="I52" s="238">
        <f t="shared" si="17"/>
        <v>4800</v>
      </c>
      <c r="J52" s="241">
        <f t="shared" si="13"/>
        <v>5628</v>
      </c>
    </row>
    <row r="53" spans="1:10" ht="15.95" customHeight="1">
      <c r="A53" s="58">
        <v>43</v>
      </c>
      <c r="B53" s="37" t="s">
        <v>193</v>
      </c>
      <c r="C53" s="534">
        <v>200</v>
      </c>
      <c r="D53" s="237">
        <v>400</v>
      </c>
      <c r="E53" s="237">
        <v>400</v>
      </c>
      <c r="F53" s="238">
        <f t="shared" si="14"/>
        <v>360</v>
      </c>
      <c r="G53" s="240">
        <f t="shared" si="15"/>
        <v>48</v>
      </c>
      <c r="H53" s="238">
        <f t="shared" si="16"/>
        <v>420</v>
      </c>
      <c r="I53" s="238">
        <f t="shared" si="17"/>
        <v>4800</v>
      </c>
      <c r="J53" s="241">
        <f t="shared" si="13"/>
        <v>5628</v>
      </c>
    </row>
    <row r="54" spans="1:10" ht="15.95" customHeight="1">
      <c r="A54" s="58">
        <v>44</v>
      </c>
      <c r="B54" s="37" t="s">
        <v>193</v>
      </c>
      <c r="C54" s="534">
        <v>200</v>
      </c>
      <c r="D54" s="237">
        <v>400</v>
      </c>
      <c r="E54" s="237">
        <v>400</v>
      </c>
      <c r="F54" s="238">
        <f t="shared" si="14"/>
        <v>360</v>
      </c>
      <c r="G54" s="240">
        <f t="shared" si="15"/>
        <v>48</v>
      </c>
      <c r="H54" s="238">
        <f t="shared" si="16"/>
        <v>420</v>
      </c>
      <c r="I54" s="238">
        <f t="shared" si="17"/>
        <v>4800</v>
      </c>
      <c r="J54" s="239">
        <f t="shared" si="13"/>
        <v>5628</v>
      </c>
    </row>
    <row r="55" spans="1:10" ht="15.95" customHeight="1">
      <c r="A55" s="58">
        <v>45</v>
      </c>
      <c r="B55" s="37" t="s">
        <v>193</v>
      </c>
      <c r="C55" s="534">
        <v>200</v>
      </c>
      <c r="D55" s="237">
        <v>400</v>
      </c>
      <c r="E55" s="237">
        <v>400</v>
      </c>
      <c r="F55" s="238">
        <f t="shared" si="14"/>
        <v>360</v>
      </c>
      <c r="G55" s="240">
        <f t="shared" si="15"/>
        <v>48</v>
      </c>
      <c r="H55" s="238">
        <f t="shared" si="16"/>
        <v>420</v>
      </c>
      <c r="I55" s="238">
        <f t="shared" si="17"/>
        <v>4800</v>
      </c>
      <c r="J55" s="241">
        <f t="shared" si="13"/>
        <v>5628</v>
      </c>
    </row>
    <row r="56" spans="1:10" ht="15.95" customHeight="1">
      <c r="A56" s="58">
        <v>46</v>
      </c>
      <c r="B56" s="37" t="s">
        <v>193</v>
      </c>
      <c r="C56" s="534">
        <v>200</v>
      </c>
      <c r="D56" s="237">
        <v>400</v>
      </c>
      <c r="E56" s="237">
        <v>400</v>
      </c>
      <c r="F56" s="238">
        <f t="shared" si="14"/>
        <v>360</v>
      </c>
      <c r="G56" s="240">
        <f t="shared" si="15"/>
        <v>48</v>
      </c>
      <c r="H56" s="238">
        <f t="shared" si="16"/>
        <v>420</v>
      </c>
      <c r="I56" s="238">
        <f t="shared" si="17"/>
        <v>4800</v>
      </c>
      <c r="J56" s="241">
        <f t="shared" si="13"/>
        <v>5628</v>
      </c>
    </row>
    <row r="57" spans="1:10" ht="15.95" customHeight="1">
      <c r="A57" s="58">
        <v>47</v>
      </c>
      <c r="B57" s="37" t="s">
        <v>193</v>
      </c>
      <c r="C57" s="534">
        <v>200</v>
      </c>
      <c r="D57" s="237">
        <v>400</v>
      </c>
      <c r="E57" s="237">
        <v>400</v>
      </c>
      <c r="F57" s="238">
        <f t="shared" si="14"/>
        <v>360</v>
      </c>
      <c r="G57" s="240">
        <f t="shared" si="15"/>
        <v>48</v>
      </c>
      <c r="H57" s="238">
        <f t="shared" si="16"/>
        <v>420</v>
      </c>
      <c r="I57" s="238">
        <f t="shared" si="17"/>
        <v>4800</v>
      </c>
      <c r="J57" s="239">
        <f t="shared" si="13"/>
        <v>5628</v>
      </c>
    </row>
    <row r="58" spans="1:10" ht="15.95" customHeight="1">
      <c r="A58" s="58">
        <v>48</v>
      </c>
      <c r="B58" s="37" t="s">
        <v>193</v>
      </c>
      <c r="C58" s="534">
        <v>200</v>
      </c>
      <c r="D58" s="237">
        <v>700</v>
      </c>
      <c r="E58" s="237">
        <v>700</v>
      </c>
      <c r="F58" s="238">
        <f t="shared" si="14"/>
        <v>630</v>
      </c>
      <c r="G58" s="240">
        <f t="shared" si="15"/>
        <v>84</v>
      </c>
      <c r="H58" s="238">
        <f t="shared" si="16"/>
        <v>735</v>
      </c>
      <c r="I58" s="238">
        <f t="shared" si="17"/>
        <v>8400</v>
      </c>
      <c r="J58" s="241">
        <f t="shared" si="13"/>
        <v>9849</v>
      </c>
    </row>
    <row r="59" spans="1:10" ht="15.95" customHeight="1">
      <c r="A59" s="58">
        <v>49</v>
      </c>
      <c r="B59" s="37" t="s">
        <v>193</v>
      </c>
      <c r="C59" s="534">
        <v>200</v>
      </c>
      <c r="D59" s="237">
        <v>600</v>
      </c>
      <c r="E59" s="237">
        <v>600</v>
      </c>
      <c r="F59" s="238">
        <f t="shared" si="14"/>
        <v>540</v>
      </c>
      <c r="G59" s="240">
        <f t="shared" si="15"/>
        <v>72</v>
      </c>
      <c r="H59" s="238">
        <f t="shared" si="16"/>
        <v>630</v>
      </c>
      <c r="I59" s="238">
        <f t="shared" si="17"/>
        <v>7200</v>
      </c>
      <c r="J59" s="241">
        <f t="shared" si="13"/>
        <v>8442</v>
      </c>
    </row>
    <row r="60" spans="1:10" ht="15.95" customHeight="1">
      <c r="A60" s="58">
        <v>50</v>
      </c>
      <c r="B60" s="37" t="s">
        <v>193</v>
      </c>
      <c r="C60" s="534">
        <v>200</v>
      </c>
      <c r="D60" s="237">
        <v>400</v>
      </c>
      <c r="E60" s="237">
        <v>400</v>
      </c>
      <c r="F60" s="238">
        <f t="shared" si="14"/>
        <v>360</v>
      </c>
      <c r="G60" s="240">
        <f t="shared" si="15"/>
        <v>48</v>
      </c>
      <c r="H60" s="238">
        <f t="shared" si="16"/>
        <v>420</v>
      </c>
      <c r="I60" s="238">
        <f t="shared" si="17"/>
        <v>4800</v>
      </c>
      <c r="J60" s="241">
        <f t="shared" si="13"/>
        <v>5628</v>
      </c>
    </row>
    <row r="61" spans="1:10" ht="15.95" customHeight="1">
      <c r="A61" s="58">
        <v>51</v>
      </c>
      <c r="B61" s="37" t="s">
        <v>193</v>
      </c>
      <c r="C61" s="534">
        <v>200</v>
      </c>
      <c r="D61" s="237">
        <v>400</v>
      </c>
      <c r="E61" s="237">
        <v>400</v>
      </c>
      <c r="F61" s="238">
        <f t="shared" si="14"/>
        <v>360</v>
      </c>
      <c r="G61" s="240">
        <f t="shared" si="15"/>
        <v>48</v>
      </c>
      <c r="H61" s="238">
        <f t="shared" si="16"/>
        <v>420</v>
      </c>
      <c r="I61" s="238">
        <f t="shared" si="17"/>
        <v>4800</v>
      </c>
      <c r="J61" s="241">
        <f t="shared" si="13"/>
        <v>5628</v>
      </c>
    </row>
    <row r="62" spans="1:10" ht="15.95" customHeight="1">
      <c r="A62" s="58">
        <v>52</v>
      </c>
      <c r="B62" s="37" t="s">
        <v>193</v>
      </c>
      <c r="C62" s="534">
        <v>200</v>
      </c>
      <c r="D62" s="237">
        <v>400</v>
      </c>
      <c r="E62" s="237">
        <v>400</v>
      </c>
      <c r="F62" s="238">
        <f t="shared" si="14"/>
        <v>360</v>
      </c>
      <c r="G62" s="240">
        <f t="shared" si="15"/>
        <v>48</v>
      </c>
      <c r="H62" s="238">
        <f t="shared" si="16"/>
        <v>420</v>
      </c>
      <c r="I62" s="238">
        <f t="shared" si="17"/>
        <v>4800</v>
      </c>
      <c r="J62" s="241">
        <f t="shared" si="13"/>
        <v>5628</v>
      </c>
    </row>
    <row r="63" spans="1:10" ht="15.95" customHeight="1">
      <c r="A63" s="58">
        <v>53</v>
      </c>
      <c r="B63" s="37" t="s">
        <v>193</v>
      </c>
      <c r="C63" s="534">
        <v>200</v>
      </c>
      <c r="D63" s="237">
        <v>500</v>
      </c>
      <c r="E63" s="237">
        <v>500</v>
      </c>
      <c r="F63" s="238">
        <f t="shared" si="14"/>
        <v>450</v>
      </c>
      <c r="G63" s="240">
        <f t="shared" si="15"/>
        <v>60</v>
      </c>
      <c r="H63" s="238">
        <f t="shared" si="16"/>
        <v>525</v>
      </c>
      <c r="I63" s="238">
        <f t="shared" si="17"/>
        <v>6000</v>
      </c>
      <c r="J63" s="241">
        <f t="shared" si="13"/>
        <v>7035</v>
      </c>
    </row>
    <row r="64" spans="1:10" ht="15.95" customHeight="1">
      <c r="A64" s="58">
        <v>54</v>
      </c>
      <c r="B64" s="37" t="s">
        <v>193</v>
      </c>
      <c r="C64" s="534">
        <v>200</v>
      </c>
      <c r="D64" s="237">
        <v>400</v>
      </c>
      <c r="E64" s="237">
        <v>400</v>
      </c>
      <c r="F64" s="238">
        <f t="shared" si="14"/>
        <v>360</v>
      </c>
      <c r="G64" s="240">
        <f t="shared" si="15"/>
        <v>48</v>
      </c>
      <c r="H64" s="238">
        <f t="shared" si="16"/>
        <v>420</v>
      </c>
      <c r="I64" s="238">
        <f t="shared" si="17"/>
        <v>4800</v>
      </c>
      <c r="J64" s="239">
        <f t="shared" si="13"/>
        <v>5628</v>
      </c>
    </row>
    <row r="65" spans="1:12" ht="15.95" customHeight="1">
      <c r="A65" s="58">
        <v>55</v>
      </c>
      <c r="B65" s="37" t="s">
        <v>193</v>
      </c>
      <c r="C65" s="534">
        <v>200</v>
      </c>
      <c r="D65" s="237">
        <v>400</v>
      </c>
      <c r="E65" s="237">
        <v>400</v>
      </c>
      <c r="F65" s="238">
        <f t="shared" si="14"/>
        <v>360</v>
      </c>
      <c r="G65" s="240">
        <f t="shared" si="15"/>
        <v>48</v>
      </c>
      <c r="H65" s="238">
        <f t="shared" si="16"/>
        <v>420</v>
      </c>
      <c r="I65" s="238">
        <f t="shared" si="17"/>
        <v>4800</v>
      </c>
      <c r="J65" s="241">
        <f t="shared" ref="J65:J77" si="18">SUM(F65:I65)</f>
        <v>5628</v>
      </c>
    </row>
    <row r="66" spans="1:12" ht="15.95" customHeight="1">
      <c r="A66" s="58">
        <v>56</v>
      </c>
      <c r="B66" s="37" t="s">
        <v>193</v>
      </c>
      <c r="C66" s="534">
        <v>200</v>
      </c>
      <c r="D66" s="237">
        <v>500</v>
      </c>
      <c r="E66" s="237">
        <v>500</v>
      </c>
      <c r="F66" s="238">
        <f t="shared" si="14"/>
        <v>450</v>
      </c>
      <c r="G66" s="240">
        <f t="shared" si="15"/>
        <v>60</v>
      </c>
      <c r="H66" s="238">
        <f t="shared" si="16"/>
        <v>525</v>
      </c>
      <c r="I66" s="238">
        <f t="shared" si="17"/>
        <v>6000</v>
      </c>
      <c r="J66" s="241">
        <f t="shared" si="18"/>
        <v>7035</v>
      </c>
    </row>
    <row r="67" spans="1:12" ht="15.95" customHeight="1">
      <c r="A67" s="58">
        <v>57</v>
      </c>
      <c r="B67" s="37" t="s">
        <v>193</v>
      </c>
      <c r="C67" s="534">
        <v>200</v>
      </c>
      <c r="D67" s="237">
        <v>500</v>
      </c>
      <c r="E67" s="237">
        <v>500</v>
      </c>
      <c r="F67" s="238">
        <f t="shared" si="14"/>
        <v>450</v>
      </c>
      <c r="G67" s="240">
        <f t="shared" si="15"/>
        <v>60</v>
      </c>
      <c r="H67" s="238">
        <f t="shared" si="16"/>
        <v>525</v>
      </c>
      <c r="I67" s="238">
        <f t="shared" si="17"/>
        <v>6000</v>
      </c>
      <c r="J67" s="241">
        <f t="shared" si="18"/>
        <v>7035</v>
      </c>
    </row>
    <row r="68" spans="1:12" ht="15.95" customHeight="1">
      <c r="A68" s="58">
        <v>58</v>
      </c>
      <c r="B68" s="37" t="s">
        <v>193</v>
      </c>
      <c r="C68" s="534">
        <v>200</v>
      </c>
      <c r="D68" s="237">
        <v>550</v>
      </c>
      <c r="E68" s="237">
        <v>550</v>
      </c>
      <c r="F68" s="238">
        <f t="shared" si="14"/>
        <v>495</v>
      </c>
      <c r="G68" s="240">
        <f t="shared" si="15"/>
        <v>66</v>
      </c>
      <c r="H68" s="238">
        <f t="shared" si="16"/>
        <v>577.5</v>
      </c>
      <c r="I68" s="238">
        <f t="shared" si="17"/>
        <v>6600</v>
      </c>
      <c r="J68" s="241">
        <f t="shared" si="18"/>
        <v>7738.5</v>
      </c>
    </row>
    <row r="69" spans="1:12" ht="15.95" customHeight="1">
      <c r="A69" s="58">
        <v>59</v>
      </c>
      <c r="B69" s="37" t="s">
        <v>193</v>
      </c>
      <c r="C69" s="534">
        <v>200</v>
      </c>
      <c r="D69" s="237">
        <v>500</v>
      </c>
      <c r="E69" s="237">
        <v>500</v>
      </c>
      <c r="F69" s="238">
        <f t="shared" si="14"/>
        <v>450</v>
      </c>
      <c r="G69" s="240">
        <f t="shared" si="15"/>
        <v>60</v>
      </c>
      <c r="H69" s="238">
        <f t="shared" si="16"/>
        <v>525</v>
      </c>
      <c r="I69" s="238">
        <f t="shared" si="17"/>
        <v>6000</v>
      </c>
      <c r="J69" s="241">
        <f t="shared" si="18"/>
        <v>7035</v>
      </c>
    </row>
    <row r="70" spans="1:12" ht="15.95" customHeight="1">
      <c r="A70" s="58">
        <v>60</v>
      </c>
      <c r="B70" s="37" t="s">
        <v>193</v>
      </c>
      <c r="C70" s="534">
        <v>200</v>
      </c>
      <c r="D70" s="237">
        <v>400</v>
      </c>
      <c r="E70" s="237">
        <v>400</v>
      </c>
      <c r="F70" s="238">
        <f t="shared" si="14"/>
        <v>360</v>
      </c>
      <c r="G70" s="240">
        <f t="shared" si="15"/>
        <v>48</v>
      </c>
      <c r="H70" s="238">
        <f t="shared" si="16"/>
        <v>420</v>
      </c>
      <c r="I70" s="238">
        <f t="shared" si="17"/>
        <v>4800</v>
      </c>
      <c r="J70" s="241">
        <f t="shared" si="18"/>
        <v>5628</v>
      </c>
    </row>
    <row r="71" spans="1:12" ht="15.95" customHeight="1">
      <c r="A71" s="58">
        <v>61</v>
      </c>
      <c r="B71" s="37" t="s">
        <v>193</v>
      </c>
      <c r="C71" s="534">
        <v>200</v>
      </c>
      <c r="D71" s="237">
        <v>400</v>
      </c>
      <c r="E71" s="237">
        <v>400</v>
      </c>
      <c r="F71" s="238">
        <f t="shared" si="14"/>
        <v>360</v>
      </c>
      <c r="G71" s="240">
        <f t="shared" si="15"/>
        <v>48</v>
      </c>
      <c r="H71" s="238">
        <f t="shared" si="16"/>
        <v>420</v>
      </c>
      <c r="I71" s="238">
        <f t="shared" si="17"/>
        <v>4800</v>
      </c>
      <c r="J71" s="241">
        <f t="shared" si="18"/>
        <v>5628</v>
      </c>
    </row>
    <row r="72" spans="1:12" ht="15.95" customHeight="1">
      <c r="A72" s="58">
        <v>62</v>
      </c>
      <c r="B72" s="37" t="s">
        <v>193</v>
      </c>
      <c r="C72" s="534">
        <v>200</v>
      </c>
      <c r="D72" s="237">
        <v>400</v>
      </c>
      <c r="E72" s="237">
        <v>400</v>
      </c>
      <c r="F72" s="238">
        <f t="shared" si="14"/>
        <v>360</v>
      </c>
      <c r="G72" s="240">
        <f t="shared" si="15"/>
        <v>48</v>
      </c>
      <c r="H72" s="238">
        <f t="shared" si="16"/>
        <v>420</v>
      </c>
      <c r="I72" s="238">
        <f t="shared" si="17"/>
        <v>4800</v>
      </c>
      <c r="J72" s="241">
        <f t="shared" si="18"/>
        <v>5628</v>
      </c>
    </row>
    <row r="73" spans="1:12" ht="15.95" customHeight="1">
      <c r="A73" s="58">
        <v>63</v>
      </c>
      <c r="B73" s="37" t="s">
        <v>193</v>
      </c>
      <c r="C73" s="534">
        <v>200</v>
      </c>
      <c r="D73" s="237">
        <v>400</v>
      </c>
      <c r="E73" s="237">
        <v>400</v>
      </c>
      <c r="F73" s="238">
        <f t="shared" si="14"/>
        <v>360</v>
      </c>
      <c r="G73" s="240">
        <f t="shared" si="15"/>
        <v>48</v>
      </c>
      <c r="H73" s="238">
        <f t="shared" si="16"/>
        <v>420</v>
      </c>
      <c r="I73" s="238">
        <f t="shared" si="17"/>
        <v>4800</v>
      </c>
      <c r="J73" s="241">
        <f t="shared" si="18"/>
        <v>5628</v>
      </c>
    </row>
    <row r="74" spans="1:12" ht="15.95" customHeight="1">
      <c r="A74" s="58">
        <v>64</v>
      </c>
      <c r="B74" s="37" t="s">
        <v>193</v>
      </c>
      <c r="C74" s="534">
        <v>200</v>
      </c>
      <c r="D74" s="237">
        <v>400</v>
      </c>
      <c r="E74" s="237">
        <v>400</v>
      </c>
      <c r="F74" s="238">
        <f t="shared" si="14"/>
        <v>360</v>
      </c>
      <c r="G74" s="240">
        <f t="shared" si="15"/>
        <v>48</v>
      </c>
      <c r="H74" s="238">
        <f t="shared" si="16"/>
        <v>420</v>
      </c>
      <c r="I74" s="238">
        <f t="shared" si="17"/>
        <v>4800</v>
      </c>
      <c r="J74" s="241">
        <f t="shared" si="18"/>
        <v>5628</v>
      </c>
    </row>
    <row r="75" spans="1:12" ht="15.95" customHeight="1">
      <c r="A75" s="58">
        <v>65</v>
      </c>
      <c r="B75" s="37" t="s">
        <v>193</v>
      </c>
      <c r="C75" s="534">
        <v>200</v>
      </c>
      <c r="D75" s="237">
        <v>400</v>
      </c>
      <c r="E75" s="237">
        <v>400</v>
      </c>
      <c r="F75" s="238">
        <f t="shared" si="14"/>
        <v>360</v>
      </c>
      <c r="G75" s="240">
        <f t="shared" si="15"/>
        <v>48</v>
      </c>
      <c r="H75" s="238">
        <f t="shared" si="16"/>
        <v>420</v>
      </c>
      <c r="I75" s="238">
        <f t="shared" si="17"/>
        <v>4800</v>
      </c>
      <c r="J75" s="241">
        <f t="shared" si="18"/>
        <v>5628</v>
      </c>
      <c r="K75" s="1206"/>
      <c r="L75" s="1207"/>
    </row>
    <row r="76" spans="1:12" ht="15.95" customHeight="1">
      <c r="A76" s="58">
        <v>66</v>
      </c>
      <c r="B76" s="37" t="s">
        <v>193</v>
      </c>
      <c r="C76" s="534">
        <v>200</v>
      </c>
      <c r="D76" s="237">
        <v>400</v>
      </c>
      <c r="E76" s="237">
        <v>400</v>
      </c>
      <c r="F76" s="238">
        <f t="shared" si="14"/>
        <v>360</v>
      </c>
      <c r="G76" s="240">
        <f t="shared" si="15"/>
        <v>48</v>
      </c>
      <c r="H76" s="238">
        <f t="shared" si="16"/>
        <v>420</v>
      </c>
      <c r="I76" s="238">
        <f t="shared" si="17"/>
        <v>4800</v>
      </c>
      <c r="J76" s="241">
        <f t="shared" si="18"/>
        <v>5628</v>
      </c>
      <c r="K76" s="1206"/>
      <c r="L76" s="1207"/>
    </row>
    <row r="77" spans="1:12" s="533" customFormat="1" ht="15.95" customHeight="1">
      <c r="A77" s="58">
        <v>67</v>
      </c>
      <c r="B77" s="37" t="s">
        <v>193</v>
      </c>
      <c r="C77" s="534">
        <v>200</v>
      </c>
      <c r="D77" s="237">
        <v>500</v>
      </c>
      <c r="E77" s="237">
        <v>500</v>
      </c>
      <c r="F77" s="238">
        <f t="shared" si="14"/>
        <v>450</v>
      </c>
      <c r="G77" s="240">
        <f t="shared" si="15"/>
        <v>60</v>
      </c>
      <c r="H77" s="238">
        <f>E77*8.75/100*12</f>
        <v>525</v>
      </c>
      <c r="I77" s="238">
        <f t="shared" si="17"/>
        <v>6000</v>
      </c>
      <c r="J77" s="241">
        <f t="shared" si="18"/>
        <v>7035</v>
      </c>
      <c r="K77" s="1208"/>
      <c r="L77" s="1209"/>
    </row>
    <row r="78" spans="1:12" ht="15.95" customHeight="1">
      <c r="A78" s="58"/>
      <c r="B78" s="37"/>
      <c r="C78" s="534"/>
      <c r="D78" s="237"/>
      <c r="E78" s="237"/>
      <c r="F78" s="238"/>
      <c r="G78" s="240"/>
      <c r="H78" s="238"/>
      <c r="I78" s="238"/>
      <c r="J78" s="241"/>
      <c r="K78" s="1206"/>
      <c r="L78" s="1207"/>
    </row>
    <row r="79" spans="1:12" ht="15.95" customHeight="1" thickBot="1">
      <c r="A79" s="58"/>
      <c r="B79" s="37"/>
      <c r="C79" s="339">
        <f t="shared" ref="C79:J79" si="19">SUM(C35:C78)</f>
        <v>8600</v>
      </c>
      <c r="D79" s="339">
        <f t="shared" si="19"/>
        <v>21125</v>
      </c>
      <c r="E79" s="339">
        <f t="shared" si="19"/>
        <v>21125</v>
      </c>
      <c r="F79" s="339">
        <f t="shared" si="19"/>
        <v>19012.5</v>
      </c>
      <c r="G79" s="339">
        <f t="shared" si="19"/>
        <v>2535</v>
      </c>
      <c r="H79" s="339">
        <f t="shared" si="19"/>
        <v>22181.25</v>
      </c>
      <c r="I79" s="339">
        <f t="shared" si="19"/>
        <v>253500</v>
      </c>
      <c r="J79" s="340">
        <f t="shared" si="19"/>
        <v>297228.75</v>
      </c>
    </row>
    <row r="80" spans="1:12" ht="15.95" customHeight="1" thickBot="1">
      <c r="A80" s="1213"/>
      <c r="B80" s="1214"/>
      <c r="C80" s="345">
        <f t="shared" ref="C80:J80" si="20">C79+C34</f>
        <v>13400</v>
      </c>
      <c r="D80" s="545">
        <f t="shared" si="20"/>
        <v>39712.5</v>
      </c>
      <c r="E80" s="345">
        <f t="shared" si="20"/>
        <v>39712.5</v>
      </c>
      <c r="F80" s="345">
        <f t="shared" si="20"/>
        <v>35741.25</v>
      </c>
      <c r="G80" s="345">
        <f t="shared" si="20"/>
        <v>4765.5</v>
      </c>
      <c r="H80" s="345">
        <f t="shared" si="20"/>
        <v>41698.125</v>
      </c>
      <c r="I80" s="345">
        <f t="shared" si="20"/>
        <v>476550</v>
      </c>
      <c r="J80" s="345">
        <f t="shared" si="20"/>
        <v>553579.875</v>
      </c>
    </row>
    <row r="81" spans="1:10" ht="15">
      <c r="A81" s="127"/>
      <c r="B81" s="127"/>
      <c r="D81" s="127"/>
      <c r="E81" s="542">
        <f>E80*12</f>
        <v>476550</v>
      </c>
      <c r="F81" s="127"/>
      <c r="G81" s="127"/>
      <c r="H81" s="127"/>
      <c r="I81" s="127"/>
      <c r="J81" s="127"/>
    </row>
    <row r="82" spans="1:10">
      <c r="E82" s="543" t="s">
        <v>816</v>
      </c>
      <c r="F82" s="618">
        <v>0.25</v>
      </c>
      <c r="G82" s="618">
        <v>0.25</v>
      </c>
      <c r="H82" s="618">
        <v>0.5</v>
      </c>
    </row>
    <row r="83" spans="1:10">
      <c r="D83" s="546" t="s">
        <v>817</v>
      </c>
      <c r="E83" s="292">
        <f>(E81/12)*4</f>
        <v>158850</v>
      </c>
      <c r="F83" s="565">
        <v>1</v>
      </c>
      <c r="G83" s="565">
        <v>2</v>
      </c>
      <c r="H83" s="565">
        <v>3</v>
      </c>
    </row>
    <row r="84" spans="1:10">
      <c r="D84" s="546" t="s">
        <v>818</v>
      </c>
      <c r="E84" s="292">
        <f>(E81/12)*8</f>
        <v>317700</v>
      </c>
      <c r="F84" s="619">
        <f>E84*F82</f>
        <v>79425</v>
      </c>
      <c r="G84" s="619">
        <f>G82*E84</f>
        <v>79425</v>
      </c>
      <c r="H84" s="617">
        <f>E84*H82</f>
        <v>158850</v>
      </c>
    </row>
    <row r="85" spans="1:10" ht="15.75" thickBot="1">
      <c r="E85" s="564">
        <f>SUM(E83:E84)</f>
        <v>476550</v>
      </c>
    </row>
    <row r="86" spans="1:10" ht="15" customHeight="1" thickBot="1">
      <c r="A86" s="1210" t="s">
        <v>821</v>
      </c>
      <c r="B86" s="1211"/>
      <c r="C86" s="1211"/>
      <c r="D86" s="1211"/>
      <c r="E86" s="1211"/>
      <c r="F86" s="1211"/>
      <c r="G86" s="1211"/>
      <c r="H86" s="1211"/>
      <c r="I86" s="1211"/>
      <c r="J86" s="1212"/>
    </row>
    <row r="87" spans="1:10" ht="15">
      <c r="A87" s="537"/>
      <c r="B87" s="537"/>
      <c r="C87" s="566" t="s">
        <v>820</v>
      </c>
      <c r="D87" s="537"/>
      <c r="E87" s="567"/>
      <c r="F87" s="537"/>
      <c r="G87" s="537"/>
      <c r="H87" s="537"/>
      <c r="I87" s="537"/>
      <c r="J87" s="537"/>
    </row>
    <row r="88" spans="1:10" ht="15.95" customHeight="1">
      <c r="A88" s="234">
        <v>1</v>
      </c>
      <c r="B88" s="120" t="s">
        <v>77</v>
      </c>
      <c r="C88" s="534"/>
      <c r="D88" s="120"/>
      <c r="E88" s="237">
        <v>880</v>
      </c>
      <c r="F88" s="238"/>
      <c r="G88" s="238"/>
      <c r="H88" s="238"/>
      <c r="I88" s="238">
        <f t="shared" ref="I88:I100" si="21">+E88*12</f>
        <v>10560</v>
      </c>
      <c r="J88" s="239">
        <f>SUM(F88:I88)</f>
        <v>10560</v>
      </c>
    </row>
    <row r="89" spans="1:10" ht="15.95" customHeight="1">
      <c r="A89" s="234">
        <v>2</v>
      </c>
      <c r="B89" s="120">
        <v>101</v>
      </c>
      <c r="C89" s="534"/>
      <c r="D89" s="120"/>
      <c r="E89" s="237">
        <v>1200</v>
      </c>
      <c r="F89" s="240">
        <f>E89*7.5/100*12</f>
        <v>1080</v>
      </c>
      <c r="G89" s="240">
        <f>E89*1/100*12</f>
        <v>144</v>
      </c>
      <c r="H89" s="240">
        <f>E89*8.75/100*12</f>
        <v>1260</v>
      </c>
      <c r="I89" s="240">
        <f>+E89*12</f>
        <v>14400</v>
      </c>
      <c r="J89" s="241">
        <f>SUM(F89:I89)</f>
        <v>16884</v>
      </c>
    </row>
    <row r="90" spans="1:10" ht="15.95" customHeight="1">
      <c r="A90" s="234">
        <v>3</v>
      </c>
      <c r="B90" s="120" t="s">
        <v>77</v>
      </c>
      <c r="C90" s="538"/>
      <c r="D90" s="120"/>
      <c r="E90" s="237">
        <v>880</v>
      </c>
      <c r="F90" s="240">
        <f>E90*7.5/100*12</f>
        <v>792</v>
      </c>
      <c r="G90" s="240">
        <f>E90*1/100*12</f>
        <v>105.60000000000001</v>
      </c>
      <c r="H90" s="240">
        <f>E90*8.75/100*12</f>
        <v>924</v>
      </c>
      <c r="I90" s="240">
        <f t="shared" si="21"/>
        <v>10560</v>
      </c>
      <c r="J90" s="241">
        <f>SUM(F90:I90)</f>
        <v>12381.6</v>
      </c>
    </row>
    <row r="91" spans="1:10" ht="15.95" customHeight="1">
      <c r="A91" s="234">
        <v>4</v>
      </c>
      <c r="B91" s="120" t="s">
        <v>77</v>
      </c>
      <c r="C91" s="538"/>
      <c r="D91" s="120"/>
      <c r="E91" s="237">
        <v>880</v>
      </c>
      <c r="F91" s="240"/>
      <c r="G91" s="240"/>
      <c r="H91" s="240"/>
      <c r="I91" s="240">
        <f t="shared" si="21"/>
        <v>10560</v>
      </c>
      <c r="J91" s="241">
        <f>SUM(F91:I91)</f>
        <v>10560</v>
      </c>
    </row>
    <row r="92" spans="1:10" ht="15.95" customHeight="1">
      <c r="A92" s="234">
        <v>5</v>
      </c>
      <c r="B92" s="120" t="s">
        <v>77</v>
      </c>
      <c r="C92" s="538"/>
      <c r="D92" s="120"/>
      <c r="E92" s="237">
        <v>880</v>
      </c>
      <c r="F92" s="240">
        <f>E92*7.5/100*12</f>
        <v>792</v>
      </c>
      <c r="G92" s="240">
        <f t="shared" ref="G92:G97" si="22">E92*1/100*12</f>
        <v>105.60000000000001</v>
      </c>
      <c r="H92" s="240">
        <f>E92*8.75/100*12</f>
        <v>924</v>
      </c>
      <c r="I92" s="240">
        <f t="shared" si="21"/>
        <v>10560</v>
      </c>
      <c r="J92" s="241">
        <f>SUM(F92:I92)</f>
        <v>12381.6</v>
      </c>
    </row>
    <row r="93" spans="1:10" ht="15.95" customHeight="1">
      <c r="A93" s="234">
        <v>6</v>
      </c>
      <c r="B93" s="120" t="s">
        <v>77</v>
      </c>
      <c r="C93" s="538"/>
      <c r="D93" s="120"/>
      <c r="E93" s="237">
        <v>880</v>
      </c>
      <c r="F93" s="240">
        <f t="shared" ref="F93:F100" si="23">E93*7.5/100*12</f>
        <v>792</v>
      </c>
      <c r="G93" s="240">
        <f t="shared" si="22"/>
        <v>105.60000000000001</v>
      </c>
      <c r="H93" s="240">
        <f t="shared" ref="H93:H100" si="24">E93*8.75/100*12</f>
        <v>924</v>
      </c>
      <c r="I93" s="240">
        <f t="shared" si="21"/>
        <v>10560</v>
      </c>
      <c r="J93" s="241">
        <f t="shared" ref="J93:J100" si="25">SUM(F93:I93)</f>
        <v>12381.6</v>
      </c>
    </row>
    <row r="94" spans="1:10" ht="15.95" customHeight="1">
      <c r="A94" s="234">
        <v>7</v>
      </c>
      <c r="B94" s="120" t="s">
        <v>77</v>
      </c>
      <c r="C94" s="538"/>
      <c r="D94" s="120"/>
      <c r="E94" s="237">
        <v>880</v>
      </c>
      <c r="F94" s="240">
        <f t="shared" si="23"/>
        <v>792</v>
      </c>
      <c r="G94" s="240">
        <f t="shared" si="22"/>
        <v>105.60000000000001</v>
      </c>
      <c r="H94" s="240">
        <f t="shared" si="24"/>
        <v>924</v>
      </c>
      <c r="I94" s="240">
        <f t="shared" si="21"/>
        <v>10560</v>
      </c>
      <c r="J94" s="241">
        <f t="shared" si="25"/>
        <v>12381.6</v>
      </c>
    </row>
    <row r="95" spans="1:10" ht="15.95" customHeight="1">
      <c r="A95" s="234">
        <v>8</v>
      </c>
      <c r="B95" s="120" t="s">
        <v>77</v>
      </c>
      <c r="C95" s="538"/>
      <c r="D95" s="120"/>
      <c r="E95" s="237">
        <v>880</v>
      </c>
      <c r="F95" s="240">
        <f t="shared" si="23"/>
        <v>792</v>
      </c>
      <c r="G95" s="240">
        <f t="shared" si="22"/>
        <v>105.60000000000001</v>
      </c>
      <c r="H95" s="240">
        <f t="shared" si="24"/>
        <v>924</v>
      </c>
      <c r="I95" s="240">
        <f t="shared" si="21"/>
        <v>10560</v>
      </c>
      <c r="J95" s="241">
        <f t="shared" si="25"/>
        <v>12381.6</v>
      </c>
    </row>
    <row r="96" spans="1:10" ht="15.95" customHeight="1">
      <c r="A96" s="234">
        <v>9</v>
      </c>
      <c r="B96" s="120" t="s">
        <v>77</v>
      </c>
      <c r="C96" s="853"/>
      <c r="D96" s="120"/>
      <c r="E96" s="237">
        <v>880</v>
      </c>
      <c r="F96" s="240">
        <f t="shared" si="23"/>
        <v>792</v>
      </c>
      <c r="G96" s="240">
        <f t="shared" si="22"/>
        <v>105.60000000000001</v>
      </c>
      <c r="H96" s="240">
        <f t="shared" si="24"/>
        <v>924</v>
      </c>
      <c r="I96" s="240">
        <f t="shared" si="21"/>
        <v>10560</v>
      </c>
      <c r="J96" s="241">
        <f t="shared" si="25"/>
        <v>12381.6</v>
      </c>
    </row>
    <row r="97" spans="1:11" ht="15.95" customHeight="1">
      <c r="A97" s="234">
        <v>10</v>
      </c>
      <c r="B97" s="120" t="s">
        <v>77</v>
      </c>
      <c r="C97" s="853"/>
      <c r="D97" s="120"/>
      <c r="E97" s="237">
        <v>880</v>
      </c>
      <c r="F97" s="240">
        <f t="shared" si="23"/>
        <v>792</v>
      </c>
      <c r="G97" s="240">
        <f t="shared" si="22"/>
        <v>105.60000000000001</v>
      </c>
      <c r="H97" s="240">
        <f t="shared" si="24"/>
        <v>924</v>
      </c>
      <c r="I97" s="240">
        <f t="shared" si="21"/>
        <v>10560</v>
      </c>
      <c r="J97" s="241">
        <f t="shared" si="25"/>
        <v>12381.6</v>
      </c>
      <c r="K97" s="36" t="s">
        <v>1060</v>
      </c>
    </row>
    <row r="98" spans="1:11" ht="15.95" customHeight="1">
      <c r="A98" s="234">
        <v>11</v>
      </c>
      <c r="B98" s="120" t="s">
        <v>77</v>
      </c>
      <c r="C98" s="853"/>
      <c r="D98" s="120"/>
      <c r="E98" s="237">
        <v>880</v>
      </c>
      <c r="F98" s="240"/>
      <c r="G98" s="240"/>
      <c r="H98" s="240"/>
      <c r="I98" s="240">
        <f t="shared" si="21"/>
        <v>10560</v>
      </c>
      <c r="J98" s="241">
        <f>SUM(F98:I98)</f>
        <v>10560</v>
      </c>
    </row>
    <row r="99" spans="1:11" ht="15.95" customHeight="1">
      <c r="A99" s="234">
        <v>12</v>
      </c>
      <c r="B99" s="120" t="s">
        <v>77</v>
      </c>
      <c r="C99" s="853"/>
      <c r="D99" s="120"/>
      <c r="E99" s="237">
        <v>880</v>
      </c>
      <c r="F99" s="240">
        <f t="shared" si="23"/>
        <v>792</v>
      </c>
      <c r="G99" s="240">
        <f>E99*1/100*12</f>
        <v>105.60000000000001</v>
      </c>
      <c r="H99" s="240">
        <f t="shared" si="24"/>
        <v>924</v>
      </c>
      <c r="I99" s="240">
        <f t="shared" si="21"/>
        <v>10560</v>
      </c>
      <c r="J99" s="241">
        <f t="shared" si="25"/>
        <v>12381.6</v>
      </c>
    </row>
    <row r="100" spans="1:11" ht="15.95" customHeight="1" thickBot="1">
      <c r="A100" s="234">
        <v>13</v>
      </c>
      <c r="B100" s="120" t="s">
        <v>77</v>
      </c>
      <c r="C100" s="538"/>
      <c r="D100" s="120"/>
      <c r="E100" s="237">
        <v>880</v>
      </c>
      <c r="F100" s="240">
        <f t="shared" si="23"/>
        <v>792</v>
      </c>
      <c r="G100" s="240">
        <f>E100*1/100*12</f>
        <v>105.60000000000001</v>
      </c>
      <c r="H100" s="240">
        <f t="shared" si="24"/>
        <v>924</v>
      </c>
      <c r="I100" s="240">
        <f t="shared" si="21"/>
        <v>10560</v>
      </c>
      <c r="J100" s="241">
        <f t="shared" si="25"/>
        <v>12381.6</v>
      </c>
    </row>
    <row r="101" spans="1:11" ht="15.95" customHeight="1" thickBot="1">
      <c r="A101" s="235"/>
      <c r="B101" s="236"/>
      <c r="C101" s="347">
        <f>SUM(C88:C100)</f>
        <v>0</v>
      </c>
      <c r="D101" s="787"/>
      <c r="E101" s="347">
        <f>SUM(E88:E100)</f>
        <v>11760</v>
      </c>
      <c r="F101" s="539">
        <f>SUM(F88:F100)</f>
        <v>8208</v>
      </c>
      <c r="G101" s="539">
        <f>SUM(G88:G100)</f>
        <v>1094.4000000000001</v>
      </c>
      <c r="H101" s="539">
        <f>SUM(H88:H100)</f>
        <v>9576</v>
      </c>
      <c r="I101" s="539">
        <f t="shared" ref="I101:J101" si="26">SUM(I88:I100)</f>
        <v>141120</v>
      </c>
      <c r="J101" s="540">
        <f t="shared" si="26"/>
        <v>159998.40000000002</v>
      </c>
    </row>
    <row r="102" spans="1:11" ht="13.5" thickBot="1">
      <c r="C102" s="547">
        <f>E101*12</f>
        <v>141120</v>
      </c>
      <c r="E102" s="541">
        <f>E101+E80</f>
        <v>51472.5</v>
      </c>
      <c r="F102" s="541">
        <f>F101+F80</f>
        <v>43949.25</v>
      </c>
      <c r="G102" s="541">
        <f>G101+G80</f>
        <v>5859.9</v>
      </c>
      <c r="H102" s="541">
        <f>H101+H80</f>
        <v>51274.125</v>
      </c>
      <c r="I102" s="541">
        <f t="shared" ref="I102:J102" si="27">I101+I80</f>
        <v>617670</v>
      </c>
      <c r="J102" s="541">
        <f t="shared" si="27"/>
        <v>713578.27500000002</v>
      </c>
    </row>
    <row r="103" spans="1:11" ht="13.5" thickTop="1">
      <c r="B103" s="546" t="s">
        <v>818</v>
      </c>
      <c r="C103" s="292">
        <f>(C102/12)*8</f>
        <v>94080</v>
      </c>
      <c r="F103" s="547">
        <f>F102+G102</f>
        <v>49809.15</v>
      </c>
      <c r="H103" s="547">
        <f>H102</f>
        <v>51274.125</v>
      </c>
    </row>
    <row r="104" spans="1:11">
      <c r="B104" s="546" t="s">
        <v>819</v>
      </c>
      <c r="C104" s="292">
        <f>(C102/12)*4</f>
        <v>47040</v>
      </c>
      <c r="E104" s="546" t="s">
        <v>819</v>
      </c>
      <c r="F104" s="788">
        <f>(F103/12)*4</f>
        <v>16603.05</v>
      </c>
      <c r="H104" s="788">
        <f>(H103/12)*4</f>
        <v>17091.375</v>
      </c>
    </row>
    <row r="105" spans="1:11" ht="15.75" thickBot="1">
      <c r="C105" s="548">
        <f>SUM(C103:C104)</f>
        <v>141120</v>
      </c>
      <c r="E105" s="546" t="s">
        <v>828</v>
      </c>
      <c r="F105" s="292">
        <f>(F103/12)*8</f>
        <v>33206.1</v>
      </c>
      <c r="G105" s="137"/>
      <c r="H105" s="292">
        <f>(H103/12)*8</f>
        <v>34182.75</v>
      </c>
    </row>
    <row r="106" spans="1:11" ht="16.5" thickTop="1" thickBot="1">
      <c r="F106" s="574">
        <f>SUM(F104:F105)</f>
        <v>49809.149999999994</v>
      </c>
      <c r="G106" s="137"/>
      <c r="H106" s="573">
        <f>SUM(H104:H105)</f>
        <v>51274.125</v>
      </c>
    </row>
    <row r="107" spans="1:11" ht="14.25" thickTop="1" thickBot="1">
      <c r="A107" s="568" t="s">
        <v>823</v>
      </c>
      <c r="B107" s="569"/>
      <c r="C107" s="569" t="s">
        <v>825</v>
      </c>
      <c r="D107" s="569" t="s">
        <v>826</v>
      </c>
    </row>
    <row r="108" spans="1:11">
      <c r="A108" s="537"/>
      <c r="B108" s="537"/>
      <c r="C108" s="566" t="s">
        <v>824</v>
      </c>
      <c r="D108" s="566" t="s">
        <v>824</v>
      </c>
    </row>
    <row r="109" spans="1:11">
      <c r="A109" s="234">
        <v>1</v>
      </c>
      <c r="B109" s="120" t="s">
        <v>77</v>
      </c>
      <c r="C109" s="534">
        <v>400</v>
      </c>
      <c r="D109" s="534">
        <f>C109*12</f>
        <v>4800</v>
      </c>
    </row>
    <row r="110" spans="1:11">
      <c r="A110" s="58">
        <v>2</v>
      </c>
      <c r="B110" s="120" t="s">
        <v>77</v>
      </c>
      <c r="C110" s="538">
        <v>400</v>
      </c>
      <c r="D110" s="534">
        <f>C110*12</f>
        <v>4800</v>
      </c>
      <c r="E110" s="36" t="s">
        <v>828</v>
      </c>
      <c r="F110" s="794">
        <f>+D112/2</f>
        <v>5520</v>
      </c>
    </row>
    <row r="111" spans="1:11">
      <c r="A111" s="58">
        <v>3</v>
      </c>
      <c r="B111" s="120">
        <v>201</v>
      </c>
      <c r="C111" s="538">
        <v>120</v>
      </c>
      <c r="D111" s="534">
        <f>C111*12</f>
        <v>1440</v>
      </c>
      <c r="F111" s="793"/>
    </row>
    <row r="112" spans="1:11" ht="13.5" thickBot="1">
      <c r="B112" s="570"/>
      <c r="C112" s="571">
        <f>SUM(C109:C111)</f>
        <v>920</v>
      </c>
      <c r="D112" s="571">
        <f>SUM(D109:D111)</f>
        <v>11040</v>
      </c>
      <c r="E112" s="36" t="s">
        <v>974</v>
      </c>
      <c r="F112" s="794">
        <f>+D112/2</f>
        <v>5520</v>
      </c>
    </row>
    <row r="113" spans="1:6" ht="14.25" thickTop="1" thickBot="1">
      <c r="F113" s="796">
        <f>+F110+F112</f>
        <v>11040</v>
      </c>
    </row>
    <row r="114" spans="1:6" ht="13.5" thickBot="1">
      <c r="A114" s="568" t="s">
        <v>822</v>
      </c>
      <c r="B114" s="569"/>
      <c r="C114" s="569" t="s">
        <v>825</v>
      </c>
      <c r="D114" s="569" t="s">
        <v>826</v>
      </c>
    </row>
    <row r="115" spans="1:6">
      <c r="A115" s="537"/>
      <c r="B115" s="537"/>
      <c r="C115" s="566" t="s">
        <v>824</v>
      </c>
      <c r="D115" s="566" t="s">
        <v>824</v>
      </c>
    </row>
    <row r="116" spans="1:6">
      <c r="A116" s="234">
        <v>1</v>
      </c>
      <c r="B116" s="120" t="s">
        <v>77</v>
      </c>
      <c r="C116" s="534">
        <v>200</v>
      </c>
      <c r="D116" s="534">
        <f>C116*12</f>
        <v>2400</v>
      </c>
    </row>
    <row r="117" spans="1:6">
      <c r="A117" s="58">
        <v>2</v>
      </c>
      <c r="B117" s="120" t="s">
        <v>77</v>
      </c>
      <c r="C117" s="538">
        <v>300</v>
      </c>
      <c r="D117" s="534">
        <f>C117*12</f>
        <v>3600</v>
      </c>
    </row>
    <row r="118" spans="1:6" ht="13.5" thickBot="1">
      <c r="B118" s="570"/>
      <c r="C118" s="571">
        <f>SUM(C116:C117)</f>
        <v>500</v>
      </c>
      <c r="D118" s="571">
        <f>SUM(D116:D117)</f>
        <v>6000</v>
      </c>
    </row>
    <row r="119" spans="1:6" ht="13.5" thickTop="1"/>
    <row r="120" spans="1:6" ht="13.5" thickBot="1">
      <c r="F120" s="793"/>
    </row>
    <row r="121" spans="1:6" ht="13.5" thickBot="1">
      <c r="A121" s="568" t="s">
        <v>827</v>
      </c>
      <c r="B121" s="569"/>
      <c r="C121" s="569" t="s">
        <v>825</v>
      </c>
      <c r="D121" s="569" t="s">
        <v>826</v>
      </c>
      <c r="E121" s="36" t="s">
        <v>828</v>
      </c>
      <c r="F121" s="793">
        <v>900</v>
      </c>
    </row>
    <row r="122" spans="1:6">
      <c r="A122" s="537"/>
      <c r="B122" s="537"/>
      <c r="C122" s="566" t="s">
        <v>824</v>
      </c>
      <c r="D122" s="566" t="s">
        <v>824</v>
      </c>
      <c r="F122" s="793"/>
    </row>
    <row r="123" spans="1:6">
      <c r="A123" s="234">
        <v>1</v>
      </c>
      <c r="B123" s="120">
        <v>201</v>
      </c>
      <c r="C123" s="534">
        <v>150</v>
      </c>
      <c r="D123" s="534">
        <f>C123*12</f>
        <v>1800</v>
      </c>
      <c r="E123" s="36" t="s">
        <v>974</v>
      </c>
      <c r="F123" s="793">
        <v>900</v>
      </c>
    </row>
    <row r="124" spans="1:6" ht="13.5" thickBot="1">
      <c r="B124" s="570"/>
      <c r="C124" s="571">
        <f>SUM(C123:C123)</f>
        <v>150</v>
      </c>
      <c r="D124" s="571">
        <f>SUM(D123:D123)</f>
        <v>1800</v>
      </c>
      <c r="F124" s="795">
        <f>+F121+F123</f>
        <v>1800</v>
      </c>
    </row>
    <row r="125" spans="1:6" ht="13.5" thickTop="1"/>
  </sheetData>
  <mergeCells count="20">
    <mergeCell ref="K75:L75"/>
    <mergeCell ref="K76:L76"/>
    <mergeCell ref="K77:L77"/>
    <mergeCell ref="K78:L78"/>
    <mergeCell ref="A86:J86"/>
    <mergeCell ref="A80:B80"/>
    <mergeCell ref="A1:J1"/>
    <mergeCell ref="A2:J2"/>
    <mergeCell ref="A3:J3"/>
    <mergeCell ref="A4:A6"/>
    <mergeCell ref="B4:B6"/>
    <mergeCell ref="G5:G6"/>
    <mergeCell ref="F5:F6"/>
    <mergeCell ref="J4:J6"/>
    <mergeCell ref="F4:I4"/>
    <mergeCell ref="H5:H6"/>
    <mergeCell ref="I5:I6"/>
    <mergeCell ref="E4:E6"/>
    <mergeCell ref="C4:C6"/>
    <mergeCell ref="D4:D6"/>
  </mergeCells>
  <phoneticPr fontId="48" type="noConversion"/>
  <pageMargins left="0.9055118110236221" right="0.51181102362204722" top="0.74803149606299213" bottom="0.74803149606299213" header="0.31496062992125984" footer="0.31496062992125984"/>
  <pageSetup paperSize="5" scale="99" fitToHeight="0" orientation="landscape" r:id="rId1"/>
  <rowBreaks count="1" manualBreakCount="1">
    <brk id="55" max="9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53"/>
  <sheetViews>
    <sheetView view="pageBreakPreview" zoomScale="86" zoomScaleNormal="100" zoomScaleSheetLayoutView="86" workbookViewId="0">
      <selection sqref="A1:D1"/>
    </sheetView>
  </sheetViews>
  <sheetFormatPr baseColWidth="10" defaultColWidth="11.42578125" defaultRowHeight="12.75"/>
  <cols>
    <col min="1" max="1" width="4.5703125" style="23" customWidth="1"/>
    <col min="2" max="2" width="4.42578125" style="23" customWidth="1"/>
    <col min="3" max="4" width="4.5703125" style="23" customWidth="1"/>
    <col min="5" max="5" width="6.140625" style="23" customWidth="1"/>
    <col min="6" max="6" width="10.28515625" style="23" customWidth="1"/>
    <col min="7" max="7" width="51.42578125" style="19" customWidth="1"/>
    <col min="8" max="8" width="21.28515625" style="4" customWidth="1"/>
    <col min="9" max="9" width="11.42578125" style="56"/>
    <col min="10" max="10" width="14.7109375" style="142" bestFit="1" customWidth="1"/>
    <col min="11" max="11" width="13.7109375" style="21" bestFit="1" customWidth="1"/>
    <col min="12" max="16384" width="11.42578125" style="21"/>
  </cols>
  <sheetData>
    <row r="1" spans="1:11" ht="20.25">
      <c r="A1" s="1104"/>
      <c r="B1" s="1104"/>
      <c r="C1" s="1104"/>
      <c r="D1" s="1104"/>
      <c r="E1" s="1104"/>
      <c r="F1" s="1104"/>
      <c r="G1" s="1104"/>
      <c r="H1" s="1104"/>
      <c r="I1" s="151"/>
    </row>
    <row r="2" spans="1:11" ht="18">
      <c r="A2" s="1138" t="s">
        <v>327</v>
      </c>
      <c r="B2" s="1138"/>
      <c r="C2" s="1138"/>
      <c r="D2" s="1138"/>
      <c r="E2" s="1138"/>
      <c r="F2" s="1138"/>
      <c r="G2" s="1138"/>
      <c r="H2" s="1138"/>
      <c r="I2" s="1138"/>
    </row>
    <row r="3" spans="1:11" ht="15.75">
      <c r="A3" s="1136" t="s">
        <v>190</v>
      </c>
      <c r="B3" s="1137"/>
      <c r="C3" s="1137"/>
      <c r="D3" s="1137"/>
      <c r="E3" s="1137"/>
      <c r="F3" s="1137"/>
      <c r="G3" s="1137"/>
      <c r="H3" s="1137"/>
      <c r="K3" s="55"/>
    </row>
    <row r="4" spans="1:11" ht="15.75">
      <c r="A4" s="1136" t="s">
        <v>586</v>
      </c>
      <c r="B4" s="1137"/>
      <c r="C4" s="1137"/>
      <c r="D4" s="1137"/>
      <c r="E4" s="1137"/>
      <c r="F4" s="1137"/>
      <c r="G4" s="1137"/>
      <c r="H4" s="1137"/>
      <c r="K4" s="55"/>
    </row>
    <row r="5" spans="1:11" ht="15">
      <c r="A5" s="1134" t="s">
        <v>7</v>
      </c>
      <c r="B5" s="1135"/>
      <c r="C5" s="1135"/>
      <c r="D5" s="1135"/>
      <c r="E5" s="1135"/>
      <c r="F5" s="1135"/>
      <c r="G5" s="1135"/>
      <c r="H5" s="1135"/>
    </row>
    <row r="6" spans="1:11" ht="8.25" customHeight="1">
      <c r="A6" s="1130"/>
      <c r="B6" s="1131"/>
      <c r="C6" s="1131"/>
      <c r="D6" s="1131"/>
      <c r="E6" s="1131"/>
      <c r="F6" s="1131"/>
      <c r="G6" s="1131"/>
      <c r="H6" s="1131"/>
    </row>
    <row r="7" spans="1:11" ht="15.75">
      <c r="A7" s="1173" t="s">
        <v>153</v>
      </c>
      <c r="B7" s="1173"/>
      <c r="C7" s="1173"/>
      <c r="D7" s="1173"/>
      <c r="E7" s="1173"/>
      <c r="F7" s="1173"/>
      <c r="G7" s="1173"/>
      <c r="H7" s="1173"/>
      <c r="K7" s="55"/>
    </row>
    <row r="8" spans="1:11" ht="16.5" thickBot="1">
      <c r="A8" s="1174" t="s">
        <v>614</v>
      </c>
      <c r="B8" s="1174"/>
      <c r="C8" s="1174"/>
      <c r="D8" s="1174"/>
      <c r="E8" s="1174"/>
      <c r="F8" s="1174"/>
      <c r="G8" s="1174"/>
      <c r="H8" s="1174"/>
      <c r="K8" s="55"/>
    </row>
    <row r="9" spans="1:11" ht="15.75" thickBot="1">
      <c r="A9" s="1175" t="s">
        <v>0</v>
      </c>
      <c r="B9" s="1176"/>
      <c r="C9" s="1176"/>
      <c r="D9" s="1176"/>
      <c r="E9" s="1176"/>
      <c r="F9" s="1176"/>
      <c r="G9" s="1144" t="s">
        <v>128</v>
      </c>
      <c r="H9" s="1123" t="s">
        <v>129</v>
      </c>
      <c r="K9" s="55"/>
    </row>
    <row r="10" spans="1:11" ht="200.25" customHeight="1" thickBot="1">
      <c r="A10" s="223" t="s">
        <v>122</v>
      </c>
      <c r="B10" s="224" t="s">
        <v>123</v>
      </c>
      <c r="C10" s="224" t="s">
        <v>103</v>
      </c>
      <c r="D10" s="224" t="s">
        <v>124</v>
      </c>
      <c r="E10" s="225" t="s">
        <v>130</v>
      </c>
      <c r="F10" s="226" t="s">
        <v>88</v>
      </c>
      <c r="G10" s="1145"/>
      <c r="H10" s="1124"/>
      <c r="J10" s="147"/>
    </row>
    <row r="11" spans="1:11" ht="15.75" customHeight="1">
      <c r="A11" s="8">
        <v>3</v>
      </c>
      <c r="B11" s="1" t="s">
        <v>46</v>
      </c>
      <c r="C11" s="10" t="s">
        <v>191</v>
      </c>
      <c r="D11" s="1" t="s">
        <v>45</v>
      </c>
      <c r="E11" s="10" t="s">
        <v>608</v>
      </c>
      <c r="F11" s="189" t="s">
        <v>150</v>
      </c>
      <c r="G11" s="190" t="s">
        <v>132</v>
      </c>
      <c r="H11" s="188"/>
    </row>
    <row r="12" spans="1:11" ht="15.75" customHeight="1">
      <c r="A12" s="8">
        <v>3</v>
      </c>
      <c r="B12" s="1" t="s">
        <v>46</v>
      </c>
      <c r="C12" s="10" t="s">
        <v>191</v>
      </c>
      <c r="D12" s="1" t="s">
        <v>45</v>
      </c>
      <c r="E12" s="10" t="s">
        <v>608</v>
      </c>
      <c r="F12" s="189" t="s">
        <v>615</v>
      </c>
      <c r="G12" s="190" t="s">
        <v>616</v>
      </c>
      <c r="H12" s="188"/>
    </row>
    <row r="13" spans="1:11" ht="15.75" customHeight="1">
      <c r="A13" s="8">
        <v>3</v>
      </c>
      <c r="B13" s="1" t="s">
        <v>46</v>
      </c>
      <c r="C13" s="10" t="s">
        <v>191</v>
      </c>
      <c r="D13" s="1" t="s">
        <v>45</v>
      </c>
      <c r="E13" s="10" t="s">
        <v>608</v>
      </c>
      <c r="F13" s="2">
        <v>54110</v>
      </c>
      <c r="G13" s="6" t="s">
        <v>35</v>
      </c>
      <c r="H13" s="176"/>
    </row>
    <row r="14" spans="1:11" ht="15.75" customHeight="1">
      <c r="A14" s="8">
        <v>3</v>
      </c>
      <c r="B14" s="1" t="s">
        <v>46</v>
      </c>
      <c r="C14" s="10" t="s">
        <v>191</v>
      </c>
      <c r="D14" s="1" t="s">
        <v>45</v>
      </c>
      <c r="E14" s="10" t="s">
        <v>608</v>
      </c>
      <c r="F14" s="2">
        <v>54111</v>
      </c>
      <c r="G14" s="6" t="s">
        <v>41</v>
      </c>
      <c r="H14" s="176"/>
    </row>
    <row r="15" spans="1:11" ht="15.75" customHeight="1">
      <c r="A15" s="8">
        <v>3</v>
      </c>
      <c r="B15" s="1" t="s">
        <v>46</v>
      </c>
      <c r="C15" s="10" t="s">
        <v>191</v>
      </c>
      <c r="D15" s="1" t="s">
        <v>45</v>
      </c>
      <c r="E15" s="10" t="s">
        <v>608</v>
      </c>
      <c r="F15" s="2">
        <v>54112</v>
      </c>
      <c r="G15" s="6" t="s">
        <v>40</v>
      </c>
      <c r="H15" s="176"/>
    </row>
    <row r="16" spans="1:11" ht="15.75" customHeight="1">
      <c r="A16" s="8">
        <v>3</v>
      </c>
      <c r="B16" s="1" t="s">
        <v>46</v>
      </c>
      <c r="C16" s="10" t="s">
        <v>191</v>
      </c>
      <c r="D16" s="1" t="s">
        <v>45</v>
      </c>
      <c r="E16" s="10" t="s">
        <v>608</v>
      </c>
      <c r="F16" s="2">
        <v>54118</v>
      </c>
      <c r="G16" s="6" t="s">
        <v>318</v>
      </c>
      <c r="H16" s="176"/>
    </row>
    <row r="17" spans="1:10" ht="15.75" customHeight="1">
      <c r="A17" s="8">
        <v>3</v>
      </c>
      <c r="B17" s="1" t="s">
        <v>46</v>
      </c>
      <c r="C17" s="10" t="s">
        <v>191</v>
      </c>
      <c r="D17" s="1" t="s">
        <v>45</v>
      </c>
      <c r="E17" s="10" t="s">
        <v>608</v>
      </c>
      <c r="F17" s="2">
        <v>54119</v>
      </c>
      <c r="G17" s="6" t="s">
        <v>78</v>
      </c>
      <c r="H17" s="176"/>
      <c r="J17" s="148"/>
    </row>
    <row r="18" spans="1:10" ht="15.75" customHeight="1">
      <c r="A18" s="8">
        <v>3</v>
      </c>
      <c r="B18" s="1" t="s">
        <v>46</v>
      </c>
      <c r="C18" s="10" t="s">
        <v>191</v>
      </c>
      <c r="D18" s="1" t="s">
        <v>45</v>
      </c>
      <c r="E18" s="10" t="s">
        <v>608</v>
      </c>
      <c r="F18" s="2">
        <v>54199</v>
      </c>
      <c r="G18" s="6" t="s">
        <v>87</v>
      </c>
      <c r="H18" s="176"/>
    </row>
    <row r="19" spans="1:10" ht="15.75" customHeight="1">
      <c r="A19" s="8">
        <v>3</v>
      </c>
      <c r="B19" s="1" t="s">
        <v>46</v>
      </c>
      <c r="C19" s="10" t="s">
        <v>191</v>
      </c>
      <c r="D19" s="1" t="s">
        <v>45</v>
      </c>
      <c r="E19" s="10" t="s">
        <v>608</v>
      </c>
      <c r="F19" s="2">
        <v>54302</v>
      </c>
      <c r="G19" s="6" t="s">
        <v>42</v>
      </c>
      <c r="H19" s="176"/>
    </row>
    <row r="20" spans="1:10" ht="15.75" customHeight="1">
      <c r="A20" s="8">
        <v>3</v>
      </c>
      <c r="B20" s="1" t="s">
        <v>46</v>
      </c>
      <c r="C20" s="10" t="s">
        <v>191</v>
      </c>
      <c r="D20" s="1" t="s">
        <v>45</v>
      </c>
      <c r="E20" s="10" t="s">
        <v>608</v>
      </c>
      <c r="F20" s="2">
        <v>54304</v>
      </c>
      <c r="G20" s="6" t="s">
        <v>75</v>
      </c>
      <c r="H20" s="176"/>
    </row>
    <row r="21" spans="1:10" ht="15.75" customHeight="1">
      <c r="A21" s="8">
        <v>3</v>
      </c>
      <c r="B21" s="1" t="s">
        <v>46</v>
      </c>
      <c r="C21" s="10" t="s">
        <v>191</v>
      </c>
      <c r="D21" s="1" t="s">
        <v>45</v>
      </c>
      <c r="E21" s="10" t="s">
        <v>608</v>
      </c>
      <c r="F21" s="2">
        <v>54316</v>
      </c>
      <c r="G21" s="6" t="s">
        <v>157</v>
      </c>
      <c r="H21" s="176"/>
    </row>
    <row r="22" spans="1:10" ht="15.75" customHeight="1">
      <c r="A22" s="8">
        <v>3</v>
      </c>
      <c r="B22" s="1" t="s">
        <v>46</v>
      </c>
      <c r="C22" s="10" t="s">
        <v>191</v>
      </c>
      <c r="D22" s="1" t="s">
        <v>45</v>
      </c>
      <c r="E22" s="10" t="s">
        <v>608</v>
      </c>
      <c r="F22" s="2">
        <v>54399</v>
      </c>
      <c r="G22" s="6" t="s">
        <v>158</v>
      </c>
      <c r="H22" s="176"/>
    </row>
    <row r="23" spans="1:10" ht="15.75" customHeight="1">
      <c r="A23" s="8">
        <v>3</v>
      </c>
      <c r="B23" s="1" t="s">
        <v>46</v>
      </c>
      <c r="C23" s="10" t="s">
        <v>191</v>
      </c>
      <c r="D23" s="1" t="s">
        <v>45</v>
      </c>
      <c r="E23" s="10" t="s">
        <v>608</v>
      </c>
      <c r="F23" s="2">
        <v>54599</v>
      </c>
      <c r="G23" s="6" t="s">
        <v>160</v>
      </c>
      <c r="H23" s="176"/>
    </row>
    <row r="24" spans="1:10" ht="15.75" customHeight="1">
      <c r="A24" s="8">
        <v>3</v>
      </c>
      <c r="B24" s="1" t="s">
        <v>46</v>
      </c>
      <c r="C24" s="10" t="s">
        <v>191</v>
      </c>
      <c r="D24" s="1" t="s">
        <v>45</v>
      </c>
      <c r="E24" s="10" t="s">
        <v>608</v>
      </c>
      <c r="F24" s="2">
        <v>54603</v>
      </c>
      <c r="G24" s="6" t="s">
        <v>279</v>
      </c>
      <c r="H24" s="176"/>
    </row>
    <row r="25" spans="1:10" ht="15.75" customHeight="1">
      <c r="A25" s="8">
        <v>3</v>
      </c>
      <c r="B25" s="1" t="s">
        <v>46</v>
      </c>
      <c r="C25" s="10" t="s">
        <v>191</v>
      </c>
      <c r="D25" s="1" t="s">
        <v>45</v>
      </c>
      <c r="E25" s="10" t="s">
        <v>608</v>
      </c>
      <c r="F25" s="2">
        <v>54699</v>
      </c>
      <c r="G25" s="6" t="s">
        <v>23</v>
      </c>
      <c r="H25" s="176"/>
    </row>
    <row r="26" spans="1:10" ht="15.75" customHeight="1">
      <c r="A26" s="8">
        <v>3</v>
      </c>
      <c r="B26" s="1" t="s">
        <v>46</v>
      </c>
      <c r="C26" s="10" t="s">
        <v>191</v>
      </c>
      <c r="D26" s="1" t="s">
        <v>45</v>
      </c>
      <c r="E26" s="10" t="s">
        <v>608</v>
      </c>
      <c r="F26" s="2">
        <v>61101</v>
      </c>
      <c r="G26" s="6" t="s">
        <v>148</v>
      </c>
      <c r="H26" s="176"/>
    </row>
    <row r="27" spans="1:10" ht="15.75" customHeight="1">
      <c r="A27" s="8">
        <v>3</v>
      </c>
      <c r="B27" s="1" t="s">
        <v>46</v>
      </c>
      <c r="C27" s="10" t="s">
        <v>191</v>
      </c>
      <c r="D27" s="1" t="s">
        <v>45</v>
      </c>
      <c r="E27" s="10" t="s">
        <v>608</v>
      </c>
      <c r="F27" s="2">
        <v>61102</v>
      </c>
      <c r="G27" s="6" t="s">
        <v>163</v>
      </c>
      <c r="H27" s="176"/>
    </row>
    <row r="28" spans="1:10" ht="15.75" customHeight="1">
      <c r="A28" s="8">
        <v>3</v>
      </c>
      <c r="B28" s="1" t="s">
        <v>46</v>
      </c>
      <c r="C28" s="10" t="s">
        <v>191</v>
      </c>
      <c r="D28" s="1" t="s">
        <v>45</v>
      </c>
      <c r="E28" s="10" t="s">
        <v>608</v>
      </c>
      <c r="F28" s="2">
        <v>61104</v>
      </c>
      <c r="G28" s="6" t="s">
        <v>311</v>
      </c>
      <c r="H28" s="176"/>
    </row>
    <row r="29" spans="1:10" ht="15.75" customHeight="1">
      <c r="A29" s="8">
        <v>3</v>
      </c>
      <c r="B29" s="1" t="s">
        <v>46</v>
      </c>
      <c r="C29" s="10" t="s">
        <v>191</v>
      </c>
      <c r="D29" s="1" t="s">
        <v>45</v>
      </c>
      <c r="E29" s="10" t="s">
        <v>608</v>
      </c>
      <c r="F29" s="2">
        <v>61105</v>
      </c>
      <c r="G29" s="6" t="s">
        <v>491</v>
      </c>
      <c r="H29" s="176"/>
    </row>
    <row r="30" spans="1:10" ht="15.75" customHeight="1">
      <c r="A30" s="8">
        <v>3</v>
      </c>
      <c r="B30" s="1" t="s">
        <v>46</v>
      </c>
      <c r="C30" s="10" t="s">
        <v>191</v>
      </c>
      <c r="D30" s="1" t="s">
        <v>45</v>
      </c>
      <c r="E30" s="10" t="s">
        <v>608</v>
      </c>
      <c r="F30" s="2">
        <v>61109</v>
      </c>
      <c r="G30" s="6" t="s">
        <v>493</v>
      </c>
      <c r="H30" s="176"/>
    </row>
    <row r="31" spans="1:10" ht="15.75" customHeight="1">
      <c r="A31" s="8">
        <v>3</v>
      </c>
      <c r="B31" s="1" t="s">
        <v>46</v>
      </c>
      <c r="C31" s="10" t="s">
        <v>191</v>
      </c>
      <c r="D31" s="1" t="s">
        <v>45</v>
      </c>
      <c r="E31" s="10" t="s">
        <v>608</v>
      </c>
      <c r="F31" s="2">
        <v>61199</v>
      </c>
      <c r="G31" s="6" t="s">
        <v>147</v>
      </c>
      <c r="H31" s="176"/>
    </row>
    <row r="32" spans="1:10" ht="15.75" customHeight="1">
      <c r="A32" s="8">
        <v>3</v>
      </c>
      <c r="B32" s="1" t="s">
        <v>46</v>
      </c>
      <c r="C32" s="10" t="s">
        <v>191</v>
      </c>
      <c r="D32" s="1" t="s">
        <v>45</v>
      </c>
      <c r="E32" s="10" t="s">
        <v>608</v>
      </c>
      <c r="F32" s="2">
        <v>61501</v>
      </c>
      <c r="G32" s="294" t="s">
        <v>214</v>
      </c>
      <c r="H32" s="176"/>
    </row>
    <row r="33" spans="1:11" ht="15.75" customHeight="1">
      <c r="A33" s="8">
        <v>3</v>
      </c>
      <c r="B33" s="1" t="s">
        <v>46</v>
      </c>
      <c r="C33" s="10" t="s">
        <v>191</v>
      </c>
      <c r="D33" s="1" t="s">
        <v>45</v>
      </c>
      <c r="E33" s="10" t="s">
        <v>608</v>
      </c>
      <c r="F33" s="2">
        <v>61502</v>
      </c>
      <c r="G33" s="6" t="s">
        <v>215</v>
      </c>
      <c r="H33" s="176"/>
    </row>
    <row r="34" spans="1:11" ht="15.75" customHeight="1">
      <c r="A34" s="8">
        <v>3</v>
      </c>
      <c r="B34" s="1" t="s">
        <v>46</v>
      </c>
      <c r="C34" s="10" t="s">
        <v>191</v>
      </c>
      <c r="D34" s="1" t="s">
        <v>45</v>
      </c>
      <c r="E34" s="10" t="s">
        <v>608</v>
      </c>
      <c r="F34" s="2">
        <v>61503</v>
      </c>
      <c r="G34" s="6" t="s">
        <v>216</v>
      </c>
      <c r="H34" s="176"/>
    </row>
    <row r="35" spans="1:11" ht="15.75" customHeight="1">
      <c r="A35" s="8">
        <v>3</v>
      </c>
      <c r="B35" s="1" t="s">
        <v>46</v>
      </c>
      <c r="C35" s="10" t="s">
        <v>191</v>
      </c>
      <c r="D35" s="1" t="s">
        <v>45</v>
      </c>
      <c r="E35" s="10" t="s">
        <v>608</v>
      </c>
      <c r="F35" s="2">
        <v>61599</v>
      </c>
      <c r="G35" s="6" t="s">
        <v>164</v>
      </c>
      <c r="H35" s="176">
        <f>50026.87+42.06</f>
        <v>50068.93</v>
      </c>
    </row>
    <row r="36" spans="1:11" ht="15.75" customHeight="1">
      <c r="A36" s="8">
        <v>3</v>
      </c>
      <c r="B36" s="1" t="s">
        <v>46</v>
      </c>
      <c r="C36" s="10" t="s">
        <v>191</v>
      </c>
      <c r="D36" s="1" t="s">
        <v>45</v>
      </c>
      <c r="E36" s="10" t="s">
        <v>608</v>
      </c>
      <c r="F36" s="2">
        <v>61601</v>
      </c>
      <c r="G36" s="6" t="s">
        <v>165</v>
      </c>
      <c r="H36" s="176">
        <f>223894.83</f>
        <v>223894.83</v>
      </c>
    </row>
    <row r="37" spans="1:11" ht="15.75" customHeight="1">
      <c r="A37" s="8">
        <v>3</v>
      </c>
      <c r="B37" s="1" t="s">
        <v>46</v>
      </c>
      <c r="C37" s="10" t="s">
        <v>191</v>
      </c>
      <c r="D37" s="1" t="s">
        <v>45</v>
      </c>
      <c r="E37" s="10" t="s">
        <v>608</v>
      </c>
      <c r="F37" s="2">
        <v>61602</v>
      </c>
      <c r="G37" s="6" t="s">
        <v>217</v>
      </c>
      <c r="H37" s="176"/>
    </row>
    <row r="38" spans="1:11" ht="15.75" customHeight="1">
      <c r="A38" s="8">
        <v>3</v>
      </c>
      <c r="B38" s="1" t="s">
        <v>46</v>
      </c>
      <c r="C38" s="10" t="s">
        <v>191</v>
      </c>
      <c r="D38" s="1" t="s">
        <v>45</v>
      </c>
      <c r="E38" s="10" t="s">
        <v>608</v>
      </c>
      <c r="F38" s="2">
        <v>61603</v>
      </c>
      <c r="G38" s="6" t="s">
        <v>218</v>
      </c>
      <c r="H38" s="176"/>
    </row>
    <row r="39" spans="1:11" ht="15.75" customHeight="1">
      <c r="A39" s="8">
        <v>3</v>
      </c>
      <c r="B39" s="1" t="s">
        <v>46</v>
      </c>
      <c r="C39" s="10" t="s">
        <v>191</v>
      </c>
      <c r="D39" s="1" t="s">
        <v>45</v>
      </c>
      <c r="E39" s="10" t="s">
        <v>608</v>
      </c>
      <c r="F39" s="2">
        <v>61604</v>
      </c>
      <c r="G39" s="6" t="s">
        <v>219</v>
      </c>
      <c r="H39" s="176"/>
    </row>
    <row r="40" spans="1:11" ht="15.75" customHeight="1">
      <c r="A40" s="8">
        <v>3</v>
      </c>
      <c r="B40" s="1" t="s">
        <v>46</v>
      </c>
      <c r="C40" s="10" t="s">
        <v>191</v>
      </c>
      <c r="D40" s="1" t="s">
        <v>45</v>
      </c>
      <c r="E40" s="10" t="s">
        <v>608</v>
      </c>
      <c r="F40" s="2">
        <v>61606</v>
      </c>
      <c r="G40" s="6" t="s">
        <v>220</v>
      </c>
      <c r="H40" s="176"/>
    </row>
    <row r="41" spans="1:11" ht="15.75" customHeight="1">
      <c r="A41" s="8">
        <v>3</v>
      </c>
      <c r="B41" s="1" t="s">
        <v>46</v>
      </c>
      <c r="C41" s="10" t="s">
        <v>191</v>
      </c>
      <c r="D41" s="1" t="s">
        <v>45</v>
      </c>
      <c r="E41" s="10" t="s">
        <v>608</v>
      </c>
      <c r="F41" s="2">
        <v>61608</v>
      </c>
      <c r="G41" s="6" t="s">
        <v>167</v>
      </c>
      <c r="H41" s="176">
        <v>25901.59</v>
      </c>
    </row>
    <row r="42" spans="1:11" ht="15.75" customHeight="1">
      <c r="A42" s="8">
        <v>3</v>
      </c>
      <c r="B42" s="1" t="s">
        <v>46</v>
      </c>
      <c r="C42" s="10" t="s">
        <v>191</v>
      </c>
      <c r="D42" s="1" t="s">
        <v>45</v>
      </c>
      <c r="E42" s="10" t="s">
        <v>608</v>
      </c>
      <c r="F42" s="2">
        <v>61609</v>
      </c>
      <c r="G42" s="6" t="s">
        <v>493</v>
      </c>
      <c r="H42" s="176"/>
    </row>
    <row r="43" spans="1:11" ht="15.75" customHeight="1">
      <c r="A43" s="8">
        <v>3</v>
      </c>
      <c r="B43" s="1" t="s">
        <v>46</v>
      </c>
      <c r="C43" s="10" t="s">
        <v>191</v>
      </c>
      <c r="D43" s="1" t="s">
        <v>45</v>
      </c>
      <c r="E43" s="10" t="s">
        <v>608</v>
      </c>
      <c r="F43" s="2">
        <v>61699</v>
      </c>
      <c r="G43" s="6" t="s">
        <v>168</v>
      </c>
      <c r="H43" s="176"/>
    </row>
    <row r="44" spans="1:11" ht="15.75" customHeight="1">
      <c r="A44" s="8">
        <v>3</v>
      </c>
      <c r="B44" s="1" t="s">
        <v>46</v>
      </c>
      <c r="C44" s="10" t="s">
        <v>191</v>
      </c>
      <c r="D44" s="1" t="s">
        <v>45</v>
      </c>
      <c r="E44" s="10" t="s">
        <v>608</v>
      </c>
      <c r="F44" s="168">
        <v>61201</v>
      </c>
      <c r="G44" s="7" t="s">
        <v>319</v>
      </c>
      <c r="H44" s="177"/>
    </row>
    <row r="45" spans="1:11" ht="27" customHeight="1" thickBot="1">
      <c r="A45" s="8">
        <v>3</v>
      </c>
      <c r="B45" s="1" t="s">
        <v>46</v>
      </c>
      <c r="C45" s="10" t="s">
        <v>191</v>
      </c>
      <c r="D45" s="1" t="s">
        <v>45</v>
      </c>
      <c r="E45" s="10" t="s">
        <v>608</v>
      </c>
      <c r="F45" s="168">
        <v>72101</v>
      </c>
      <c r="G45" s="328" t="s">
        <v>620</v>
      </c>
      <c r="H45" s="177">
        <v>201500.57</v>
      </c>
    </row>
    <row r="46" spans="1:11" ht="27.75" customHeight="1" thickBot="1">
      <c r="A46" s="1177"/>
      <c r="B46" s="1178"/>
      <c r="C46" s="1178"/>
      <c r="D46" s="1178"/>
      <c r="E46" s="1178"/>
      <c r="F46" s="1179"/>
      <c r="G46" s="228" t="s">
        <v>169</v>
      </c>
      <c r="H46" s="229">
        <f>SUM(H11:H45)</f>
        <v>501365.92000000004</v>
      </c>
      <c r="J46" s="146"/>
      <c r="K46" s="55"/>
    </row>
    <row r="47" spans="1:11">
      <c r="A47" s="22"/>
      <c r="B47" s="22"/>
      <c r="C47" s="22"/>
      <c r="D47" s="22"/>
      <c r="E47" s="22"/>
      <c r="F47" s="22"/>
      <c r="H47" s="31"/>
      <c r="K47" s="143"/>
    </row>
    <row r="48" spans="1:11" ht="15.75">
      <c r="A48" s="22"/>
      <c r="B48" s="22"/>
      <c r="C48" s="22"/>
      <c r="D48" s="22"/>
      <c r="E48" s="22"/>
      <c r="F48" s="22"/>
      <c r="G48" s="32"/>
      <c r="H48" s="152"/>
      <c r="K48" s="143"/>
    </row>
    <row r="49" spans="1:11" ht="19.5" customHeight="1">
      <c r="A49" s="1180" t="s">
        <v>8</v>
      </c>
      <c r="B49" s="1180"/>
      <c r="C49" s="1180"/>
      <c r="D49" s="1180"/>
      <c r="E49" s="1180"/>
      <c r="F49" s="1180"/>
      <c r="H49" s="153">
        <f>+H46-H48</f>
        <v>501365.92000000004</v>
      </c>
      <c r="K49" s="169"/>
    </row>
    <row r="50" spans="1:11">
      <c r="A50" s="1172" t="s">
        <v>1</v>
      </c>
      <c r="B50" s="1172"/>
      <c r="C50" s="1172"/>
      <c r="D50" s="1172"/>
      <c r="E50" s="1172"/>
      <c r="F50" s="1172"/>
      <c r="G50" s="1172"/>
      <c r="H50" s="363"/>
    </row>
    <row r="51" spans="1:11">
      <c r="A51" s="1172" t="s">
        <v>4</v>
      </c>
      <c r="B51" s="1172"/>
      <c r="C51" s="1172"/>
      <c r="D51" s="1172"/>
      <c r="E51" s="1172"/>
      <c r="F51" s="1172"/>
      <c r="G51" s="1172"/>
      <c r="H51" s="57"/>
    </row>
    <row r="52" spans="1:11">
      <c r="A52" s="1172" t="s">
        <v>5</v>
      </c>
      <c r="B52" s="1172"/>
      <c r="C52" s="1172"/>
      <c r="D52" s="1172"/>
      <c r="E52" s="1172"/>
      <c r="F52" s="1172"/>
      <c r="G52" s="1172"/>
    </row>
    <row r="53" spans="1:11">
      <c r="A53" s="1172"/>
      <c r="B53" s="1172"/>
      <c r="C53" s="1172"/>
      <c r="D53" s="1172"/>
      <c r="E53" s="1172"/>
      <c r="F53" s="1172"/>
      <c r="G53" s="1172"/>
    </row>
  </sheetData>
  <mergeCells count="18">
    <mergeCell ref="A50:G50"/>
    <mergeCell ref="A51:G51"/>
    <mergeCell ref="A52:G52"/>
    <mergeCell ref="A53:G53"/>
    <mergeCell ref="A7:H7"/>
    <mergeCell ref="A8:H8"/>
    <mergeCell ref="A9:F9"/>
    <mergeCell ref="G9:G10"/>
    <mergeCell ref="H9:H10"/>
    <mergeCell ref="A49:F49"/>
    <mergeCell ref="A1:D1"/>
    <mergeCell ref="E1:H1"/>
    <mergeCell ref="A46:F46"/>
    <mergeCell ref="A6:H6"/>
    <mergeCell ref="A3:H3"/>
    <mergeCell ref="A4:H4"/>
    <mergeCell ref="A5:H5"/>
    <mergeCell ref="A2:I2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85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39"/>
  <sheetViews>
    <sheetView view="pageBreakPreview" topLeftCell="A13" zoomScale="110" zoomScaleNormal="100" zoomScaleSheetLayoutView="110" workbookViewId="0">
      <selection sqref="A1:D1"/>
    </sheetView>
  </sheetViews>
  <sheetFormatPr baseColWidth="10" defaultRowHeight="12.75"/>
  <cols>
    <col min="2" max="2" width="32.5703125" customWidth="1"/>
    <col min="3" max="3" width="23.140625" customWidth="1"/>
  </cols>
  <sheetData>
    <row r="1" spans="1:10" ht="32.25" customHeight="1" thickBot="1">
      <c r="A1" s="1218" t="s">
        <v>661</v>
      </c>
      <c r="B1" s="1219"/>
      <c r="C1" s="1219"/>
      <c r="D1" s="1219"/>
      <c r="E1" s="1219"/>
      <c r="F1" s="1220"/>
      <c r="G1" s="358"/>
      <c r="H1" s="358"/>
      <c r="I1" s="358"/>
      <c r="J1" s="358"/>
    </row>
    <row r="3" spans="1:10">
      <c r="A3" s="327">
        <v>1</v>
      </c>
    </row>
    <row r="4" spans="1:10" ht="31.5" customHeight="1">
      <c r="A4" s="1217" t="s">
        <v>605</v>
      </c>
      <c r="B4" s="1217"/>
      <c r="C4" s="1217"/>
      <c r="D4" s="1217"/>
      <c r="E4" s="1217"/>
      <c r="F4" s="1217"/>
      <c r="G4" s="356"/>
      <c r="H4" s="356"/>
      <c r="I4" s="326"/>
    </row>
    <row r="6" spans="1:10">
      <c r="A6" s="282" t="s">
        <v>562</v>
      </c>
      <c r="B6" s="282" t="s">
        <v>567</v>
      </c>
      <c r="C6" s="282" t="s">
        <v>565</v>
      </c>
    </row>
    <row r="7" spans="1:10">
      <c r="A7" s="285">
        <v>61601</v>
      </c>
      <c r="B7" s="282" t="s">
        <v>574</v>
      </c>
      <c r="C7" s="284">
        <v>143468.37</v>
      </c>
    </row>
    <row r="8" spans="1:10">
      <c r="A8" s="283"/>
      <c r="B8" s="283"/>
      <c r="C8" s="283"/>
    </row>
    <row r="10" spans="1:10">
      <c r="A10" s="324" t="s">
        <v>561</v>
      </c>
    </row>
    <row r="11" spans="1:10" ht="23.25" customHeight="1">
      <c r="A11" s="1215" t="s">
        <v>606</v>
      </c>
      <c r="B11" s="1216"/>
      <c r="C11" s="1216"/>
      <c r="D11" s="1216"/>
      <c r="E11" s="1216"/>
      <c r="F11" s="1216"/>
      <c r="G11" s="357"/>
      <c r="H11" s="357"/>
      <c r="I11" s="325"/>
      <c r="J11" s="325"/>
    </row>
    <row r="13" spans="1:10">
      <c r="A13" s="282" t="s">
        <v>562</v>
      </c>
      <c r="B13" s="282" t="s">
        <v>567</v>
      </c>
      <c r="C13" s="282" t="s">
        <v>565</v>
      </c>
    </row>
    <row r="14" spans="1:10">
      <c r="A14" s="285">
        <v>61601</v>
      </c>
      <c r="B14" s="282" t="s">
        <v>574</v>
      </c>
      <c r="C14" s="284">
        <v>80426.460000000006</v>
      </c>
    </row>
    <row r="15" spans="1:10">
      <c r="A15" s="283"/>
      <c r="B15" s="283"/>
      <c r="C15" s="283"/>
    </row>
    <row r="18" spans="1:6">
      <c r="A18" s="324" t="s">
        <v>564</v>
      </c>
    </row>
    <row r="19" spans="1:6" ht="15">
      <c r="A19" s="1215" t="s">
        <v>660</v>
      </c>
      <c r="B19" s="1216"/>
      <c r="C19" s="1216"/>
      <c r="D19" s="1216"/>
      <c r="E19" s="1216"/>
      <c r="F19" s="1216"/>
    </row>
    <row r="20" spans="1:6">
      <c r="A20" s="282" t="s">
        <v>562</v>
      </c>
      <c r="B20" s="282" t="s">
        <v>567</v>
      </c>
      <c r="C20" s="282" t="s">
        <v>565</v>
      </c>
    </row>
    <row r="21" spans="1:6" ht="28.5" customHeight="1">
      <c r="A21" s="2">
        <v>61599</v>
      </c>
      <c r="B21" s="359" t="s">
        <v>164</v>
      </c>
      <c r="C21" s="360">
        <f>50026.87+42.06</f>
        <v>50068.93</v>
      </c>
    </row>
    <row r="22" spans="1:6">
      <c r="A22" s="283"/>
      <c r="B22" s="283"/>
      <c r="C22" s="283"/>
    </row>
    <row r="25" spans="1:6">
      <c r="A25" s="324" t="s">
        <v>564</v>
      </c>
      <c r="B25" s="21"/>
    </row>
    <row r="26" spans="1:6">
      <c r="A26" s="324" t="s">
        <v>617</v>
      </c>
    </row>
    <row r="27" spans="1:6">
      <c r="A27" s="282" t="s">
        <v>562</v>
      </c>
      <c r="B27" s="282" t="s">
        <v>567</v>
      </c>
      <c r="C27" s="282" t="s">
        <v>565</v>
      </c>
    </row>
    <row r="28" spans="1:6">
      <c r="A28" s="285">
        <v>61608</v>
      </c>
      <c r="B28" s="282" t="s">
        <v>557</v>
      </c>
      <c r="C28" s="284">
        <v>25901.59</v>
      </c>
    </row>
    <row r="29" spans="1:6">
      <c r="A29" s="283"/>
      <c r="B29" s="283"/>
      <c r="C29" s="283"/>
    </row>
    <row r="32" spans="1:6">
      <c r="A32" s="324" t="s">
        <v>566</v>
      </c>
    </row>
    <row r="33" spans="1:4" ht="15">
      <c r="A33" s="7" t="s">
        <v>522</v>
      </c>
      <c r="B33" s="324"/>
      <c r="C33" s="324"/>
    </row>
    <row r="34" spans="1:4">
      <c r="A34" s="282" t="s">
        <v>562</v>
      </c>
      <c r="B34" s="282" t="s">
        <v>567</v>
      </c>
      <c r="C34" s="282" t="s">
        <v>565</v>
      </c>
    </row>
    <row r="35" spans="1:4" ht="51">
      <c r="A35" s="168">
        <v>72101</v>
      </c>
      <c r="B35" s="331" t="s">
        <v>619</v>
      </c>
      <c r="C35" s="330">
        <v>201500.57</v>
      </c>
      <c r="D35" s="324"/>
    </row>
    <row r="36" spans="1:4">
      <c r="A36" s="283"/>
      <c r="B36" s="283"/>
      <c r="C36" s="283"/>
    </row>
    <row r="38" spans="1:4" ht="13.5" thickBot="1"/>
    <row r="39" spans="1:4" ht="13.5" thickBot="1">
      <c r="B39" s="266" t="s">
        <v>618</v>
      </c>
      <c r="C39" s="329">
        <f>C35+C28+C14+C7+C21</f>
        <v>501365.92</v>
      </c>
    </row>
  </sheetData>
  <mergeCells count="4">
    <mergeCell ref="A19:F19"/>
    <mergeCell ref="A4:F4"/>
    <mergeCell ref="A11:F11"/>
    <mergeCell ref="A1:F1"/>
  </mergeCells>
  <pageMargins left="0.7" right="0.7" top="1.24" bottom="0.75" header="0.3" footer="0.3"/>
  <pageSetup paperSize="5" scale="79" orientation="portrait" r:id="rId1"/>
  <colBreaks count="1" manualBreakCount="1">
    <brk id="10" max="47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3:C32"/>
  <sheetViews>
    <sheetView view="pageBreakPreview" topLeftCell="A4" zoomScaleNormal="100" zoomScaleSheetLayoutView="100" workbookViewId="0">
      <selection sqref="A1:D1"/>
    </sheetView>
  </sheetViews>
  <sheetFormatPr baseColWidth="10" defaultRowHeight="12.75"/>
  <cols>
    <col min="2" max="2" width="42.140625" customWidth="1"/>
    <col min="3" max="3" width="16.5703125" customWidth="1"/>
  </cols>
  <sheetData>
    <row r="3" spans="1:3">
      <c r="A3" s="1221" t="s">
        <v>621</v>
      </c>
      <c r="B3" s="1221"/>
    </row>
    <row r="5" spans="1:3">
      <c r="A5" s="324" t="s">
        <v>604</v>
      </c>
    </row>
    <row r="7" spans="1:3">
      <c r="A7" s="282" t="s">
        <v>562</v>
      </c>
      <c r="B7" s="282" t="s">
        <v>560</v>
      </c>
      <c r="C7" s="282" t="s">
        <v>565</v>
      </c>
    </row>
    <row r="8" spans="1:3">
      <c r="A8" s="283">
        <v>61105</v>
      </c>
      <c r="B8" s="282" t="s">
        <v>603</v>
      </c>
      <c r="C8" s="284">
        <v>124998.59</v>
      </c>
    </row>
    <row r="9" spans="1:3">
      <c r="A9" s="283"/>
      <c r="B9" s="282" t="s">
        <v>223</v>
      </c>
      <c r="C9" s="334">
        <f>SUM(C8:C8)</f>
        <v>124998.59</v>
      </c>
    </row>
    <row r="10" spans="1:3">
      <c r="B10" s="21"/>
      <c r="C10" s="332"/>
    </row>
    <row r="11" spans="1:3">
      <c r="B11" s="21"/>
      <c r="C11" s="332"/>
    </row>
    <row r="12" spans="1:3">
      <c r="A12" s="324" t="s">
        <v>622</v>
      </c>
    </row>
    <row r="14" spans="1:3">
      <c r="A14" s="282" t="s">
        <v>562</v>
      </c>
      <c r="B14" s="282" t="s">
        <v>560</v>
      </c>
      <c r="C14" s="282" t="s">
        <v>565</v>
      </c>
    </row>
    <row r="15" spans="1:3" ht="15">
      <c r="A15" s="2">
        <v>54107</v>
      </c>
      <c r="B15" s="6" t="s">
        <v>135</v>
      </c>
      <c r="C15" s="333">
        <v>5000</v>
      </c>
    </row>
    <row r="16" spans="1:3" ht="30">
      <c r="A16" s="2">
        <v>54113</v>
      </c>
      <c r="B16" s="267" t="s">
        <v>578</v>
      </c>
      <c r="C16" s="333">
        <v>10000</v>
      </c>
    </row>
    <row r="17" spans="1:3" ht="15">
      <c r="A17" s="2">
        <v>54199</v>
      </c>
      <c r="B17" s="6" t="s">
        <v>87</v>
      </c>
      <c r="C17" s="333">
        <v>9353.34</v>
      </c>
    </row>
    <row r="18" spans="1:3" ht="15">
      <c r="A18" s="2"/>
      <c r="B18" s="6"/>
      <c r="C18" s="176"/>
    </row>
    <row r="19" spans="1:3">
      <c r="A19" s="283"/>
      <c r="B19" s="282"/>
      <c r="C19" s="284"/>
    </row>
    <row r="20" spans="1:3">
      <c r="A20" s="283"/>
      <c r="B20" s="282" t="s">
        <v>223</v>
      </c>
      <c r="C20" s="334">
        <f>SUM(C15:C19)</f>
        <v>24353.34</v>
      </c>
    </row>
    <row r="21" spans="1:3">
      <c r="B21" s="21"/>
      <c r="C21" s="332"/>
    </row>
    <row r="22" spans="1:3">
      <c r="B22" s="21"/>
      <c r="C22" s="332"/>
    </row>
    <row r="23" spans="1:3">
      <c r="A23" s="324" t="s">
        <v>623</v>
      </c>
    </row>
    <row r="25" spans="1:3">
      <c r="A25" s="282" t="s">
        <v>562</v>
      </c>
      <c r="B25" s="282" t="s">
        <v>560</v>
      </c>
      <c r="C25" s="282" t="s">
        <v>565</v>
      </c>
    </row>
    <row r="26" spans="1:3" ht="15">
      <c r="A26" s="2">
        <v>61602</v>
      </c>
      <c r="B26" s="6" t="s">
        <v>217</v>
      </c>
      <c r="C26" s="176">
        <v>100000</v>
      </c>
    </row>
    <row r="27" spans="1:3" ht="15">
      <c r="A27" s="2">
        <v>61603</v>
      </c>
      <c r="B27" s="6" t="s">
        <v>218</v>
      </c>
      <c r="C27" s="176">
        <v>100000</v>
      </c>
    </row>
    <row r="28" spans="1:3">
      <c r="A28" s="283"/>
      <c r="B28" s="283"/>
      <c r="C28" s="283"/>
    </row>
    <row r="29" spans="1:3">
      <c r="A29" s="283"/>
      <c r="B29" s="282" t="s">
        <v>607</v>
      </c>
      <c r="C29" s="335">
        <f>C26+C27</f>
        <v>200000</v>
      </c>
    </row>
    <row r="31" spans="1:3" ht="13.5" thickBot="1"/>
    <row r="32" spans="1:3" ht="13.5" thickBot="1">
      <c r="B32" s="336" t="s">
        <v>624</v>
      </c>
      <c r="C32" s="291">
        <f>C29+C20+C9</f>
        <v>349351.93</v>
      </c>
    </row>
  </sheetData>
  <mergeCells count="1">
    <mergeCell ref="A3:B3"/>
  </mergeCells>
  <pageMargins left="0.7" right="0.7" top="1.64" bottom="0.75" header="0.3" footer="0.3"/>
  <pageSetup paperSize="5" scale="91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34"/>
  <sheetViews>
    <sheetView view="pageBreakPreview" topLeftCell="A16" zoomScale="106" zoomScaleSheetLayoutView="106" workbookViewId="0">
      <selection activeCell="G9" sqref="G9:G10"/>
    </sheetView>
  </sheetViews>
  <sheetFormatPr baseColWidth="10" defaultColWidth="11.42578125" defaultRowHeight="12.75"/>
  <cols>
    <col min="1" max="1" width="4.5703125" style="23" customWidth="1"/>
    <col min="2" max="2" width="4.42578125" style="23" customWidth="1"/>
    <col min="3" max="4" width="4.5703125" style="23" customWidth="1"/>
    <col min="5" max="5" width="6.140625" style="23" customWidth="1"/>
    <col min="6" max="6" width="10.28515625" style="23" customWidth="1"/>
    <col min="7" max="7" width="43.140625" style="19" customWidth="1"/>
    <col min="8" max="8" width="19.28515625" style="4" customWidth="1"/>
    <col min="9" max="10" width="11.42578125" style="21"/>
    <col min="11" max="11" width="12.28515625" style="21" bestFit="1" customWidth="1"/>
    <col min="12" max="16384" width="11.42578125" style="21"/>
  </cols>
  <sheetData>
    <row r="1" spans="1:11" ht="20.25">
      <c r="A1" s="1104"/>
      <c r="B1" s="1104"/>
      <c r="C1" s="1104"/>
      <c r="D1" s="1104"/>
      <c r="E1" s="1104"/>
      <c r="F1" s="1104"/>
      <c r="G1" s="1104"/>
      <c r="H1" s="1104"/>
      <c r="I1" s="5"/>
    </row>
    <row r="2" spans="1:11" ht="18">
      <c r="A2" s="1138" t="s">
        <v>327</v>
      </c>
      <c r="B2" s="1138"/>
      <c r="C2" s="1138"/>
      <c r="D2" s="1138"/>
      <c r="E2" s="1138"/>
      <c r="F2" s="1138"/>
      <c r="G2" s="1138"/>
      <c r="H2" s="1138"/>
      <c r="I2" s="1138"/>
    </row>
    <row r="3" spans="1:11" ht="15.75">
      <c r="A3" s="1136" t="s">
        <v>151</v>
      </c>
      <c r="B3" s="1137"/>
      <c r="C3" s="1137"/>
      <c r="D3" s="1137"/>
      <c r="E3" s="1137"/>
      <c r="F3" s="1137"/>
      <c r="G3" s="1137"/>
      <c r="H3" s="1137"/>
    </row>
    <row r="4" spans="1:11" ht="15">
      <c r="A4" s="1134" t="s">
        <v>328</v>
      </c>
      <c r="B4" s="1135"/>
      <c r="C4" s="1135"/>
      <c r="D4" s="1135"/>
      <c r="E4" s="1135"/>
      <c r="F4" s="1135"/>
      <c r="G4" s="1135"/>
      <c r="H4" s="1135"/>
    </row>
    <row r="5" spans="1:11" ht="15">
      <c r="A5" s="1134" t="s">
        <v>7</v>
      </c>
      <c r="B5" s="1135"/>
      <c r="C5" s="1135"/>
      <c r="D5" s="1135"/>
      <c r="E5" s="1135"/>
      <c r="F5" s="1135"/>
      <c r="G5" s="1135"/>
      <c r="H5" s="1135"/>
    </row>
    <row r="6" spans="1:11" ht="8.25" customHeight="1">
      <c r="A6" s="1130"/>
      <c r="B6" s="1131"/>
      <c r="C6" s="1131"/>
      <c r="D6" s="1131"/>
      <c r="E6" s="1131"/>
      <c r="F6" s="1131"/>
      <c r="G6" s="1131"/>
      <c r="H6" s="1131"/>
    </row>
    <row r="7" spans="1:11" ht="15.75">
      <c r="A7" s="1173" t="s">
        <v>153</v>
      </c>
      <c r="B7" s="1173"/>
      <c r="C7" s="1173"/>
      <c r="D7" s="1173"/>
      <c r="E7" s="1173"/>
      <c r="F7" s="1173"/>
      <c r="G7" s="1173"/>
      <c r="H7" s="1173"/>
    </row>
    <row r="8" spans="1:11" ht="16.5" thickBot="1">
      <c r="A8" s="1174" t="s">
        <v>170</v>
      </c>
      <c r="B8" s="1174"/>
      <c r="C8" s="1174"/>
      <c r="D8" s="1174"/>
      <c r="E8" s="1174"/>
      <c r="F8" s="1174"/>
      <c r="G8" s="1174"/>
      <c r="H8" s="1174"/>
    </row>
    <row r="9" spans="1:11" ht="13.5" thickBot="1">
      <c r="A9" s="1225" t="s">
        <v>0</v>
      </c>
      <c r="B9" s="1226"/>
      <c r="C9" s="1226"/>
      <c r="D9" s="1226"/>
      <c r="E9" s="1226"/>
      <c r="F9" s="1226"/>
      <c r="G9" s="1227" t="s">
        <v>128</v>
      </c>
      <c r="H9" s="1229" t="s">
        <v>129</v>
      </c>
    </row>
    <row r="10" spans="1:11" ht="200.25" customHeight="1" thickBot="1">
      <c r="A10" s="46" t="s">
        <v>122</v>
      </c>
      <c r="B10" s="47" t="s">
        <v>123</v>
      </c>
      <c r="C10" s="47" t="s">
        <v>103</v>
      </c>
      <c r="D10" s="47" t="s">
        <v>124</v>
      </c>
      <c r="E10" s="49" t="s">
        <v>130</v>
      </c>
      <c r="F10" s="48" t="s">
        <v>88</v>
      </c>
      <c r="G10" s="1228"/>
      <c r="H10" s="1230"/>
    </row>
    <row r="11" spans="1:11" ht="15.75" customHeight="1">
      <c r="A11" s="9">
        <v>3</v>
      </c>
      <c r="B11" s="10" t="s">
        <v>83</v>
      </c>
      <c r="C11" s="10" t="s">
        <v>43</v>
      </c>
      <c r="D11" s="10" t="s">
        <v>45</v>
      </c>
      <c r="E11" s="10" t="s">
        <v>171</v>
      </c>
      <c r="F11" s="11" t="s">
        <v>150</v>
      </c>
      <c r="G11" s="12" t="s">
        <v>132</v>
      </c>
      <c r="H11" s="14"/>
    </row>
    <row r="12" spans="1:11" ht="15.75" customHeight="1">
      <c r="A12" s="8">
        <v>3</v>
      </c>
      <c r="B12" s="1" t="s">
        <v>83</v>
      </c>
      <c r="C12" s="1" t="s">
        <v>43</v>
      </c>
      <c r="D12" s="1" t="s">
        <v>45</v>
      </c>
      <c r="E12" s="10" t="s">
        <v>171</v>
      </c>
      <c r="F12" s="2">
        <v>54111</v>
      </c>
      <c r="G12" s="6" t="s">
        <v>41</v>
      </c>
      <c r="H12" s="15"/>
    </row>
    <row r="13" spans="1:11" ht="15.75" customHeight="1">
      <c r="A13" s="8">
        <v>3</v>
      </c>
      <c r="B13" s="1" t="s">
        <v>83</v>
      </c>
      <c r="C13" s="1" t="s">
        <v>43</v>
      </c>
      <c r="D13" s="1" t="s">
        <v>45</v>
      </c>
      <c r="E13" s="10" t="s">
        <v>171</v>
      </c>
      <c r="F13" s="2">
        <v>54112</v>
      </c>
      <c r="G13" s="6" t="s">
        <v>40</v>
      </c>
      <c r="H13" s="15"/>
    </row>
    <row r="14" spans="1:11" ht="15.75" customHeight="1">
      <c r="A14" s="8">
        <v>3</v>
      </c>
      <c r="B14" s="1" t="s">
        <v>83</v>
      </c>
      <c r="C14" s="1" t="s">
        <v>43</v>
      </c>
      <c r="D14" s="1" t="s">
        <v>45</v>
      </c>
      <c r="E14" s="10" t="s">
        <v>171</v>
      </c>
      <c r="F14" s="2">
        <v>54199</v>
      </c>
      <c r="G14" s="6" t="s">
        <v>140</v>
      </c>
      <c r="H14" s="15"/>
    </row>
    <row r="15" spans="1:11" ht="15.75" customHeight="1">
      <c r="A15" s="8">
        <v>3</v>
      </c>
      <c r="B15" s="1" t="s">
        <v>83</v>
      </c>
      <c r="C15" s="1" t="s">
        <v>43</v>
      </c>
      <c r="D15" s="1" t="s">
        <v>45</v>
      </c>
      <c r="E15" s="10" t="s">
        <v>171</v>
      </c>
      <c r="F15" s="2">
        <v>54313</v>
      </c>
      <c r="G15" s="6" t="s">
        <v>156</v>
      </c>
      <c r="H15" s="15"/>
    </row>
    <row r="16" spans="1:11" ht="15.75" customHeight="1">
      <c r="A16" s="8">
        <v>3</v>
      </c>
      <c r="B16" s="1" t="s">
        <v>83</v>
      </c>
      <c r="C16" s="1" t="s">
        <v>43</v>
      </c>
      <c r="D16" s="1" t="s">
        <v>45</v>
      </c>
      <c r="E16" s="10" t="s">
        <v>171</v>
      </c>
      <c r="F16" s="2">
        <v>54316</v>
      </c>
      <c r="G16" s="6" t="s">
        <v>157</v>
      </c>
      <c r="H16" s="15"/>
      <c r="J16" s="21">
        <v>54</v>
      </c>
      <c r="K16" s="55">
        <f>SUM(H17)</f>
        <v>0</v>
      </c>
    </row>
    <row r="17" spans="1:11" ht="15.75" customHeight="1">
      <c r="A17" s="8">
        <v>3</v>
      </c>
      <c r="B17" s="1" t="s">
        <v>83</v>
      </c>
      <c r="C17" s="1" t="s">
        <v>43</v>
      </c>
      <c r="D17" s="1" t="s">
        <v>45</v>
      </c>
      <c r="E17" s="10" t="s">
        <v>171</v>
      </c>
      <c r="F17" s="2">
        <v>54599</v>
      </c>
      <c r="G17" s="6" t="s">
        <v>160</v>
      </c>
      <c r="H17" s="15"/>
      <c r="J17" s="21">
        <v>61</v>
      </c>
      <c r="K17" s="55">
        <f>SUM(H20:H25)</f>
        <v>0</v>
      </c>
    </row>
    <row r="18" spans="1:11" ht="15.75" customHeight="1">
      <c r="A18" s="8">
        <v>3</v>
      </c>
      <c r="B18" s="1" t="s">
        <v>83</v>
      </c>
      <c r="C18" s="1" t="s">
        <v>43</v>
      </c>
      <c r="D18" s="1" t="s">
        <v>45</v>
      </c>
      <c r="E18" s="10" t="s">
        <v>171</v>
      </c>
      <c r="F18" s="2">
        <v>55601</v>
      </c>
      <c r="G18" s="6" t="s">
        <v>82</v>
      </c>
      <c r="H18" s="15"/>
      <c r="K18" s="55">
        <f>SUM(K16:K17)</f>
        <v>0</v>
      </c>
    </row>
    <row r="19" spans="1:11" ht="15.75" customHeight="1">
      <c r="A19" s="8">
        <v>3</v>
      </c>
      <c r="B19" s="1" t="s">
        <v>83</v>
      </c>
      <c r="C19" s="1" t="s">
        <v>43</v>
      </c>
      <c r="D19" s="1" t="s">
        <v>45</v>
      </c>
      <c r="E19" s="10" t="s">
        <v>171</v>
      </c>
      <c r="F19" s="2">
        <v>55603</v>
      </c>
      <c r="G19" s="6" t="s">
        <v>145</v>
      </c>
      <c r="H19" s="15"/>
    </row>
    <row r="20" spans="1:11" ht="15.75" customHeight="1">
      <c r="A20" s="8">
        <v>3</v>
      </c>
      <c r="B20" s="1" t="s">
        <v>83</v>
      </c>
      <c r="C20" s="1" t="s">
        <v>43</v>
      </c>
      <c r="D20" s="1" t="s">
        <v>45</v>
      </c>
      <c r="E20" s="10" t="s">
        <v>171</v>
      </c>
      <c r="F20" s="2">
        <v>61101</v>
      </c>
      <c r="G20" s="6" t="s">
        <v>162</v>
      </c>
      <c r="H20" s="15">
        <v>0</v>
      </c>
    </row>
    <row r="21" spans="1:11" ht="15.75" customHeight="1">
      <c r="A21" s="8">
        <v>3</v>
      </c>
      <c r="B21" s="1" t="s">
        <v>83</v>
      </c>
      <c r="C21" s="1" t="s">
        <v>43</v>
      </c>
      <c r="D21" s="1" t="s">
        <v>45</v>
      </c>
      <c r="E21" s="10" t="s">
        <v>171</v>
      </c>
      <c r="F21" s="2">
        <v>61102</v>
      </c>
      <c r="G21" s="6" t="s">
        <v>163</v>
      </c>
      <c r="H21" s="15"/>
    </row>
    <row r="22" spans="1:11" ht="15.75" customHeight="1">
      <c r="A22" s="8">
        <v>3</v>
      </c>
      <c r="B22" s="1" t="s">
        <v>83</v>
      </c>
      <c r="C22" s="1" t="s">
        <v>43</v>
      </c>
      <c r="D22" s="1" t="s">
        <v>45</v>
      </c>
      <c r="E22" s="10" t="s">
        <v>171</v>
      </c>
      <c r="F22" s="2">
        <v>61599</v>
      </c>
      <c r="G22" s="6" t="s">
        <v>164</v>
      </c>
      <c r="H22" s="15"/>
    </row>
    <row r="23" spans="1:11" ht="15.75" customHeight="1">
      <c r="A23" s="8">
        <v>3</v>
      </c>
      <c r="B23" s="1" t="s">
        <v>83</v>
      </c>
      <c r="C23" s="1" t="s">
        <v>43</v>
      </c>
      <c r="D23" s="1" t="s">
        <v>45</v>
      </c>
      <c r="E23" s="10" t="s">
        <v>171</v>
      </c>
      <c r="F23" s="2">
        <v>61601</v>
      </c>
      <c r="G23" s="6" t="s">
        <v>165</v>
      </c>
      <c r="H23" s="15"/>
    </row>
    <row r="24" spans="1:11" ht="15.75" customHeight="1">
      <c r="A24" s="8">
        <v>3</v>
      </c>
      <c r="B24" s="1" t="s">
        <v>83</v>
      </c>
      <c r="C24" s="1" t="s">
        <v>43</v>
      </c>
      <c r="D24" s="1" t="s">
        <v>45</v>
      </c>
      <c r="E24" s="10" t="s">
        <v>171</v>
      </c>
      <c r="F24" s="2">
        <v>61608</v>
      </c>
      <c r="G24" s="6" t="s">
        <v>167</v>
      </c>
      <c r="H24" s="15"/>
    </row>
    <row r="25" spans="1:11" ht="15.75" customHeight="1">
      <c r="A25" s="8">
        <v>3</v>
      </c>
      <c r="B25" s="1" t="s">
        <v>83</v>
      </c>
      <c r="C25" s="1" t="s">
        <v>43</v>
      </c>
      <c r="D25" s="1" t="s">
        <v>45</v>
      </c>
      <c r="E25" s="10" t="s">
        <v>171</v>
      </c>
      <c r="F25" s="2">
        <v>61699</v>
      </c>
      <c r="G25" s="6" t="s">
        <v>168</v>
      </c>
      <c r="H25" s="15"/>
    </row>
    <row r="26" spans="1:11" ht="15.75" customHeight="1" thickBot="1">
      <c r="A26" s="18"/>
      <c r="B26" s="16"/>
      <c r="C26" s="16"/>
      <c r="D26" s="16"/>
      <c r="E26" s="16"/>
      <c r="F26" s="3"/>
      <c r="G26" s="7"/>
      <c r="H26" s="17"/>
    </row>
    <row r="27" spans="1:11" ht="20.100000000000001" customHeight="1" thickBot="1">
      <c r="A27" s="1222"/>
      <c r="B27" s="1223"/>
      <c r="C27" s="1223"/>
      <c r="D27" s="1223"/>
      <c r="E27" s="1223"/>
      <c r="F27" s="1224"/>
      <c r="G27" s="50" t="s">
        <v>169</v>
      </c>
      <c r="H27" s="51">
        <f>SUM(H11:H26)</f>
        <v>0</v>
      </c>
    </row>
    <row r="28" spans="1:11">
      <c r="A28" s="22"/>
      <c r="B28" s="22"/>
      <c r="C28" s="22"/>
      <c r="D28" s="22"/>
      <c r="E28" s="22"/>
      <c r="F28" s="22"/>
      <c r="H28" s="31"/>
    </row>
    <row r="29" spans="1:11" ht="15.75">
      <c r="A29" s="22"/>
      <c r="B29" s="22"/>
      <c r="C29" s="22"/>
      <c r="D29" s="22"/>
      <c r="E29" s="22"/>
      <c r="F29" s="22"/>
      <c r="G29" s="32"/>
      <c r="H29" s="32"/>
    </row>
    <row r="30" spans="1:11" ht="19.5" customHeight="1">
      <c r="A30" s="1180" t="s">
        <v>8</v>
      </c>
      <c r="B30" s="1180"/>
      <c r="C30" s="1180"/>
      <c r="D30" s="1180"/>
      <c r="E30" s="1180"/>
      <c r="F30" s="1180"/>
    </row>
    <row r="31" spans="1:11">
      <c r="A31" s="1172" t="s">
        <v>1</v>
      </c>
      <c r="B31" s="1172"/>
      <c r="C31" s="1172"/>
      <c r="D31" s="1172"/>
      <c r="E31" s="1172"/>
      <c r="F31" s="1172"/>
      <c r="G31" s="1172"/>
    </row>
    <row r="32" spans="1:11">
      <c r="A32" s="1172" t="s">
        <v>4</v>
      </c>
      <c r="B32" s="1172"/>
      <c r="C32" s="1172"/>
      <c r="D32" s="1172"/>
      <c r="E32" s="1172"/>
      <c r="F32" s="1172"/>
      <c r="G32" s="1172"/>
    </row>
    <row r="33" spans="1:7">
      <c r="A33" s="1172" t="s">
        <v>5</v>
      </c>
      <c r="B33" s="1172"/>
      <c r="C33" s="1172"/>
      <c r="D33" s="1172"/>
      <c r="E33" s="1172"/>
      <c r="F33" s="1172"/>
      <c r="G33" s="1172"/>
    </row>
    <row r="34" spans="1:7">
      <c r="A34" s="1172"/>
      <c r="B34" s="1172"/>
      <c r="C34" s="1172"/>
      <c r="D34" s="1172"/>
      <c r="E34" s="1172"/>
      <c r="F34" s="1172"/>
      <c r="G34" s="1172"/>
    </row>
  </sheetData>
  <mergeCells count="18">
    <mergeCell ref="A34:G34"/>
    <mergeCell ref="A7:H7"/>
    <mergeCell ref="A8:H8"/>
    <mergeCell ref="A9:F9"/>
    <mergeCell ref="G9:G10"/>
    <mergeCell ref="H9:H10"/>
    <mergeCell ref="A32:G32"/>
    <mergeCell ref="A33:G33"/>
    <mergeCell ref="A31:G31"/>
    <mergeCell ref="A6:H6"/>
    <mergeCell ref="A2:I2"/>
    <mergeCell ref="A27:F27"/>
    <mergeCell ref="A30:F30"/>
    <mergeCell ref="A1:D1"/>
    <mergeCell ref="E1:H1"/>
    <mergeCell ref="A3:H3"/>
    <mergeCell ref="A4:H4"/>
    <mergeCell ref="A5:H5"/>
  </mergeCells>
  <printOptions horizontalCentered="1"/>
  <pageMargins left="0.70866141732283472" right="0.70866141732283472" top="0.74803149606299213" bottom="0.74803149606299213" header="0.31496062992125984" footer="0.31496062992125984"/>
  <pageSetup scale="93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K46"/>
  <sheetViews>
    <sheetView view="pageBreakPreview" topLeftCell="A16" zoomScale="86" zoomScaleNormal="100" zoomScaleSheetLayoutView="86" workbookViewId="0">
      <selection activeCell="E103" sqref="E103"/>
    </sheetView>
  </sheetViews>
  <sheetFormatPr baseColWidth="10" defaultColWidth="11.42578125" defaultRowHeight="12.75"/>
  <cols>
    <col min="1" max="1" width="4.5703125" style="23" customWidth="1"/>
    <col min="2" max="2" width="4.42578125" style="23" customWidth="1"/>
    <col min="3" max="4" width="4.5703125" style="23" customWidth="1"/>
    <col min="5" max="5" width="7.5703125" style="23" customWidth="1"/>
    <col min="6" max="6" width="11.42578125" style="23" customWidth="1"/>
    <col min="7" max="7" width="49.28515625" style="19" customWidth="1"/>
    <col min="8" max="8" width="21.28515625" style="4" customWidth="1"/>
    <col min="9" max="9" width="11.42578125" style="56"/>
    <col min="10" max="10" width="14.7109375" style="142" bestFit="1" customWidth="1"/>
    <col min="11" max="11" width="13.7109375" style="21" bestFit="1" customWidth="1"/>
    <col min="12" max="16384" width="11.42578125" style="21"/>
  </cols>
  <sheetData>
    <row r="1" spans="1:11" ht="20.25">
      <c r="A1" s="1104"/>
      <c r="B1" s="1104"/>
      <c r="C1" s="1104"/>
      <c r="D1" s="1104"/>
      <c r="E1" s="1104"/>
      <c r="F1" s="1104"/>
      <c r="G1" s="1104"/>
      <c r="H1" s="1104"/>
      <c r="I1" s="151"/>
    </row>
    <row r="2" spans="1:11" ht="18">
      <c r="A2" s="1138" t="s">
        <v>327</v>
      </c>
      <c r="B2" s="1138"/>
      <c r="C2" s="1138"/>
      <c r="D2" s="1138"/>
      <c r="E2" s="1138"/>
      <c r="F2" s="1138"/>
      <c r="G2" s="1138"/>
      <c r="H2" s="1138"/>
      <c r="I2" s="1138"/>
    </row>
    <row r="3" spans="1:11" ht="15.75">
      <c r="A3" s="1136" t="s">
        <v>559</v>
      </c>
      <c r="B3" s="1137"/>
      <c r="C3" s="1137"/>
      <c r="D3" s="1137"/>
      <c r="E3" s="1137"/>
      <c r="F3" s="1137"/>
      <c r="G3" s="1137"/>
      <c r="H3" s="1137"/>
      <c r="K3" s="55"/>
    </row>
    <row r="4" spans="1:11" ht="15.75">
      <c r="A4" s="1136" t="s">
        <v>586</v>
      </c>
      <c r="B4" s="1137"/>
      <c r="C4" s="1137"/>
      <c r="D4" s="1137"/>
      <c r="E4" s="1137"/>
      <c r="F4" s="1137"/>
      <c r="G4" s="1137"/>
      <c r="H4" s="1137"/>
      <c r="K4" s="55"/>
    </row>
    <row r="5" spans="1:11" ht="15">
      <c r="A5" s="1134" t="s">
        <v>7</v>
      </c>
      <c r="B5" s="1135"/>
      <c r="C5" s="1135"/>
      <c r="D5" s="1135"/>
      <c r="E5" s="1135"/>
      <c r="F5" s="1135"/>
      <c r="G5" s="1135"/>
      <c r="H5" s="1135"/>
    </row>
    <row r="6" spans="1:11" ht="8.25" customHeight="1">
      <c r="A6" s="1130"/>
      <c r="B6" s="1131"/>
      <c r="C6" s="1131"/>
      <c r="D6" s="1131"/>
      <c r="E6" s="1131"/>
      <c r="F6" s="1131"/>
      <c r="G6" s="1131"/>
      <c r="H6" s="1131"/>
    </row>
    <row r="7" spans="1:11" ht="15.75">
      <c r="A7" s="1173" t="s">
        <v>153</v>
      </c>
      <c r="B7" s="1173"/>
      <c r="C7" s="1173"/>
      <c r="D7" s="1173"/>
      <c r="E7" s="1173"/>
      <c r="F7" s="1173"/>
      <c r="G7" s="1173"/>
      <c r="H7" s="1173"/>
      <c r="K7" s="55"/>
    </row>
    <row r="8" spans="1:11" ht="16.5" thickBot="1">
      <c r="A8" s="1174" t="s">
        <v>625</v>
      </c>
      <c r="B8" s="1174"/>
      <c r="C8" s="1174"/>
      <c r="D8" s="1174"/>
      <c r="E8" s="1174"/>
      <c r="F8" s="1174"/>
      <c r="G8" s="1174"/>
      <c r="H8" s="1174"/>
      <c r="K8" s="55"/>
    </row>
    <row r="9" spans="1:11" ht="15.75" thickBot="1">
      <c r="A9" s="1175" t="s">
        <v>0</v>
      </c>
      <c r="B9" s="1176"/>
      <c r="C9" s="1176"/>
      <c r="D9" s="1176"/>
      <c r="E9" s="1176"/>
      <c r="F9" s="1176"/>
      <c r="G9" s="1144" t="s">
        <v>128</v>
      </c>
      <c r="H9" s="1123" t="s">
        <v>129</v>
      </c>
      <c r="K9" s="55"/>
    </row>
    <row r="10" spans="1:11" ht="200.25" customHeight="1" thickBot="1">
      <c r="A10" s="223" t="s">
        <v>122</v>
      </c>
      <c r="B10" s="224" t="s">
        <v>123</v>
      </c>
      <c r="C10" s="224" t="s">
        <v>103</v>
      </c>
      <c r="D10" s="224" t="s">
        <v>124</v>
      </c>
      <c r="E10" s="225" t="s">
        <v>130</v>
      </c>
      <c r="F10" s="226" t="s">
        <v>88</v>
      </c>
      <c r="G10" s="1145"/>
      <c r="H10" s="1124"/>
      <c r="J10" s="147"/>
    </row>
    <row r="11" spans="1:11" s="56" customFormat="1" ht="15.75" customHeight="1">
      <c r="A11" s="8"/>
      <c r="B11" s="1"/>
      <c r="C11" s="10"/>
      <c r="D11" s="1"/>
      <c r="E11" s="10"/>
      <c r="F11" s="2"/>
      <c r="G11" s="6"/>
      <c r="H11" s="176"/>
      <c r="J11" s="142"/>
      <c r="K11" s="21"/>
    </row>
    <row r="12" spans="1:11" s="56" customFormat="1" ht="15.75" customHeight="1">
      <c r="A12" s="8">
        <v>3</v>
      </c>
      <c r="B12" s="1" t="s">
        <v>46</v>
      </c>
      <c r="C12" s="10" t="s">
        <v>46</v>
      </c>
      <c r="D12" s="1" t="s">
        <v>45</v>
      </c>
      <c r="E12" s="10" t="s">
        <v>608</v>
      </c>
      <c r="F12" s="2">
        <v>55603</v>
      </c>
      <c r="G12" s="6" t="s">
        <v>145</v>
      </c>
      <c r="H12" s="176"/>
      <c r="J12" s="142"/>
      <c r="K12" s="21"/>
    </row>
    <row r="13" spans="1:11" s="56" customFormat="1" ht="15.75" customHeight="1">
      <c r="A13" s="8">
        <v>3</v>
      </c>
      <c r="B13" s="1" t="s">
        <v>46</v>
      </c>
      <c r="C13" s="10" t="s">
        <v>46</v>
      </c>
      <c r="D13" s="1" t="s">
        <v>45</v>
      </c>
      <c r="E13" s="10" t="s">
        <v>608</v>
      </c>
      <c r="F13" s="2">
        <v>61501</v>
      </c>
      <c r="G13" s="6" t="s">
        <v>214</v>
      </c>
      <c r="H13" s="176"/>
      <c r="J13" s="142"/>
      <c r="K13" s="21"/>
    </row>
    <row r="14" spans="1:11" s="56" customFormat="1" ht="15.75" customHeight="1">
      <c r="A14" s="8">
        <v>3</v>
      </c>
      <c r="B14" s="1" t="s">
        <v>46</v>
      </c>
      <c r="C14" s="10" t="s">
        <v>46</v>
      </c>
      <c r="D14" s="1" t="s">
        <v>45</v>
      </c>
      <c r="E14" s="10" t="s">
        <v>608</v>
      </c>
      <c r="F14" s="2">
        <v>61502</v>
      </c>
      <c r="G14" s="6" t="s">
        <v>215</v>
      </c>
      <c r="H14" s="176"/>
      <c r="J14" s="142"/>
      <c r="K14" s="21"/>
    </row>
    <row r="15" spans="1:11" ht="15.75" customHeight="1">
      <c r="A15" s="8">
        <v>3</v>
      </c>
      <c r="B15" s="1" t="s">
        <v>46</v>
      </c>
      <c r="C15" s="10" t="s">
        <v>46</v>
      </c>
      <c r="D15" s="1" t="s">
        <v>45</v>
      </c>
      <c r="E15" s="10" t="s">
        <v>608</v>
      </c>
      <c r="F15" s="2">
        <v>61503</v>
      </c>
      <c r="G15" s="6" t="s">
        <v>216</v>
      </c>
      <c r="H15" s="176"/>
    </row>
    <row r="16" spans="1:11" ht="15.75" customHeight="1">
      <c r="A16" s="8">
        <v>3</v>
      </c>
      <c r="B16" s="1" t="s">
        <v>46</v>
      </c>
      <c r="C16" s="10" t="s">
        <v>46</v>
      </c>
      <c r="D16" s="1" t="s">
        <v>45</v>
      </c>
      <c r="E16" s="10" t="s">
        <v>608</v>
      </c>
      <c r="F16" s="2">
        <v>61599</v>
      </c>
      <c r="G16" s="6" t="s">
        <v>164</v>
      </c>
      <c r="H16" s="176"/>
    </row>
    <row r="17" spans="1:11" ht="15.75" customHeight="1">
      <c r="A17" s="8">
        <v>3</v>
      </c>
      <c r="B17" s="1" t="s">
        <v>46</v>
      </c>
      <c r="C17" s="10" t="s">
        <v>46</v>
      </c>
      <c r="D17" s="1" t="s">
        <v>45</v>
      </c>
      <c r="E17" s="10" t="s">
        <v>608</v>
      </c>
      <c r="F17" s="2">
        <v>61601</v>
      </c>
      <c r="G17" s="6" t="s">
        <v>165</v>
      </c>
      <c r="H17" s="176"/>
    </row>
    <row r="18" spans="1:11" ht="15.75" customHeight="1">
      <c r="A18" s="8">
        <v>3</v>
      </c>
      <c r="B18" s="1" t="s">
        <v>46</v>
      </c>
      <c r="C18" s="10" t="s">
        <v>46</v>
      </c>
      <c r="D18" s="1" t="s">
        <v>45</v>
      </c>
      <c r="E18" s="10" t="s">
        <v>608</v>
      </c>
      <c r="F18" s="2">
        <v>61602</v>
      </c>
      <c r="G18" s="6" t="s">
        <v>217</v>
      </c>
      <c r="H18" s="176"/>
    </row>
    <row r="19" spans="1:11" ht="15.75" customHeight="1">
      <c r="A19" s="8">
        <v>3</v>
      </c>
      <c r="B19" s="1" t="s">
        <v>46</v>
      </c>
      <c r="C19" s="10" t="s">
        <v>46</v>
      </c>
      <c r="D19" s="1" t="s">
        <v>45</v>
      </c>
      <c r="E19" s="10" t="s">
        <v>608</v>
      </c>
      <c r="F19" s="2">
        <v>61603</v>
      </c>
      <c r="G19" s="6" t="s">
        <v>218</v>
      </c>
      <c r="H19" s="176"/>
    </row>
    <row r="20" spans="1:11" ht="15.75" customHeight="1">
      <c r="A20" s="8">
        <v>3</v>
      </c>
      <c r="B20" s="1" t="s">
        <v>46</v>
      </c>
      <c r="C20" s="10" t="s">
        <v>46</v>
      </c>
      <c r="D20" s="1" t="s">
        <v>45</v>
      </c>
      <c r="E20" s="10" t="s">
        <v>608</v>
      </c>
      <c r="F20" s="2">
        <v>61604</v>
      </c>
      <c r="G20" s="6" t="s">
        <v>219</v>
      </c>
      <c r="H20" s="176"/>
    </row>
    <row r="21" spans="1:11" ht="15.75" customHeight="1">
      <c r="A21" s="8">
        <v>3</v>
      </c>
      <c r="B21" s="1" t="s">
        <v>46</v>
      </c>
      <c r="C21" s="10" t="s">
        <v>46</v>
      </c>
      <c r="D21" s="1" t="s">
        <v>45</v>
      </c>
      <c r="E21" s="10" t="s">
        <v>608</v>
      </c>
      <c r="F21" s="2">
        <v>61606</v>
      </c>
      <c r="G21" s="6" t="s">
        <v>220</v>
      </c>
      <c r="H21" s="176"/>
    </row>
    <row r="22" spans="1:11" ht="15.75" customHeight="1">
      <c r="A22" s="8">
        <v>3</v>
      </c>
      <c r="B22" s="1" t="s">
        <v>46</v>
      </c>
      <c r="C22" s="10" t="s">
        <v>46</v>
      </c>
      <c r="D22" s="1" t="s">
        <v>45</v>
      </c>
      <c r="E22" s="10" t="s">
        <v>608</v>
      </c>
      <c r="F22" s="2">
        <v>61607</v>
      </c>
      <c r="G22" s="6" t="s">
        <v>166</v>
      </c>
      <c r="H22" s="176"/>
    </row>
    <row r="23" spans="1:11" ht="15.75" customHeight="1">
      <c r="A23" s="8">
        <v>3</v>
      </c>
      <c r="B23" s="1" t="s">
        <v>46</v>
      </c>
      <c r="C23" s="10" t="s">
        <v>46</v>
      </c>
      <c r="D23" s="1" t="s">
        <v>45</v>
      </c>
      <c r="E23" s="10" t="s">
        <v>608</v>
      </c>
      <c r="F23" s="2">
        <v>61608</v>
      </c>
      <c r="G23" s="6" t="s">
        <v>167</v>
      </c>
      <c r="H23" s="176"/>
    </row>
    <row r="24" spans="1:11" ht="15.75" customHeight="1">
      <c r="A24" s="8">
        <v>3</v>
      </c>
      <c r="B24" s="1" t="s">
        <v>46</v>
      </c>
      <c r="C24" s="10" t="s">
        <v>46</v>
      </c>
      <c r="D24" s="1" t="s">
        <v>45</v>
      </c>
      <c r="E24" s="10" t="s">
        <v>608</v>
      </c>
      <c r="F24" s="2">
        <v>61609</v>
      </c>
      <c r="G24" s="6" t="s">
        <v>493</v>
      </c>
      <c r="H24" s="176"/>
    </row>
    <row r="25" spans="1:11" ht="15.75" customHeight="1">
      <c r="A25" s="8">
        <v>3</v>
      </c>
      <c r="B25" s="1" t="s">
        <v>46</v>
      </c>
      <c r="C25" s="10" t="s">
        <v>46</v>
      </c>
      <c r="D25" s="1" t="s">
        <v>45</v>
      </c>
      <c r="E25" s="10" t="s">
        <v>608</v>
      </c>
      <c r="F25" s="2">
        <v>61699</v>
      </c>
      <c r="G25" s="6" t="s">
        <v>168</v>
      </c>
      <c r="H25" s="176"/>
    </row>
    <row r="26" spans="1:11" ht="15.75" customHeight="1">
      <c r="A26" s="18"/>
      <c r="B26" s="16"/>
      <c r="C26" s="1"/>
      <c r="D26" s="16"/>
      <c r="E26" s="193"/>
      <c r="F26" s="168"/>
      <c r="G26" s="7"/>
      <c r="H26" s="177"/>
    </row>
    <row r="27" spans="1:11" ht="15.75" customHeight="1" thickBot="1">
      <c r="A27" s="18"/>
      <c r="B27" s="16"/>
      <c r="C27" s="167"/>
      <c r="D27" s="16"/>
      <c r="E27" s="167"/>
      <c r="F27" s="168">
        <v>72101</v>
      </c>
      <c r="G27" s="7" t="s">
        <v>522</v>
      </c>
      <c r="H27" s="177">
        <v>59228.68</v>
      </c>
    </row>
    <row r="28" spans="1:11" ht="27.75" customHeight="1" thickBot="1">
      <c r="A28" s="1177"/>
      <c r="B28" s="1178"/>
      <c r="C28" s="1178"/>
      <c r="D28" s="1178"/>
      <c r="E28" s="1178"/>
      <c r="F28" s="1179"/>
      <c r="G28" s="268" t="s">
        <v>169</v>
      </c>
      <c r="H28" s="229">
        <f>SUM(H11:H27)</f>
        <v>59228.68</v>
      </c>
      <c r="J28" s="146"/>
      <c r="K28" s="55"/>
    </row>
    <row r="29" spans="1:11">
      <c r="A29" s="22"/>
      <c r="B29" s="22"/>
      <c r="C29" s="22"/>
      <c r="D29" s="22"/>
      <c r="E29" s="22"/>
      <c r="F29" s="22"/>
      <c r="H29" s="31"/>
      <c r="K29" s="143"/>
    </row>
    <row r="30" spans="1:11" ht="15.75">
      <c r="A30" s="22"/>
      <c r="B30" s="22"/>
      <c r="C30" s="22"/>
      <c r="D30" s="22"/>
      <c r="E30" s="22"/>
      <c r="F30" s="22"/>
      <c r="G30" s="32"/>
      <c r="H30" s="152"/>
      <c r="K30" s="143"/>
    </row>
    <row r="31" spans="1:11" ht="19.5" customHeight="1">
      <c r="A31" s="1180" t="s">
        <v>8</v>
      </c>
      <c r="B31" s="1180"/>
      <c r="C31" s="1180"/>
      <c r="D31" s="1180"/>
      <c r="E31" s="1180"/>
      <c r="F31" s="1180"/>
      <c r="H31" s="153">
        <f>+H28-H30</f>
        <v>59228.68</v>
      </c>
      <c r="K31" s="169"/>
    </row>
    <row r="32" spans="1:11">
      <c r="A32" s="1172" t="s">
        <v>1</v>
      </c>
      <c r="B32" s="1172"/>
      <c r="C32" s="1172"/>
      <c r="D32" s="1172"/>
      <c r="E32" s="1172"/>
      <c r="F32" s="1172"/>
      <c r="G32" s="1172"/>
    </row>
    <row r="33" spans="1:8">
      <c r="A33" s="1172" t="s">
        <v>575</v>
      </c>
      <c r="B33" s="1172"/>
      <c r="C33" s="1172"/>
      <c r="D33" s="1172"/>
      <c r="E33" s="1172"/>
      <c r="F33" s="1172"/>
      <c r="G33" s="1172"/>
      <c r="H33" s="57"/>
    </row>
    <row r="34" spans="1:8" ht="13.5" thickBot="1">
      <c r="A34" s="1172" t="s">
        <v>576</v>
      </c>
      <c r="B34" s="1172"/>
      <c r="C34" s="1172"/>
      <c r="D34" s="1172"/>
      <c r="E34" s="1172"/>
      <c r="F34" s="1172"/>
      <c r="G34" s="1172"/>
    </row>
    <row r="35" spans="1:8" ht="13.5" thickBot="1">
      <c r="A35" s="1231" t="s">
        <v>626</v>
      </c>
      <c r="B35" s="1232"/>
      <c r="C35" s="1232"/>
      <c r="D35" s="1232"/>
      <c r="E35" s="1232"/>
      <c r="F35" s="1232"/>
      <c r="G35" s="1233"/>
    </row>
    <row r="37" spans="1:8">
      <c r="E37" s="324" t="s">
        <v>628</v>
      </c>
      <c r="F37"/>
      <c r="G37"/>
      <c r="H37"/>
    </row>
    <row r="38" spans="1:8">
      <c r="E38"/>
      <c r="F38"/>
      <c r="G38"/>
      <c r="H38"/>
    </row>
    <row r="39" spans="1:8">
      <c r="E39" s="324"/>
      <c r="F39"/>
      <c r="G39"/>
      <c r="H39"/>
    </row>
    <row r="40" spans="1:8" ht="15">
      <c r="E40" s="7" t="s">
        <v>522</v>
      </c>
      <c r="F40" s="324"/>
      <c r="G40" s="324"/>
      <c r="H40"/>
    </row>
    <row r="41" spans="1:8">
      <c r="E41" s="282" t="s">
        <v>562</v>
      </c>
      <c r="F41" s="282" t="s">
        <v>567</v>
      </c>
      <c r="G41" s="282" t="s">
        <v>565</v>
      </c>
      <c r="H41"/>
    </row>
    <row r="42" spans="1:8" ht="127.5">
      <c r="E42" s="168">
        <v>72101</v>
      </c>
      <c r="F42" s="331" t="s">
        <v>627</v>
      </c>
      <c r="G42" s="330">
        <v>59228.68</v>
      </c>
      <c r="H42" s="324"/>
    </row>
    <row r="43" spans="1:8">
      <c r="E43" s="283"/>
      <c r="F43" s="283"/>
      <c r="G43" s="283"/>
      <c r="H43"/>
    </row>
    <row r="44" spans="1:8">
      <c r="E44"/>
      <c r="F44"/>
      <c r="G44"/>
      <c r="H44"/>
    </row>
    <row r="45" spans="1:8" ht="13.5" thickBot="1">
      <c r="E45"/>
      <c r="F45"/>
      <c r="G45"/>
      <c r="H45"/>
    </row>
    <row r="46" spans="1:8" ht="13.5" thickBot="1">
      <c r="E46"/>
      <c r="F46" s="266" t="s">
        <v>618</v>
      </c>
      <c r="G46" s="329">
        <f>G42</f>
        <v>59228.68</v>
      </c>
      <c r="H46"/>
    </row>
  </sheetData>
  <mergeCells count="18">
    <mergeCell ref="A5:H5"/>
    <mergeCell ref="A1:D1"/>
    <mergeCell ref="E1:H1"/>
    <mergeCell ref="A2:I2"/>
    <mergeCell ref="A3:H3"/>
    <mergeCell ref="A4:H4"/>
    <mergeCell ref="A35:G35"/>
    <mergeCell ref="A6:H6"/>
    <mergeCell ref="A7:H7"/>
    <mergeCell ref="A8:H8"/>
    <mergeCell ref="A9:F9"/>
    <mergeCell ref="G9:G10"/>
    <mergeCell ref="H9:H10"/>
    <mergeCell ref="A28:F28"/>
    <mergeCell ref="A31:F31"/>
    <mergeCell ref="A32:G32"/>
    <mergeCell ref="A33:G33"/>
    <mergeCell ref="A34:G34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E27"/>
  <sheetViews>
    <sheetView view="pageBreakPreview" topLeftCell="A13" zoomScale="118" zoomScaleNormal="85" zoomScaleSheetLayoutView="118" workbookViewId="0">
      <selection activeCell="B20" sqref="B20"/>
    </sheetView>
  </sheetViews>
  <sheetFormatPr baseColWidth="10" defaultColWidth="18.7109375" defaultRowHeight="12.75"/>
  <cols>
    <col min="1" max="1" width="16.42578125" style="369" customWidth="1"/>
    <col min="2" max="2" width="40.140625" style="369" customWidth="1"/>
    <col min="3" max="3" width="23.5703125" style="369" customWidth="1"/>
    <col min="4" max="16384" width="18.7109375" style="369"/>
  </cols>
  <sheetData>
    <row r="1" spans="1:5" ht="26.25" customHeight="1">
      <c r="A1" s="1000" t="s">
        <v>334</v>
      </c>
      <c r="B1" s="1000"/>
      <c r="C1" s="1000"/>
      <c r="D1" s="368"/>
      <c r="E1" s="368"/>
    </row>
    <row r="2" spans="1:5" ht="24.75" customHeight="1">
      <c r="A2" s="1000" t="s">
        <v>327</v>
      </c>
      <c r="B2" s="1000"/>
      <c r="C2" s="1000"/>
      <c r="D2" s="370"/>
      <c r="E2" s="370"/>
    </row>
    <row r="3" spans="1:5" ht="24" customHeight="1">
      <c r="A3" s="1000" t="s">
        <v>964</v>
      </c>
      <c r="B3" s="1000"/>
      <c r="C3" s="1000"/>
      <c r="D3" s="371"/>
      <c r="E3" s="371"/>
    </row>
    <row r="4" spans="1:5" ht="26.25" customHeight="1">
      <c r="A4" s="1000" t="s">
        <v>114</v>
      </c>
      <c r="B4" s="1000"/>
      <c r="C4" s="1000"/>
      <c r="D4" s="371"/>
      <c r="E4" s="371"/>
    </row>
    <row r="5" spans="1:5" ht="10.15" customHeight="1" thickBot="1">
      <c r="A5" s="367"/>
      <c r="B5" s="367"/>
      <c r="C5" s="367"/>
      <c r="D5" s="371"/>
      <c r="E5" s="371"/>
    </row>
    <row r="6" spans="1:5" s="374" customFormat="1" ht="37.5" customHeight="1" thickBot="1">
      <c r="A6" s="372" t="s">
        <v>107</v>
      </c>
      <c r="B6" s="373" t="s">
        <v>85</v>
      </c>
      <c r="C6" s="373" t="s">
        <v>108</v>
      </c>
    </row>
    <row r="7" spans="1:5" s="378" customFormat="1" ht="24.95" customHeight="1">
      <c r="A7" s="375">
        <v>11</v>
      </c>
      <c r="B7" s="376" t="s">
        <v>109</v>
      </c>
      <c r="C7" s="377">
        <f>Ingresos!I9</f>
        <v>158754.09666666665</v>
      </c>
    </row>
    <row r="8" spans="1:5" s="378" customFormat="1" ht="24.95" customHeight="1">
      <c r="A8" s="379">
        <v>12</v>
      </c>
      <c r="B8" s="380" t="s">
        <v>110</v>
      </c>
      <c r="C8" s="381">
        <f>Ingresos!I20</f>
        <v>264511.49000000005</v>
      </c>
    </row>
    <row r="9" spans="1:5" s="378" customFormat="1" ht="24.95" customHeight="1">
      <c r="A9" s="379">
        <v>14</v>
      </c>
      <c r="B9" s="380" t="s">
        <v>111</v>
      </c>
      <c r="C9" s="381">
        <f>Ingresos!I38</f>
        <v>8872.91</v>
      </c>
    </row>
    <row r="10" spans="1:5" s="378" customFormat="1" ht="24.95" customHeight="1">
      <c r="A10" s="379">
        <v>15</v>
      </c>
      <c r="B10" s="380" t="s">
        <v>112</v>
      </c>
      <c r="C10" s="381">
        <f>Ingresos!I42</f>
        <v>20139.68</v>
      </c>
    </row>
    <row r="11" spans="1:5" s="378" customFormat="1" ht="30" customHeight="1">
      <c r="A11" s="379">
        <v>16</v>
      </c>
      <c r="B11" s="380" t="s">
        <v>959</v>
      </c>
      <c r="C11" s="381">
        <f>Ingresos!D61</f>
        <v>693517.89</v>
      </c>
    </row>
    <row r="12" spans="1:5" s="378" customFormat="1" ht="24.95" customHeight="1">
      <c r="A12" s="382">
        <v>22</v>
      </c>
      <c r="B12" s="383" t="s">
        <v>1191</v>
      </c>
      <c r="C12" s="384">
        <f>Ingresos!I68</f>
        <v>24952</v>
      </c>
    </row>
    <row r="13" spans="1:5" s="378" customFormat="1" ht="24.95" customHeight="1">
      <c r="A13" s="382">
        <v>22</v>
      </c>
      <c r="B13" s="383" t="s">
        <v>666</v>
      </c>
      <c r="C13" s="384">
        <f>Ingresos!I56</f>
        <v>480000.03</v>
      </c>
    </row>
    <row r="14" spans="1:5" s="378" customFormat="1" ht="33.75" customHeight="1" thickBot="1">
      <c r="A14" s="382">
        <v>32</v>
      </c>
      <c r="B14" s="383" t="s">
        <v>581</v>
      </c>
      <c r="C14" s="384">
        <f>Ingresos!I73+Ingresos!I78</f>
        <v>612373.58600000001</v>
      </c>
    </row>
    <row r="15" spans="1:5" s="378" customFormat="1" ht="24.95" customHeight="1" thickBot="1">
      <c r="A15" s="998" t="s">
        <v>115</v>
      </c>
      <c r="B15" s="999"/>
      <c r="C15" s="385">
        <f>SUM(C7:C14)+0.01</f>
        <v>2263121.6926666666</v>
      </c>
    </row>
    <row r="16" spans="1:5" s="378" customFormat="1" ht="10.15" customHeight="1">
      <c r="A16" s="386"/>
      <c r="B16" s="386"/>
      <c r="C16" s="387"/>
    </row>
    <row r="17" spans="1:4" s="378" customFormat="1" ht="26.25" customHeight="1" thickBot="1">
      <c r="A17" s="1001" t="s">
        <v>117</v>
      </c>
      <c r="B17" s="1001"/>
      <c r="C17" s="1001"/>
    </row>
    <row r="18" spans="1:4" s="378" customFormat="1" ht="37.5" customHeight="1" thickBot="1">
      <c r="A18" s="372" t="s">
        <v>107</v>
      </c>
      <c r="B18" s="372" t="s">
        <v>85</v>
      </c>
      <c r="C18" s="373" t="s">
        <v>108</v>
      </c>
    </row>
    <row r="19" spans="1:4" s="378" customFormat="1" ht="24.95" customHeight="1">
      <c r="A19" s="375">
        <v>51</v>
      </c>
      <c r="B19" s="376" t="s">
        <v>118</v>
      </c>
      <c r="C19" s="377">
        <f>Egresos!I9</f>
        <v>932596.27499999991</v>
      </c>
    </row>
    <row r="20" spans="1:4" s="378" customFormat="1" ht="32.25" customHeight="1">
      <c r="A20" s="379">
        <v>54</v>
      </c>
      <c r="B20" s="380" t="s">
        <v>119</v>
      </c>
      <c r="C20" s="381">
        <f>Egresos!I39</f>
        <v>1066061.6099999999</v>
      </c>
    </row>
    <row r="21" spans="1:4" s="378" customFormat="1" ht="24.95" customHeight="1">
      <c r="A21" s="379">
        <v>55</v>
      </c>
      <c r="B21" s="380" t="s">
        <v>120</v>
      </c>
      <c r="C21" s="381">
        <f>Egresos!I108</f>
        <v>13721.44</v>
      </c>
    </row>
    <row r="22" spans="1:4" s="378" customFormat="1" ht="24.95" customHeight="1">
      <c r="A22" s="379">
        <v>56</v>
      </c>
      <c r="B22" s="380" t="s">
        <v>113</v>
      </c>
      <c r="C22" s="381">
        <f>Egresos!I120</f>
        <v>18500</v>
      </c>
      <c r="D22" s="387"/>
    </row>
    <row r="23" spans="1:4" s="378" customFormat="1" ht="24.95" customHeight="1">
      <c r="A23" s="379">
        <v>61</v>
      </c>
      <c r="B23" s="380" t="s">
        <v>1189</v>
      </c>
      <c r="C23" s="381">
        <f>Egresos!I130</f>
        <v>42689.11</v>
      </c>
    </row>
    <row r="24" spans="1:4" ht="36" customHeight="1" thickBot="1">
      <c r="A24" s="382">
        <v>72</v>
      </c>
      <c r="B24" s="378" t="s">
        <v>524</v>
      </c>
      <c r="C24" s="388">
        <f>+Egresos!I160</f>
        <v>189553.25</v>
      </c>
    </row>
    <row r="25" spans="1:4" ht="24.95" customHeight="1" thickBot="1">
      <c r="A25" s="998" t="s">
        <v>116</v>
      </c>
      <c r="B25" s="999"/>
      <c r="C25" s="385">
        <f>SUM(C19:C24)</f>
        <v>2263121.6849999996</v>
      </c>
    </row>
    <row r="26" spans="1:4" ht="18" customHeight="1"/>
    <row r="27" spans="1:4" ht="18" customHeight="1"/>
  </sheetData>
  <mergeCells count="7">
    <mergeCell ref="A25:B25"/>
    <mergeCell ref="A3:C3"/>
    <mergeCell ref="A1:C1"/>
    <mergeCell ref="A2:C2"/>
    <mergeCell ref="A4:C4"/>
    <mergeCell ref="A15:B15"/>
    <mergeCell ref="A17:C17"/>
  </mergeCells>
  <printOptions horizontalCentered="1"/>
  <pageMargins left="0.70866141732283472" right="0.70866141732283472" top="1.1417322834645669" bottom="0.74803149606299213" header="0.31496062992125984" footer="0.31496062992125984"/>
  <pageSetup paperSize="5" scale="93" fitToWidth="0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8"/>
    <pageSetUpPr fitToPage="1"/>
  </sheetPr>
  <dimension ref="A1:K23"/>
  <sheetViews>
    <sheetView view="pageBreakPreview" zoomScale="80" zoomScaleNormal="75" zoomScaleSheetLayoutView="80" workbookViewId="0">
      <selection sqref="A1:K20"/>
    </sheetView>
  </sheetViews>
  <sheetFormatPr baseColWidth="10" defaultColWidth="11.42578125" defaultRowHeight="12.75"/>
  <cols>
    <col min="1" max="1" width="5.85546875" style="36" customWidth="1"/>
    <col min="2" max="2" width="28.7109375" style="36" customWidth="1"/>
    <col min="3" max="3" width="10.28515625" style="36" customWidth="1"/>
    <col min="4" max="4" width="34.140625" style="36" customWidth="1"/>
    <col min="5" max="5" width="13.42578125" style="36" customWidth="1"/>
    <col min="6" max="7" width="11" style="36" customWidth="1"/>
    <col min="8" max="9" width="12.140625" style="36" customWidth="1"/>
    <col min="10" max="10" width="17.42578125" style="36" customWidth="1"/>
    <col min="11" max="16384" width="11.42578125" style="36"/>
  </cols>
  <sheetData>
    <row r="1" spans="1:11" ht="22.5" customHeight="1">
      <c r="A1" s="1138" t="s">
        <v>327</v>
      </c>
      <c r="B1" s="1138"/>
      <c r="C1" s="1138"/>
      <c r="D1" s="1138"/>
      <c r="E1" s="1138"/>
      <c r="F1" s="1138"/>
      <c r="G1" s="1138"/>
      <c r="H1" s="1138"/>
      <c r="I1" s="1138"/>
      <c r="J1" s="1138"/>
      <c r="K1" s="1138"/>
    </row>
    <row r="2" spans="1:11" ht="21" customHeight="1">
      <c r="A2" s="1247" t="s">
        <v>1016</v>
      </c>
      <c r="B2" s="1247"/>
      <c r="C2" s="1247"/>
      <c r="D2" s="1247"/>
      <c r="E2" s="1247"/>
      <c r="F2" s="1247"/>
      <c r="G2" s="1247"/>
      <c r="H2" s="1247"/>
      <c r="I2" s="1247"/>
      <c r="J2" s="1247"/>
    </row>
    <row r="3" spans="1:11" ht="12.75" customHeight="1" thickBot="1">
      <c r="B3" s="1149"/>
      <c r="C3" s="1149"/>
      <c r="D3" s="1149"/>
      <c r="E3" s="1149"/>
      <c r="F3" s="1149"/>
      <c r="G3" s="1149"/>
      <c r="H3" s="1149"/>
      <c r="I3" s="1149"/>
      <c r="J3" s="1149"/>
    </row>
    <row r="4" spans="1:11" ht="33" customHeight="1" thickTop="1" thickBot="1">
      <c r="A4" s="1237" t="s">
        <v>221</v>
      </c>
      <c r="B4" s="1235" t="s">
        <v>227</v>
      </c>
      <c r="C4" s="1242" t="s">
        <v>226</v>
      </c>
      <c r="D4" s="1242"/>
      <c r="E4" s="232" t="s">
        <v>249</v>
      </c>
      <c r="F4" s="1240" t="s">
        <v>250</v>
      </c>
      <c r="G4" s="1241"/>
      <c r="H4" s="1241"/>
      <c r="I4" s="1251" t="s">
        <v>223</v>
      </c>
      <c r="J4" s="1243" t="s">
        <v>225</v>
      </c>
    </row>
    <row r="5" spans="1:11" ht="26.25" customHeight="1" thickBot="1">
      <c r="A5" s="1238"/>
      <c r="B5" s="1246"/>
      <c r="C5" s="1242"/>
      <c r="D5" s="1242"/>
      <c r="E5" s="1235" t="s">
        <v>224</v>
      </c>
      <c r="F5" s="1235" t="s">
        <v>341</v>
      </c>
      <c r="G5" s="1235" t="s">
        <v>342</v>
      </c>
      <c r="H5" s="1235" t="s">
        <v>693</v>
      </c>
      <c r="I5" s="1246"/>
      <c r="J5" s="1244"/>
    </row>
    <row r="6" spans="1:11" ht="6" customHeight="1" thickBot="1">
      <c r="A6" s="1239"/>
      <c r="B6" s="1236"/>
      <c r="C6" s="1242"/>
      <c r="D6" s="1242"/>
      <c r="E6" s="1236"/>
      <c r="F6" s="1236"/>
      <c r="G6" s="1236"/>
      <c r="H6" s="1236"/>
      <c r="I6" s="1236"/>
      <c r="J6" s="1245"/>
    </row>
    <row r="7" spans="1:11" ht="30" customHeight="1">
      <c r="A7" s="58">
        <v>1</v>
      </c>
      <c r="B7" s="39" t="s">
        <v>646</v>
      </c>
      <c r="C7" s="90" t="s">
        <v>77</v>
      </c>
      <c r="D7" s="289" t="s">
        <v>629</v>
      </c>
      <c r="E7" s="62">
        <v>880</v>
      </c>
      <c r="F7" s="38"/>
      <c r="G7" s="60"/>
      <c r="H7" s="60"/>
      <c r="I7" s="89">
        <f>SUM(E7:H7)</f>
        <v>880</v>
      </c>
      <c r="J7" s="62">
        <f>+I7*12</f>
        <v>10560</v>
      </c>
    </row>
    <row r="8" spans="1:11" ht="30" customHeight="1">
      <c r="A8" s="58">
        <v>2</v>
      </c>
      <c r="B8" s="39" t="s">
        <v>1179</v>
      </c>
      <c r="C8" s="90">
        <v>101</v>
      </c>
      <c r="D8" s="289" t="s">
        <v>1180</v>
      </c>
      <c r="E8" s="62">
        <v>1200</v>
      </c>
      <c r="F8" s="38">
        <v>75</v>
      </c>
      <c r="G8" s="60">
        <v>10</v>
      </c>
      <c r="H8" s="60">
        <v>105</v>
      </c>
      <c r="I8" s="89">
        <f>SUM(E8:H8)</f>
        <v>1390</v>
      </c>
      <c r="J8" s="62">
        <f>+I8*12</f>
        <v>16680</v>
      </c>
    </row>
    <row r="9" spans="1:11" ht="30" customHeight="1">
      <c r="A9" s="58">
        <v>3</v>
      </c>
      <c r="B9" s="39" t="s">
        <v>336</v>
      </c>
      <c r="C9" s="90" t="s">
        <v>77</v>
      </c>
      <c r="D9" s="289" t="s">
        <v>630</v>
      </c>
      <c r="E9" s="62">
        <v>880</v>
      </c>
      <c r="F9" s="38">
        <v>66</v>
      </c>
      <c r="G9" s="60">
        <v>8.8000000000000007</v>
      </c>
      <c r="H9" s="60">
        <v>77</v>
      </c>
      <c r="I9" s="89">
        <f>SUM(E9:H9)</f>
        <v>1031.8</v>
      </c>
      <c r="J9" s="62">
        <f>+I9*12</f>
        <v>12381.599999999999</v>
      </c>
    </row>
    <row r="10" spans="1:11" ht="30" customHeight="1">
      <c r="A10" s="58">
        <v>4</v>
      </c>
      <c r="B10" s="39" t="s">
        <v>337</v>
      </c>
      <c r="C10" s="90" t="s">
        <v>77</v>
      </c>
      <c r="D10" s="289" t="s">
        <v>631</v>
      </c>
      <c r="E10" s="62">
        <v>880</v>
      </c>
      <c r="F10" s="38"/>
      <c r="G10" s="60"/>
      <c r="H10" s="60"/>
      <c r="I10" s="89">
        <f>SUM(E10:H10)</f>
        <v>880</v>
      </c>
      <c r="J10" s="62">
        <f>+I10*12</f>
        <v>10560</v>
      </c>
    </row>
    <row r="11" spans="1:11" ht="30" customHeight="1">
      <c r="A11" s="58">
        <v>5</v>
      </c>
      <c r="B11" s="39" t="s">
        <v>338</v>
      </c>
      <c r="C11" s="90" t="s">
        <v>77</v>
      </c>
      <c r="D11" s="289" t="s">
        <v>632</v>
      </c>
      <c r="E11" s="62">
        <v>880</v>
      </c>
      <c r="F11" s="38">
        <v>66</v>
      </c>
      <c r="G11" s="60">
        <v>8.8000000000000007</v>
      </c>
      <c r="H11" s="60">
        <v>77</v>
      </c>
      <c r="I11" s="89">
        <f>SUM(E11:H11)</f>
        <v>1031.8</v>
      </c>
      <c r="J11" s="62">
        <f>+I11*12</f>
        <v>12381.599999999999</v>
      </c>
    </row>
    <row r="12" spans="1:11" ht="30" customHeight="1">
      <c r="A12" s="58">
        <v>6</v>
      </c>
      <c r="B12" s="39" t="s">
        <v>339</v>
      </c>
      <c r="C12" s="90" t="s">
        <v>77</v>
      </c>
      <c r="D12" s="289" t="s">
        <v>633</v>
      </c>
      <c r="E12" s="62">
        <v>880</v>
      </c>
      <c r="F12" s="38">
        <v>66</v>
      </c>
      <c r="G12" s="60">
        <v>8.8000000000000007</v>
      </c>
      <c r="H12" s="60">
        <v>77</v>
      </c>
      <c r="I12" s="89">
        <f t="shared" ref="I12:I19" si="0">SUM(E12:H12)</f>
        <v>1031.8</v>
      </c>
      <c r="J12" s="62">
        <f t="shared" ref="J12:J19" si="1">+I12*12</f>
        <v>12381.599999999999</v>
      </c>
    </row>
    <row r="13" spans="1:11" ht="30" customHeight="1">
      <c r="A13" s="58">
        <v>7</v>
      </c>
      <c r="B13" s="39" t="s">
        <v>340</v>
      </c>
      <c r="C13" s="90" t="s">
        <v>77</v>
      </c>
      <c r="D13" s="289" t="s">
        <v>634</v>
      </c>
      <c r="E13" s="62">
        <v>880</v>
      </c>
      <c r="F13" s="38"/>
      <c r="G13" s="60"/>
      <c r="H13" s="60"/>
      <c r="I13" s="89">
        <f t="shared" si="0"/>
        <v>880</v>
      </c>
      <c r="J13" s="62">
        <f t="shared" si="1"/>
        <v>10560</v>
      </c>
    </row>
    <row r="14" spans="1:11" ht="30" customHeight="1">
      <c r="A14" s="58">
        <v>8</v>
      </c>
      <c r="B14" s="39" t="s">
        <v>645</v>
      </c>
      <c r="C14" s="90" t="s">
        <v>77</v>
      </c>
      <c r="D14" s="88" t="s">
        <v>635</v>
      </c>
      <c r="E14" s="62">
        <v>880</v>
      </c>
      <c r="F14" s="38">
        <v>66</v>
      </c>
      <c r="G14" s="60">
        <v>8.8000000000000007</v>
      </c>
      <c r="H14" s="60">
        <v>77</v>
      </c>
      <c r="I14" s="89">
        <f t="shared" si="0"/>
        <v>1031.8</v>
      </c>
      <c r="J14" s="62">
        <f t="shared" si="1"/>
        <v>12381.599999999999</v>
      </c>
    </row>
    <row r="15" spans="1:11" ht="30" customHeight="1">
      <c r="A15" s="58">
        <v>9</v>
      </c>
      <c r="B15" s="39" t="s">
        <v>643</v>
      </c>
      <c r="C15" s="90" t="s">
        <v>77</v>
      </c>
      <c r="D15" s="88" t="s">
        <v>636</v>
      </c>
      <c r="E15" s="62">
        <v>880</v>
      </c>
      <c r="F15" s="38">
        <v>66</v>
      </c>
      <c r="G15" s="60">
        <v>8.8000000000000007</v>
      </c>
      <c r="H15" s="60">
        <v>77</v>
      </c>
      <c r="I15" s="89">
        <f t="shared" si="0"/>
        <v>1031.8</v>
      </c>
      <c r="J15" s="62">
        <f t="shared" si="1"/>
        <v>12381.599999999999</v>
      </c>
    </row>
    <row r="16" spans="1:11" ht="30" customHeight="1">
      <c r="A16" s="58">
        <v>10</v>
      </c>
      <c r="B16" s="39" t="s">
        <v>642</v>
      </c>
      <c r="C16" s="90" t="s">
        <v>77</v>
      </c>
      <c r="D16" s="88" t="s">
        <v>637</v>
      </c>
      <c r="E16" s="62">
        <v>880</v>
      </c>
      <c r="F16" s="38">
        <v>66</v>
      </c>
      <c r="G16" s="60">
        <v>8.8000000000000007</v>
      </c>
      <c r="H16" s="60">
        <v>77</v>
      </c>
      <c r="I16" s="89">
        <f t="shared" si="0"/>
        <v>1031.8</v>
      </c>
      <c r="J16" s="62">
        <f t="shared" si="1"/>
        <v>12381.599999999999</v>
      </c>
    </row>
    <row r="17" spans="1:10" ht="30" customHeight="1">
      <c r="A17" s="58">
        <v>11</v>
      </c>
      <c r="B17" s="39" t="s">
        <v>641</v>
      </c>
      <c r="C17" s="90" t="s">
        <v>77</v>
      </c>
      <c r="D17" s="88" t="s">
        <v>638</v>
      </c>
      <c r="E17" s="62">
        <v>880</v>
      </c>
      <c r="F17" s="38"/>
      <c r="G17" s="60"/>
      <c r="H17" s="60"/>
      <c r="I17" s="89">
        <f t="shared" si="0"/>
        <v>880</v>
      </c>
      <c r="J17" s="62">
        <f t="shared" si="1"/>
        <v>10560</v>
      </c>
    </row>
    <row r="18" spans="1:10" ht="30" customHeight="1">
      <c r="A18" s="58">
        <v>12</v>
      </c>
      <c r="B18" s="39" t="s">
        <v>228</v>
      </c>
      <c r="C18" s="90" t="s">
        <v>77</v>
      </c>
      <c r="D18" s="88" t="s">
        <v>639</v>
      </c>
      <c r="E18" s="62">
        <v>880</v>
      </c>
      <c r="F18" s="38">
        <v>66</v>
      </c>
      <c r="G18" s="60">
        <v>8.8000000000000007</v>
      </c>
      <c r="H18" s="60">
        <v>77</v>
      </c>
      <c r="I18" s="89">
        <f t="shared" si="0"/>
        <v>1031.8</v>
      </c>
      <c r="J18" s="62">
        <f t="shared" si="1"/>
        <v>12381.599999999999</v>
      </c>
    </row>
    <row r="19" spans="1:10" ht="30" customHeight="1" thickBot="1">
      <c r="A19" s="58">
        <v>13</v>
      </c>
      <c r="B19" s="39" t="s">
        <v>644</v>
      </c>
      <c r="C19" s="90" t="s">
        <v>77</v>
      </c>
      <c r="D19" s="88" t="s">
        <v>640</v>
      </c>
      <c r="E19" s="62">
        <v>880</v>
      </c>
      <c r="F19" s="38">
        <v>66</v>
      </c>
      <c r="G19" s="60">
        <v>8.8000000000000007</v>
      </c>
      <c r="H19" s="60">
        <v>77</v>
      </c>
      <c r="I19" s="89">
        <f t="shared" si="0"/>
        <v>1031.8</v>
      </c>
      <c r="J19" s="62">
        <f t="shared" si="1"/>
        <v>12381.599999999999</v>
      </c>
    </row>
    <row r="20" spans="1:10" ht="27.75" customHeight="1" thickBot="1">
      <c r="A20" s="1248"/>
      <c r="B20" s="1249"/>
      <c r="C20" s="1249"/>
      <c r="D20" s="1250"/>
      <c r="E20" s="233">
        <f t="shared" ref="E20:J20" si="2">SUM(E7:E19)</f>
        <v>11760</v>
      </c>
      <c r="F20" s="233">
        <f t="shared" si="2"/>
        <v>603</v>
      </c>
      <c r="G20" s="233">
        <f t="shared" si="2"/>
        <v>80.399999999999991</v>
      </c>
      <c r="H20" s="233">
        <f t="shared" si="2"/>
        <v>721</v>
      </c>
      <c r="I20" s="233">
        <f t="shared" si="2"/>
        <v>13164.399999999998</v>
      </c>
      <c r="J20" s="233">
        <f t="shared" si="2"/>
        <v>157972.80000000002</v>
      </c>
    </row>
    <row r="21" spans="1:10" ht="24.95" customHeight="1"/>
    <row r="22" spans="1:10" ht="24.95" customHeight="1">
      <c r="B22" s="1234"/>
      <c r="C22" s="1234"/>
      <c r="D22" s="1234"/>
      <c r="E22" s="33"/>
    </row>
    <row r="23" spans="1:10" ht="24.95" customHeight="1"/>
  </sheetData>
  <mergeCells count="16">
    <mergeCell ref="A1:K1"/>
    <mergeCell ref="B22:D22"/>
    <mergeCell ref="B3:J3"/>
    <mergeCell ref="E5:E6"/>
    <mergeCell ref="A4:A6"/>
    <mergeCell ref="H5:H6"/>
    <mergeCell ref="F4:H4"/>
    <mergeCell ref="C4:C6"/>
    <mergeCell ref="J4:J6"/>
    <mergeCell ref="F5:F6"/>
    <mergeCell ref="B4:B6"/>
    <mergeCell ref="D4:D6"/>
    <mergeCell ref="A2:J2"/>
    <mergeCell ref="A20:D20"/>
    <mergeCell ref="G5:G6"/>
    <mergeCell ref="I4:I6"/>
  </mergeCells>
  <phoneticPr fontId="4" type="noConversion"/>
  <printOptions horizontalCentered="1"/>
  <pageMargins left="1.7" right="0.82" top="0.98425196850393704" bottom="0.98425196850393704" header="0" footer="0"/>
  <pageSetup paperSize="5" scale="89" fitToHeight="0" orientation="landscape" r:id="rId1"/>
  <headerFooter alignWithMargins="0"/>
  <colBreaks count="1" manualBreakCount="1">
    <brk id="10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0000"/>
  </sheetPr>
  <dimension ref="A1:M126"/>
  <sheetViews>
    <sheetView topLeftCell="A40" workbookViewId="0">
      <selection activeCell="E44" sqref="E44"/>
    </sheetView>
  </sheetViews>
  <sheetFormatPr baseColWidth="10" defaultColWidth="11.42578125" defaultRowHeight="12.75"/>
  <cols>
    <col min="1" max="1" width="7" style="36" customWidth="1"/>
    <col min="2" max="2" width="48.28515625" style="36" customWidth="1"/>
    <col min="3" max="3" width="41.85546875" style="36" customWidth="1"/>
    <col min="4" max="4" width="15.5703125" style="36" customWidth="1"/>
    <col min="5" max="5" width="11.42578125" style="36" customWidth="1"/>
    <col min="6" max="7" width="12.85546875" style="36" customWidth="1"/>
    <col min="8" max="8" width="13.7109375" style="36" customWidth="1"/>
    <col min="9" max="9" width="15.140625" style="36" customWidth="1"/>
    <col min="10" max="10" width="10.28515625" style="36" customWidth="1"/>
    <col min="11" max="12" width="15.140625" style="36" customWidth="1"/>
    <col min="13" max="13" width="15" style="36" customWidth="1"/>
    <col min="14" max="16384" width="11.42578125" style="36"/>
  </cols>
  <sheetData>
    <row r="1" spans="1:13" ht="22.5" customHeight="1">
      <c r="A1" s="1247" t="s">
        <v>494</v>
      </c>
      <c r="B1" s="1247"/>
      <c r="C1" s="1247"/>
      <c r="D1" s="1247"/>
      <c r="E1" s="1247"/>
      <c r="F1" s="1247"/>
      <c r="G1" s="1247"/>
      <c r="H1" s="1247"/>
      <c r="I1" s="1247"/>
      <c r="J1" s="1247"/>
      <c r="K1" s="1247"/>
      <c r="L1" s="1247"/>
      <c r="M1" s="1247"/>
    </row>
    <row r="2" spans="1:13" ht="21" customHeight="1">
      <c r="A2" s="1247" t="s">
        <v>329</v>
      </c>
      <c r="B2" s="1247"/>
      <c r="C2" s="1247"/>
      <c r="D2" s="1247"/>
      <c r="E2" s="1247"/>
      <c r="F2" s="1247"/>
      <c r="G2" s="1247"/>
      <c r="H2" s="1247"/>
      <c r="I2" s="1247"/>
      <c r="J2" s="1247"/>
      <c r="K2" s="1247"/>
      <c r="L2" s="1247"/>
      <c r="M2" s="1247"/>
    </row>
    <row r="3" spans="1:13" ht="12.75" customHeight="1" thickBot="1">
      <c r="B3" s="1149"/>
      <c r="C3" s="1149"/>
      <c r="D3" s="1149"/>
      <c r="E3" s="1149"/>
      <c r="F3" s="1149"/>
      <c r="G3" s="1149"/>
      <c r="H3" s="1149"/>
      <c r="I3" s="1149"/>
      <c r="J3" s="1149"/>
      <c r="K3" s="1149"/>
      <c r="L3" s="1149"/>
      <c r="M3" s="1149"/>
    </row>
    <row r="4" spans="1:13" ht="51" customHeight="1" thickBot="1">
      <c r="A4" s="1262"/>
      <c r="B4" s="1259"/>
      <c r="C4" s="82"/>
      <c r="D4" s="1265"/>
      <c r="E4" s="1266"/>
      <c r="F4" s="1267"/>
      <c r="G4" s="1267"/>
      <c r="H4" s="1268"/>
      <c r="I4" s="1256"/>
      <c r="J4" s="1257"/>
      <c r="K4" s="1257"/>
      <c r="L4" s="1258"/>
      <c r="M4" s="1259"/>
    </row>
    <row r="5" spans="1:13" ht="26.25" customHeight="1" thickBot="1">
      <c r="A5" s="1263"/>
      <c r="B5" s="1260"/>
      <c r="C5" s="81"/>
      <c r="D5" s="1265"/>
      <c r="E5" s="1259"/>
      <c r="F5" s="1259"/>
      <c r="G5" s="82"/>
      <c r="H5" s="82"/>
      <c r="I5" s="1259"/>
      <c r="J5" s="82"/>
      <c r="K5" s="1259"/>
      <c r="L5" s="81"/>
      <c r="M5" s="1260"/>
    </row>
    <row r="6" spans="1:13" ht="13.5" thickBot="1">
      <c r="A6" s="1264"/>
      <c r="B6" s="1261"/>
      <c r="C6" s="80"/>
      <c r="D6" s="1265"/>
      <c r="E6" s="1261"/>
      <c r="F6" s="1261"/>
      <c r="G6" s="80"/>
      <c r="H6" s="80"/>
      <c r="I6" s="1261"/>
      <c r="J6" s="80"/>
      <c r="K6" s="1261"/>
      <c r="L6" s="80"/>
      <c r="M6" s="1261"/>
    </row>
    <row r="7" spans="1:13" ht="15" customHeight="1">
      <c r="A7" s="58"/>
      <c r="B7" s="40"/>
      <c r="C7" s="91"/>
      <c r="D7" s="37"/>
      <c r="E7" s="62"/>
      <c r="F7" s="62"/>
      <c r="G7" s="62"/>
      <c r="H7" s="62"/>
      <c r="I7" s="38"/>
      <c r="J7" s="60"/>
      <c r="K7" s="60"/>
      <c r="L7" s="60"/>
      <c r="M7" s="59"/>
    </row>
    <row r="8" spans="1:13" ht="15" customHeight="1">
      <c r="A8" s="58"/>
      <c r="B8" s="39"/>
      <c r="C8" s="92"/>
      <c r="D8" s="37"/>
      <c r="E8" s="62"/>
      <c r="F8" s="62"/>
      <c r="G8" s="62"/>
      <c r="H8" s="62"/>
      <c r="I8" s="38"/>
      <c r="J8" s="60"/>
      <c r="K8" s="60"/>
      <c r="L8" s="60"/>
      <c r="M8" s="59"/>
    </row>
    <row r="9" spans="1:13" ht="15" customHeight="1">
      <c r="A9" s="58"/>
      <c r="B9" s="39"/>
      <c r="C9" s="92"/>
      <c r="D9" s="37"/>
      <c r="E9" s="62"/>
      <c r="F9" s="62"/>
      <c r="G9" s="62"/>
      <c r="H9" s="62"/>
      <c r="I9" s="38"/>
      <c r="J9" s="60"/>
      <c r="K9" s="60"/>
      <c r="L9" s="60"/>
      <c r="M9" s="59"/>
    </row>
    <row r="10" spans="1:13" ht="15" customHeight="1">
      <c r="A10" s="58"/>
      <c r="B10" s="39"/>
      <c r="C10" s="92"/>
      <c r="D10" s="37"/>
      <c r="E10" s="62"/>
      <c r="F10" s="62"/>
      <c r="G10" s="62"/>
      <c r="H10" s="62"/>
      <c r="I10" s="38"/>
      <c r="J10" s="60"/>
      <c r="K10" s="60"/>
      <c r="L10" s="60"/>
      <c r="M10" s="59"/>
    </row>
    <row r="11" spans="1:13" ht="15" customHeight="1">
      <c r="A11" s="58"/>
      <c r="B11" s="39"/>
      <c r="C11" s="92"/>
      <c r="D11" s="37"/>
      <c r="E11" s="62"/>
      <c r="F11" s="62"/>
      <c r="G11" s="62"/>
      <c r="H11" s="62"/>
      <c r="I11" s="38"/>
      <c r="J11" s="60"/>
      <c r="K11" s="60"/>
      <c r="L11" s="60"/>
      <c r="M11" s="59"/>
    </row>
    <row r="12" spans="1:13" ht="15" customHeight="1">
      <c r="A12" s="58"/>
      <c r="B12" s="39"/>
      <c r="C12" s="92"/>
      <c r="D12" s="37"/>
      <c r="E12" s="62"/>
      <c r="F12" s="62"/>
      <c r="G12" s="62"/>
      <c r="H12" s="62"/>
      <c r="I12" s="38"/>
      <c r="J12" s="60"/>
      <c r="K12" s="60"/>
      <c r="L12" s="60"/>
      <c r="M12" s="59"/>
    </row>
    <row r="13" spans="1:13" ht="15" customHeight="1">
      <c r="A13" s="58"/>
      <c r="B13" s="39"/>
      <c r="C13" s="92"/>
      <c r="D13" s="37"/>
      <c r="E13" s="62"/>
      <c r="F13" s="62"/>
      <c r="G13" s="62"/>
      <c r="H13" s="62"/>
      <c r="I13" s="38"/>
      <c r="J13" s="60"/>
      <c r="K13" s="60"/>
      <c r="L13" s="60"/>
      <c r="M13" s="59"/>
    </row>
    <row r="14" spans="1:13" ht="15" customHeight="1">
      <c r="A14" s="58"/>
      <c r="B14" s="39"/>
      <c r="C14" s="92"/>
      <c r="D14" s="37"/>
      <c r="E14" s="62"/>
      <c r="F14" s="62"/>
      <c r="G14" s="62"/>
      <c r="H14" s="62"/>
      <c r="I14" s="38"/>
      <c r="J14" s="60"/>
      <c r="K14" s="60"/>
      <c r="L14" s="60"/>
      <c r="M14" s="59"/>
    </row>
    <row r="15" spans="1:13" ht="15" customHeight="1">
      <c r="A15" s="58"/>
      <c r="B15" s="39"/>
      <c r="C15" s="92"/>
      <c r="D15" s="37"/>
      <c r="E15" s="62"/>
      <c r="F15" s="62"/>
      <c r="G15" s="62"/>
      <c r="H15" s="62"/>
      <c r="I15" s="38"/>
      <c r="J15" s="60"/>
      <c r="K15" s="60"/>
      <c r="L15" s="60"/>
      <c r="M15" s="59"/>
    </row>
    <row r="16" spans="1:13" ht="15" customHeight="1">
      <c r="A16" s="58"/>
      <c r="B16" s="39"/>
      <c r="C16" s="92"/>
      <c r="D16" s="37"/>
      <c r="E16" s="62"/>
      <c r="F16" s="62"/>
      <c r="G16" s="62"/>
      <c r="H16" s="62"/>
      <c r="I16" s="38"/>
      <c r="J16" s="60"/>
      <c r="K16" s="60"/>
      <c r="L16" s="60"/>
      <c r="M16" s="59"/>
    </row>
    <row r="17" spans="1:13" ht="15" customHeight="1">
      <c r="A17" s="58"/>
      <c r="B17" s="61"/>
      <c r="C17" s="87"/>
      <c r="D17" s="37"/>
      <c r="E17" s="62"/>
      <c r="F17" s="62"/>
      <c r="G17" s="62"/>
      <c r="H17" s="62"/>
      <c r="I17" s="38"/>
      <c r="J17" s="60"/>
      <c r="K17" s="60"/>
      <c r="L17" s="60"/>
      <c r="M17" s="59"/>
    </row>
    <row r="18" spans="1:13" ht="15" customHeight="1">
      <c r="A18" s="58"/>
      <c r="B18" s="39"/>
      <c r="C18" s="92"/>
      <c r="D18" s="37"/>
      <c r="E18" s="62"/>
      <c r="F18" s="62"/>
      <c r="G18" s="62"/>
      <c r="H18" s="62"/>
      <c r="I18" s="38"/>
      <c r="J18" s="60"/>
      <c r="K18" s="60"/>
      <c r="L18" s="60"/>
      <c r="M18" s="59"/>
    </row>
    <row r="19" spans="1:13" ht="15" customHeight="1">
      <c r="A19" s="58"/>
      <c r="B19" s="61"/>
      <c r="C19" s="87"/>
      <c r="D19" s="37"/>
      <c r="E19" s="62"/>
      <c r="F19" s="62"/>
      <c r="G19" s="62"/>
      <c r="H19" s="62"/>
      <c r="I19" s="38"/>
      <c r="J19" s="60"/>
      <c r="K19" s="60"/>
      <c r="L19" s="60"/>
      <c r="M19" s="59"/>
    </row>
    <row r="20" spans="1:13" ht="15" customHeight="1">
      <c r="A20" s="58"/>
      <c r="B20" s="61"/>
      <c r="C20" s="87"/>
      <c r="D20" s="37"/>
      <c r="E20" s="62"/>
      <c r="F20" s="62"/>
      <c r="G20" s="62"/>
      <c r="H20" s="62"/>
      <c r="I20" s="38"/>
      <c r="J20" s="60"/>
      <c r="K20" s="60"/>
      <c r="L20" s="60"/>
      <c r="M20" s="59"/>
    </row>
    <row r="21" spans="1:13" ht="15" customHeight="1">
      <c r="A21" s="58"/>
      <c r="B21" s="61"/>
      <c r="C21" s="87"/>
      <c r="D21" s="37"/>
      <c r="E21" s="62"/>
      <c r="F21" s="62"/>
      <c r="G21" s="62"/>
      <c r="H21" s="62"/>
      <c r="I21" s="38"/>
      <c r="J21" s="60"/>
      <c r="K21" s="60"/>
      <c r="L21" s="60"/>
      <c r="M21" s="59"/>
    </row>
    <row r="22" spans="1:13" ht="15" customHeight="1">
      <c r="A22" s="58"/>
      <c r="B22" s="61"/>
      <c r="C22" s="87"/>
      <c r="D22" s="37"/>
      <c r="E22" s="62"/>
      <c r="F22" s="62"/>
      <c r="G22" s="62"/>
      <c r="H22" s="62"/>
      <c r="I22" s="38"/>
      <c r="J22" s="60"/>
      <c r="K22" s="60"/>
      <c r="L22" s="60"/>
      <c r="M22" s="59"/>
    </row>
    <row r="23" spans="1:13" ht="15" customHeight="1">
      <c r="A23" s="58"/>
      <c r="B23" s="61"/>
      <c r="C23" s="87"/>
      <c r="D23" s="37"/>
      <c r="E23" s="62"/>
      <c r="F23" s="62"/>
      <c r="G23" s="62"/>
      <c r="H23" s="62"/>
      <c r="I23" s="38"/>
      <c r="J23" s="60"/>
      <c r="K23" s="60"/>
      <c r="L23" s="60"/>
      <c r="M23" s="59"/>
    </row>
    <row r="24" spans="1:13" ht="15" customHeight="1" thickBot="1">
      <c r="A24" s="58"/>
      <c r="B24" s="61"/>
      <c r="C24" s="87"/>
      <c r="D24" s="37"/>
      <c r="E24" s="62"/>
      <c r="F24" s="62"/>
      <c r="G24" s="62"/>
      <c r="H24" s="62"/>
      <c r="I24" s="38"/>
      <c r="J24" s="60"/>
      <c r="K24" s="60"/>
      <c r="L24" s="60"/>
      <c r="M24" s="59"/>
    </row>
    <row r="25" spans="1:13" ht="15" customHeight="1" thickBot="1">
      <c r="A25" s="1252"/>
      <c r="B25" s="1253"/>
      <c r="C25" s="1253"/>
      <c r="D25" s="1255"/>
      <c r="E25" s="63"/>
      <c r="F25" s="63"/>
      <c r="G25" s="63"/>
      <c r="H25" s="63"/>
      <c r="I25" s="63"/>
      <c r="J25" s="63"/>
      <c r="K25" s="63"/>
      <c r="L25" s="63"/>
      <c r="M25" s="63"/>
    </row>
    <row r="26" spans="1:13" ht="15" customHeight="1">
      <c r="A26" s="83"/>
      <c r="B26" s="83"/>
      <c r="C26" s="83"/>
      <c r="D26" s="83"/>
      <c r="E26" s="84"/>
      <c r="F26" s="84"/>
      <c r="G26" s="84"/>
      <c r="H26" s="84"/>
      <c r="I26" s="84"/>
      <c r="J26" s="84"/>
      <c r="K26" s="84"/>
      <c r="L26" s="84"/>
      <c r="M26" s="84"/>
    </row>
    <row r="27" spans="1:13" ht="15" customHeight="1">
      <c r="A27" s="83"/>
      <c r="B27" s="83"/>
      <c r="C27" s="83"/>
      <c r="D27" s="83"/>
      <c r="E27" s="84"/>
      <c r="F27" s="84"/>
      <c r="G27" s="84"/>
      <c r="H27" s="84"/>
      <c r="I27" s="84"/>
      <c r="J27" s="84"/>
      <c r="K27" s="84"/>
      <c r="L27" s="84"/>
      <c r="M27" s="84"/>
    </row>
    <row r="28" spans="1:13" ht="15" customHeight="1">
      <c r="A28" s="83"/>
      <c r="B28" s="83"/>
      <c r="C28" s="83"/>
      <c r="D28" s="83"/>
      <c r="E28" s="84"/>
      <c r="F28" s="84"/>
      <c r="G28" s="84"/>
      <c r="H28" s="84"/>
      <c r="I28" s="84"/>
      <c r="J28" s="84"/>
      <c r="K28" s="84"/>
      <c r="L28" s="84"/>
      <c r="M28" s="84"/>
    </row>
    <row r="29" spans="1:13" ht="15" customHeight="1">
      <c r="A29" s="83"/>
      <c r="B29" s="83"/>
      <c r="C29" s="83"/>
      <c r="D29" s="83"/>
      <c r="E29" s="84"/>
      <c r="F29" s="84"/>
      <c r="G29" s="84"/>
      <c r="H29" s="84"/>
      <c r="I29" s="84"/>
      <c r="J29" s="84"/>
      <c r="K29" s="84"/>
      <c r="L29" s="84"/>
      <c r="M29" s="84"/>
    </row>
    <row r="30" spans="1:13" ht="15" customHeight="1">
      <c r="A30" s="83"/>
      <c r="B30" s="83"/>
      <c r="C30" s="83"/>
      <c r="D30" s="83"/>
      <c r="E30" s="84"/>
      <c r="F30" s="84"/>
      <c r="G30" s="84"/>
      <c r="H30" s="84"/>
      <c r="I30" s="84"/>
      <c r="J30" s="84"/>
      <c r="K30" s="84"/>
      <c r="L30" s="84"/>
      <c r="M30" s="84"/>
    </row>
    <row r="31" spans="1:13" ht="15" customHeight="1">
      <c r="A31" s="83"/>
      <c r="B31" s="83"/>
      <c r="C31" s="83"/>
      <c r="D31" s="83"/>
      <c r="E31" s="84"/>
      <c r="F31" s="84"/>
      <c r="G31" s="84"/>
      <c r="H31" s="84"/>
      <c r="I31" s="84"/>
      <c r="J31" s="84"/>
      <c r="K31" s="84"/>
      <c r="L31" s="84"/>
      <c r="M31" s="84"/>
    </row>
    <row r="32" spans="1:13" ht="15" customHeight="1">
      <c r="A32" s="83"/>
      <c r="B32" s="83"/>
      <c r="C32" s="83"/>
      <c r="D32" s="83"/>
      <c r="E32" s="84"/>
      <c r="F32" s="84"/>
      <c r="G32" s="84"/>
      <c r="H32" s="84"/>
      <c r="I32" s="84"/>
      <c r="J32" s="84"/>
      <c r="K32" s="84"/>
      <c r="L32" s="84"/>
      <c r="M32" s="84"/>
    </row>
    <row r="33" spans="1:13" ht="15" customHeight="1">
      <c r="A33" s="83"/>
      <c r="B33" s="83"/>
      <c r="C33" s="83"/>
      <c r="D33" s="83"/>
      <c r="E33" s="84"/>
      <c r="F33" s="84"/>
      <c r="G33" s="84"/>
      <c r="H33" s="84"/>
      <c r="I33" s="84"/>
      <c r="J33" s="84"/>
      <c r="K33" s="84"/>
      <c r="L33" s="84"/>
      <c r="M33" s="84"/>
    </row>
    <row r="34" spans="1:13" ht="15" customHeight="1">
      <c r="A34" s="83"/>
      <c r="B34" s="83"/>
      <c r="C34" s="83"/>
      <c r="D34" s="83"/>
      <c r="E34" s="84"/>
      <c r="F34" s="84"/>
      <c r="G34" s="84"/>
      <c r="H34" s="84"/>
      <c r="I34" s="84"/>
      <c r="J34" s="84"/>
      <c r="K34" s="84"/>
      <c r="L34" s="84"/>
      <c r="M34" s="84"/>
    </row>
    <row r="35" spans="1:13" ht="15" customHeight="1">
      <c r="A35" s="83"/>
      <c r="B35" s="83"/>
      <c r="C35" s="83"/>
      <c r="D35" s="83"/>
      <c r="E35" s="84"/>
      <c r="F35" s="84"/>
      <c r="G35" s="84"/>
      <c r="H35" s="84"/>
      <c r="I35" s="84"/>
      <c r="J35" s="84"/>
      <c r="K35" s="84"/>
      <c r="L35" s="84"/>
      <c r="M35" s="84"/>
    </row>
    <row r="36" spans="1:13" ht="15" customHeight="1">
      <c r="A36" s="83"/>
      <c r="B36" s="83"/>
      <c r="C36" s="83"/>
      <c r="D36" s="83"/>
      <c r="E36" s="84"/>
      <c r="F36" s="84"/>
      <c r="G36" s="84"/>
      <c r="H36" s="84"/>
      <c r="I36" s="84"/>
      <c r="J36" s="84"/>
      <c r="K36" s="84"/>
      <c r="L36" s="84"/>
      <c r="M36" s="84"/>
    </row>
    <row r="37" spans="1:13" ht="15" customHeight="1">
      <c r="A37" s="83"/>
      <c r="B37" s="83"/>
      <c r="C37" s="83"/>
      <c r="D37" s="83"/>
      <c r="E37" s="84"/>
      <c r="F37" s="84"/>
      <c r="G37" s="84"/>
      <c r="H37" s="84"/>
      <c r="I37" s="84"/>
      <c r="J37" s="84"/>
      <c r="K37" s="84"/>
      <c r="L37" s="84"/>
      <c r="M37" s="84"/>
    </row>
    <row r="38" spans="1:13" ht="15" customHeight="1">
      <c r="A38" s="1027"/>
      <c r="B38" s="1027"/>
      <c r="C38" s="1027"/>
      <c r="D38" s="1027"/>
      <c r="E38" s="1027"/>
      <c r="F38" s="1027"/>
      <c r="G38" s="1027"/>
      <c r="H38" s="1027"/>
      <c r="I38" s="1027"/>
      <c r="J38" s="1027"/>
      <c r="K38" s="1027"/>
      <c r="L38" s="1027"/>
      <c r="M38" s="1027"/>
    </row>
    <row r="39" spans="1:13" ht="15" customHeight="1">
      <c r="A39" s="1247" t="s">
        <v>327</v>
      </c>
      <c r="B39" s="1247"/>
      <c r="C39" s="1247"/>
      <c r="D39" s="1247"/>
      <c r="E39" s="1247"/>
      <c r="F39" s="1247"/>
      <c r="G39" s="1247"/>
      <c r="H39" s="1247"/>
      <c r="I39" s="1247"/>
      <c r="J39" s="1247"/>
      <c r="K39" s="1247"/>
      <c r="L39" s="1247"/>
      <c r="M39" s="1247"/>
    </row>
    <row r="40" spans="1:13" ht="24.95" customHeight="1" thickBot="1">
      <c r="A40" s="1106" t="s">
        <v>329</v>
      </c>
      <c r="B40" s="1106"/>
      <c r="C40" s="1106"/>
      <c r="D40" s="1106"/>
      <c r="E40" s="1106"/>
      <c r="F40" s="1106"/>
      <c r="G40" s="1106"/>
      <c r="H40" s="1106"/>
      <c r="I40" s="1106"/>
      <c r="J40" s="1106"/>
      <c r="K40" s="1106"/>
      <c r="L40" s="1106"/>
      <c r="M40" s="1106"/>
    </row>
    <row r="41" spans="1:13" ht="24.95" customHeight="1" thickBot="1">
      <c r="A41" s="1262" t="s">
        <v>221</v>
      </c>
      <c r="B41" s="1259"/>
      <c r="C41" s="82"/>
      <c r="D41" s="1265" t="s">
        <v>226</v>
      </c>
      <c r="E41" s="1266"/>
      <c r="F41" s="1267"/>
      <c r="G41" s="1267"/>
      <c r="H41" s="1268"/>
      <c r="I41" s="1256" t="s">
        <v>222</v>
      </c>
      <c r="J41" s="1257"/>
      <c r="K41" s="1257"/>
      <c r="L41" s="1258"/>
      <c r="M41" s="1259" t="s">
        <v>223</v>
      </c>
    </row>
    <row r="42" spans="1:13" ht="24.95" customHeight="1" thickBot="1">
      <c r="A42" s="1263"/>
      <c r="B42" s="1260"/>
      <c r="C42" s="81"/>
      <c r="D42" s="1265"/>
      <c r="E42" s="1259" t="s">
        <v>224</v>
      </c>
      <c r="F42" s="1259" t="s">
        <v>225</v>
      </c>
      <c r="G42" s="82" t="s">
        <v>350</v>
      </c>
      <c r="H42" s="82" t="s">
        <v>299</v>
      </c>
      <c r="I42" s="1259" t="s">
        <v>332</v>
      </c>
      <c r="J42" s="82" t="s">
        <v>465</v>
      </c>
      <c r="K42" s="1259" t="s">
        <v>333</v>
      </c>
      <c r="L42" s="81" t="s">
        <v>251</v>
      </c>
      <c r="M42" s="1260"/>
    </row>
    <row r="43" spans="1:13" ht="13.5" thickBot="1">
      <c r="A43" s="1264"/>
      <c r="B43" s="1261"/>
      <c r="C43" s="80"/>
      <c r="D43" s="1265"/>
      <c r="E43" s="1261"/>
      <c r="F43" s="1261"/>
      <c r="G43" s="80"/>
      <c r="H43" s="80"/>
      <c r="I43" s="1261"/>
      <c r="J43" s="99">
        <v>0.06</v>
      </c>
      <c r="K43" s="1261"/>
      <c r="L43" s="80"/>
      <c r="M43" s="1261"/>
    </row>
    <row r="44" spans="1:13" ht="14.25">
      <c r="A44" s="58">
        <v>1</v>
      </c>
      <c r="B44" s="93" t="s">
        <v>352</v>
      </c>
      <c r="C44" s="94" t="s">
        <v>353</v>
      </c>
      <c r="D44" s="98" t="s">
        <v>77</v>
      </c>
      <c r="E44" s="95">
        <v>2500</v>
      </c>
      <c r="F44" s="62"/>
      <c r="G44" s="95">
        <v>200</v>
      </c>
      <c r="H44" s="95">
        <f>+E44</f>
        <v>2500</v>
      </c>
      <c r="I44" s="96"/>
      <c r="J44" s="97"/>
      <c r="K44" s="97"/>
      <c r="L44" s="97"/>
      <c r="M44" s="59"/>
    </row>
    <row r="45" spans="1:13" ht="14.25">
      <c r="A45" s="58">
        <v>2</v>
      </c>
      <c r="B45" s="39" t="s">
        <v>354</v>
      </c>
      <c r="C45" s="92" t="s">
        <v>355</v>
      </c>
      <c r="D45" s="37" t="s">
        <v>77</v>
      </c>
      <c r="E45" s="62">
        <v>440</v>
      </c>
      <c r="F45" s="62"/>
      <c r="G45" s="62">
        <v>200</v>
      </c>
      <c r="H45" s="62">
        <f>+E45</f>
        <v>440</v>
      </c>
      <c r="I45" s="38">
        <v>34.1</v>
      </c>
      <c r="J45" s="60"/>
      <c r="K45" s="60">
        <v>33</v>
      </c>
      <c r="L45" s="60">
        <v>4.4000000000000004</v>
      </c>
      <c r="M45" s="59"/>
    </row>
    <row r="46" spans="1:13" ht="14.25">
      <c r="A46" s="58">
        <v>3</v>
      </c>
      <c r="B46" s="39" t="s">
        <v>356</v>
      </c>
      <c r="C46" s="92" t="s">
        <v>357</v>
      </c>
      <c r="D46" s="37" t="s">
        <v>77</v>
      </c>
      <c r="E46" s="62">
        <v>1800</v>
      </c>
      <c r="F46" s="62"/>
      <c r="G46" s="62">
        <v>200</v>
      </c>
      <c r="H46" s="62">
        <f t="shared" ref="H46:H124" si="0">+E46</f>
        <v>1800</v>
      </c>
      <c r="I46" s="38"/>
      <c r="J46" s="60"/>
      <c r="K46" s="60">
        <v>75</v>
      </c>
      <c r="L46" s="60"/>
      <c r="M46" s="59"/>
    </row>
    <row r="47" spans="1:13" ht="14.25">
      <c r="A47" s="58">
        <v>4</v>
      </c>
      <c r="B47" s="39" t="s">
        <v>358</v>
      </c>
      <c r="C47" s="92" t="s">
        <v>359</v>
      </c>
      <c r="D47" s="37" t="s">
        <v>77</v>
      </c>
      <c r="E47" s="62">
        <v>813.05</v>
      </c>
      <c r="F47" s="62"/>
      <c r="G47" s="62">
        <v>200</v>
      </c>
      <c r="H47" s="62">
        <f t="shared" si="0"/>
        <v>813.05</v>
      </c>
      <c r="I47" s="38">
        <v>63.01</v>
      </c>
      <c r="J47" s="60"/>
      <c r="K47" s="60">
        <v>60.98</v>
      </c>
      <c r="L47" s="60">
        <v>8.1300000000000008</v>
      </c>
      <c r="M47" s="59"/>
    </row>
    <row r="48" spans="1:13" ht="14.25">
      <c r="A48" s="58">
        <v>5</v>
      </c>
      <c r="B48" s="39" t="s">
        <v>360</v>
      </c>
      <c r="C48" s="92" t="s">
        <v>361</v>
      </c>
      <c r="D48" s="37" t="s">
        <v>77</v>
      </c>
      <c r="E48" s="62">
        <v>484</v>
      </c>
      <c r="F48" s="62"/>
      <c r="G48" s="62">
        <v>200</v>
      </c>
      <c r="H48" s="62">
        <f t="shared" si="0"/>
        <v>484</v>
      </c>
      <c r="I48" s="38">
        <v>37.51</v>
      </c>
      <c r="J48" s="60"/>
      <c r="K48" s="60">
        <v>36.299999999999997</v>
      </c>
      <c r="L48" s="60">
        <v>4.84</v>
      </c>
      <c r="M48" s="59"/>
    </row>
    <row r="49" spans="1:13" ht="14.25">
      <c r="A49" s="58">
        <v>6</v>
      </c>
      <c r="B49" s="39" t="s">
        <v>362</v>
      </c>
      <c r="C49" s="92" t="s">
        <v>363</v>
      </c>
      <c r="D49" s="37" t="s">
        <v>77</v>
      </c>
      <c r="E49" s="62">
        <v>1500</v>
      </c>
      <c r="F49" s="62"/>
      <c r="G49" s="62">
        <v>200</v>
      </c>
      <c r="H49" s="62">
        <f t="shared" si="0"/>
        <v>1500</v>
      </c>
      <c r="I49" s="38">
        <v>116.25</v>
      </c>
      <c r="J49" s="60"/>
      <c r="K49" s="60">
        <v>75</v>
      </c>
      <c r="L49" s="60">
        <v>10</v>
      </c>
      <c r="M49" s="59"/>
    </row>
    <row r="50" spans="1:13" ht="14.25">
      <c r="A50" s="58"/>
      <c r="B50" s="39"/>
      <c r="C50" s="92"/>
      <c r="D50" s="37"/>
      <c r="E50" s="62"/>
      <c r="F50" s="62"/>
      <c r="G50" s="62"/>
      <c r="H50" s="62">
        <f t="shared" si="0"/>
        <v>0</v>
      </c>
      <c r="I50" s="38"/>
      <c r="J50" s="60"/>
      <c r="K50" s="60"/>
      <c r="L50" s="60"/>
      <c r="M50" s="59"/>
    </row>
    <row r="51" spans="1:13" ht="14.25">
      <c r="A51" s="58">
        <v>7</v>
      </c>
      <c r="B51" s="39" t="s">
        <v>364</v>
      </c>
      <c r="C51" s="92" t="s">
        <v>365</v>
      </c>
      <c r="D51" s="37" t="s">
        <v>325</v>
      </c>
      <c r="E51" s="62">
        <v>1000</v>
      </c>
      <c r="F51" s="62"/>
      <c r="G51" s="62">
        <v>200</v>
      </c>
      <c r="H51" s="62">
        <f t="shared" si="0"/>
        <v>1000</v>
      </c>
      <c r="I51" s="38">
        <v>77.5</v>
      </c>
      <c r="J51" s="60"/>
      <c r="K51" s="60">
        <v>75</v>
      </c>
      <c r="L51" s="60">
        <v>10</v>
      </c>
      <c r="M51" s="59"/>
    </row>
    <row r="52" spans="1:13" ht="14.25">
      <c r="A52" s="58">
        <v>8</v>
      </c>
      <c r="B52" s="39" t="s">
        <v>464</v>
      </c>
      <c r="C52" s="92" t="s">
        <v>366</v>
      </c>
      <c r="D52" s="37" t="s">
        <v>325</v>
      </c>
      <c r="E52" s="62">
        <v>825</v>
      </c>
      <c r="F52" s="62"/>
      <c r="G52" s="62">
        <v>200</v>
      </c>
      <c r="H52" s="62">
        <f t="shared" si="0"/>
        <v>825</v>
      </c>
      <c r="I52" s="38">
        <v>63.94</v>
      </c>
      <c r="J52" s="60"/>
      <c r="K52" s="60">
        <v>61.88</v>
      </c>
      <c r="L52" s="60">
        <v>8.25</v>
      </c>
      <c r="M52" s="59"/>
    </row>
    <row r="53" spans="1:13" ht="14.25">
      <c r="A53" s="58">
        <v>9</v>
      </c>
      <c r="B53" s="39" t="s">
        <v>367</v>
      </c>
      <c r="C53" s="92" t="s">
        <v>368</v>
      </c>
      <c r="D53" s="37" t="s">
        <v>325</v>
      </c>
      <c r="E53" s="62">
        <v>310</v>
      </c>
      <c r="F53" s="62"/>
      <c r="G53" s="62">
        <v>200</v>
      </c>
      <c r="H53" s="62">
        <f t="shared" si="0"/>
        <v>310</v>
      </c>
      <c r="I53" s="38">
        <v>24.03</v>
      </c>
      <c r="J53" s="60"/>
      <c r="K53" s="60">
        <v>23.25</v>
      </c>
      <c r="L53" s="60">
        <v>3.1</v>
      </c>
      <c r="M53" s="59"/>
    </row>
    <row r="54" spans="1:13" ht="14.25">
      <c r="A54" s="58">
        <v>10</v>
      </c>
      <c r="B54" s="39" t="s">
        <v>369</v>
      </c>
      <c r="C54" s="92" t="s">
        <v>370</v>
      </c>
      <c r="D54" s="37" t="s">
        <v>325</v>
      </c>
      <c r="E54" s="62">
        <v>770</v>
      </c>
      <c r="F54" s="62"/>
      <c r="G54" s="62">
        <v>200</v>
      </c>
      <c r="H54" s="62">
        <f t="shared" si="0"/>
        <v>770</v>
      </c>
      <c r="I54" s="38">
        <v>59.68</v>
      </c>
      <c r="J54" s="60"/>
      <c r="K54" s="60">
        <v>57.75</v>
      </c>
      <c r="L54" s="60">
        <v>7.7</v>
      </c>
      <c r="M54" s="59"/>
    </row>
    <row r="55" spans="1:13" ht="14.25">
      <c r="A55" s="58">
        <v>11</v>
      </c>
      <c r="B55" s="39" t="s">
        <v>371</v>
      </c>
      <c r="C55" s="92" t="s">
        <v>372</v>
      </c>
      <c r="D55" s="37" t="s">
        <v>325</v>
      </c>
      <c r="E55" s="62">
        <v>400</v>
      </c>
      <c r="F55" s="62"/>
      <c r="G55" s="62">
        <v>200</v>
      </c>
      <c r="H55" s="62">
        <f t="shared" si="0"/>
        <v>400</v>
      </c>
      <c r="I55" s="38">
        <v>31</v>
      </c>
      <c r="J55" s="60"/>
      <c r="K55" s="60">
        <v>30</v>
      </c>
      <c r="L55" s="60">
        <v>4</v>
      </c>
      <c r="M55" s="59"/>
    </row>
    <row r="56" spans="1:13" ht="14.25">
      <c r="A56" s="58">
        <v>12</v>
      </c>
      <c r="B56" s="39" t="s">
        <v>373</v>
      </c>
      <c r="C56" s="92" t="s">
        <v>374</v>
      </c>
      <c r="D56" s="37" t="s">
        <v>325</v>
      </c>
      <c r="E56" s="62">
        <v>400</v>
      </c>
      <c r="F56" s="62"/>
      <c r="G56" s="62">
        <v>200</v>
      </c>
      <c r="H56" s="62">
        <f t="shared" si="0"/>
        <v>400</v>
      </c>
      <c r="I56" s="38">
        <v>31</v>
      </c>
      <c r="J56" s="60"/>
      <c r="K56" s="60">
        <v>30</v>
      </c>
      <c r="L56" s="60">
        <v>4</v>
      </c>
      <c r="M56" s="59"/>
    </row>
    <row r="57" spans="1:13" ht="14.25">
      <c r="A57" s="58">
        <v>13</v>
      </c>
      <c r="B57" s="39" t="s">
        <v>375</v>
      </c>
      <c r="C57" s="92" t="s">
        <v>376</v>
      </c>
      <c r="D57" s="37" t="s">
        <v>325</v>
      </c>
      <c r="E57" s="62">
        <v>500</v>
      </c>
      <c r="F57" s="62"/>
      <c r="G57" s="62">
        <v>200</v>
      </c>
      <c r="H57" s="62">
        <f t="shared" si="0"/>
        <v>500</v>
      </c>
      <c r="I57" s="38">
        <v>38.75</v>
      </c>
      <c r="J57" s="60"/>
      <c r="K57" s="60">
        <v>37.5</v>
      </c>
      <c r="L57" s="60">
        <v>5</v>
      </c>
      <c r="M57" s="59"/>
    </row>
    <row r="58" spans="1:13" ht="14.25">
      <c r="A58" s="58">
        <v>14</v>
      </c>
      <c r="B58" s="39" t="s">
        <v>382</v>
      </c>
      <c r="C58" s="92" t="s">
        <v>383</v>
      </c>
      <c r="D58" s="37" t="s">
        <v>325</v>
      </c>
      <c r="E58" s="62">
        <v>1034</v>
      </c>
      <c r="F58" s="62"/>
      <c r="G58" s="62">
        <v>200</v>
      </c>
      <c r="H58" s="62">
        <f t="shared" si="0"/>
        <v>1034</v>
      </c>
      <c r="I58" s="38">
        <v>77.5</v>
      </c>
      <c r="J58" s="60"/>
      <c r="K58" s="60">
        <v>75</v>
      </c>
      <c r="L58" s="60">
        <v>10.34</v>
      </c>
      <c r="M58" s="59"/>
    </row>
    <row r="59" spans="1:13" ht="14.25">
      <c r="A59" s="58">
        <v>15</v>
      </c>
      <c r="B59" s="39" t="s">
        <v>384</v>
      </c>
      <c r="C59" s="92" t="s">
        <v>385</v>
      </c>
      <c r="D59" s="37" t="s">
        <v>325</v>
      </c>
      <c r="E59" s="62">
        <v>310</v>
      </c>
      <c r="F59" s="62"/>
      <c r="G59" s="62">
        <v>200</v>
      </c>
      <c r="H59" s="62">
        <f t="shared" si="0"/>
        <v>310</v>
      </c>
      <c r="I59" s="38">
        <v>24.03</v>
      </c>
      <c r="J59" s="60"/>
      <c r="K59" s="60">
        <v>23.25</v>
      </c>
      <c r="L59" s="60">
        <v>3.1</v>
      </c>
      <c r="M59" s="59"/>
    </row>
    <row r="60" spans="1:13" ht="14.25">
      <c r="A60" s="58">
        <v>16</v>
      </c>
      <c r="B60" s="39" t="s">
        <v>377</v>
      </c>
      <c r="C60" s="92" t="s">
        <v>378</v>
      </c>
      <c r="D60" s="98" t="s">
        <v>193</v>
      </c>
      <c r="E60" s="62">
        <v>825</v>
      </c>
      <c r="F60" s="62"/>
      <c r="G60" s="62">
        <v>200</v>
      </c>
      <c r="H60" s="62">
        <f t="shared" si="0"/>
        <v>825</v>
      </c>
      <c r="I60" s="38">
        <v>63.94</v>
      </c>
      <c r="J60" s="60"/>
      <c r="K60" s="60">
        <v>61.88</v>
      </c>
      <c r="L60" s="60">
        <v>8.25</v>
      </c>
      <c r="M60" s="59"/>
    </row>
    <row r="61" spans="1:13" ht="14.25">
      <c r="A61" s="58">
        <v>17</v>
      </c>
      <c r="B61" s="39" t="s">
        <v>379</v>
      </c>
      <c r="C61" s="92" t="s">
        <v>380</v>
      </c>
      <c r="D61" s="37" t="s">
        <v>193</v>
      </c>
      <c r="E61" s="62">
        <v>687.5</v>
      </c>
      <c r="F61" s="62"/>
      <c r="G61" s="62">
        <v>200</v>
      </c>
      <c r="H61" s="62">
        <f t="shared" si="0"/>
        <v>687.5</v>
      </c>
      <c r="I61" s="38">
        <v>53.28</v>
      </c>
      <c r="J61" s="60"/>
      <c r="K61" s="60">
        <v>51.56</v>
      </c>
      <c r="L61" s="60">
        <v>6.88</v>
      </c>
      <c r="M61" s="59"/>
    </row>
    <row r="62" spans="1:13" ht="14.25">
      <c r="A62" s="58">
        <v>18</v>
      </c>
      <c r="B62" s="39" t="s">
        <v>381</v>
      </c>
      <c r="C62" s="92" t="s">
        <v>380</v>
      </c>
      <c r="D62" s="37" t="s">
        <v>193</v>
      </c>
      <c r="E62" s="62">
        <v>385</v>
      </c>
      <c r="F62" s="62"/>
      <c r="G62" s="62">
        <v>200</v>
      </c>
      <c r="H62" s="62">
        <f t="shared" si="0"/>
        <v>385</v>
      </c>
      <c r="I62" s="38">
        <v>29.84</v>
      </c>
      <c r="J62" s="60"/>
      <c r="K62" s="60">
        <v>28.88</v>
      </c>
      <c r="L62" s="60">
        <v>3.85</v>
      </c>
      <c r="M62" s="59"/>
    </row>
    <row r="63" spans="1:13" ht="14.25">
      <c r="A63" s="58">
        <v>19</v>
      </c>
      <c r="B63" s="39" t="s">
        <v>386</v>
      </c>
      <c r="C63" s="92" t="s">
        <v>380</v>
      </c>
      <c r="D63" s="37" t="s">
        <v>193</v>
      </c>
      <c r="E63" s="62">
        <v>310</v>
      </c>
      <c r="F63" s="62"/>
      <c r="G63" s="62">
        <v>200</v>
      </c>
      <c r="H63" s="62">
        <f t="shared" si="0"/>
        <v>310</v>
      </c>
      <c r="I63" s="38">
        <v>24.03</v>
      </c>
      <c r="J63" s="60"/>
      <c r="K63" s="60">
        <v>23.25</v>
      </c>
      <c r="L63" s="60">
        <v>3.1</v>
      </c>
      <c r="M63" s="59"/>
    </row>
    <row r="64" spans="1:13" ht="14.25">
      <c r="A64" s="58">
        <v>20</v>
      </c>
      <c r="B64" s="39" t="s">
        <v>387</v>
      </c>
      <c r="C64" s="92" t="s">
        <v>388</v>
      </c>
      <c r="D64" s="37" t="s">
        <v>193</v>
      </c>
      <c r="E64" s="62">
        <v>385</v>
      </c>
      <c r="F64" s="62"/>
      <c r="G64" s="62">
        <v>200</v>
      </c>
      <c r="H64" s="62">
        <f t="shared" si="0"/>
        <v>385</v>
      </c>
      <c r="I64" s="38">
        <v>24.84</v>
      </c>
      <c r="J64" s="60"/>
      <c r="K64" s="60">
        <v>28.88</v>
      </c>
      <c r="L64" s="60">
        <v>3.85</v>
      </c>
      <c r="M64" s="59"/>
    </row>
    <row r="65" spans="1:13" ht="14.25">
      <c r="A65" s="58">
        <v>21</v>
      </c>
      <c r="B65" s="39" t="s">
        <v>389</v>
      </c>
      <c r="C65" s="92" t="s">
        <v>380</v>
      </c>
      <c r="D65" s="37" t="s">
        <v>193</v>
      </c>
      <c r="E65" s="62">
        <v>449.19</v>
      </c>
      <c r="F65" s="62"/>
      <c r="G65" s="62">
        <v>200</v>
      </c>
      <c r="H65" s="62">
        <f t="shared" si="0"/>
        <v>449.19</v>
      </c>
      <c r="I65" s="38">
        <v>34.81</v>
      </c>
      <c r="J65" s="60"/>
      <c r="K65" s="60">
        <v>33.69</v>
      </c>
      <c r="L65" s="60">
        <v>4.49</v>
      </c>
      <c r="M65" s="59"/>
    </row>
    <row r="66" spans="1:13" ht="14.25">
      <c r="A66" s="58">
        <v>22</v>
      </c>
      <c r="B66" s="39" t="s">
        <v>390</v>
      </c>
      <c r="C66" s="92" t="s">
        <v>391</v>
      </c>
      <c r="D66" s="37" t="s">
        <v>193</v>
      </c>
      <c r="E66" s="62">
        <v>936</v>
      </c>
      <c r="F66" s="62"/>
      <c r="G66" s="62">
        <v>200</v>
      </c>
      <c r="H66" s="62">
        <f t="shared" si="0"/>
        <v>936</v>
      </c>
      <c r="I66" s="38">
        <v>72.540000000000006</v>
      </c>
      <c r="J66" s="60"/>
      <c r="K66" s="60">
        <v>70.2</v>
      </c>
      <c r="L66" s="60">
        <v>9.36</v>
      </c>
      <c r="M66" s="59"/>
    </row>
    <row r="67" spans="1:13" ht="14.25">
      <c r="A67" s="58">
        <v>23</v>
      </c>
      <c r="B67" s="39" t="s">
        <v>392</v>
      </c>
      <c r="C67" s="92" t="s">
        <v>388</v>
      </c>
      <c r="D67" s="37" t="s">
        <v>193</v>
      </c>
      <c r="E67" s="62">
        <v>343.98</v>
      </c>
      <c r="F67" s="62"/>
      <c r="G67" s="62">
        <v>200</v>
      </c>
      <c r="H67" s="62">
        <f t="shared" si="0"/>
        <v>343.98</v>
      </c>
      <c r="I67" s="38"/>
      <c r="J67" s="60"/>
      <c r="K67" s="60"/>
      <c r="L67" s="60"/>
      <c r="M67" s="59"/>
    </row>
    <row r="68" spans="1:13" ht="14.25">
      <c r="A68" s="58">
        <v>24</v>
      </c>
      <c r="B68" s="39" t="s">
        <v>393</v>
      </c>
      <c r="C68" s="92" t="s">
        <v>388</v>
      </c>
      <c r="D68" s="37" t="s">
        <v>193</v>
      </c>
      <c r="E68" s="62">
        <v>417.1</v>
      </c>
      <c r="F68" s="62"/>
      <c r="G68" s="62">
        <v>200</v>
      </c>
      <c r="H68" s="62">
        <f t="shared" si="0"/>
        <v>417.1</v>
      </c>
      <c r="I68" s="38">
        <v>32.33</v>
      </c>
      <c r="J68" s="60"/>
      <c r="K68" s="60">
        <v>31.28</v>
      </c>
      <c r="L68" s="60">
        <v>4.17</v>
      </c>
      <c r="M68" s="59"/>
    </row>
    <row r="69" spans="1:13" ht="14.25">
      <c r="A69" s="58">
        <v>25</v>
      </c>
      <c r="B69" s="39" t="s">
        <v>394</v>
      </c>
      <c r="C69" s="92" t="s">
        <v>395</v>
      </c>
      <c r="D69" s="37" t="s">
        <v>193</v>
      </c>
      <c r="E69" s="62">
        <v>687.5</v>
      </c>
      <c r="F69" s="62"/>
      <c r="G69" s="62">
        <v>200</v>
      </c>
      <c r="H69" s="62">
        <f t="shared" si="0"/>
        <v>687.5</v>
      </c>
      <c r="I69" s="38">
        <v>53.28</v>
      </c>
      <c r="J69" s="60"/>
      <c r="K69" s="60">
        <v>51.56</v>
      </c>
      <c r="L69" s="60">
        <v>6.88</v>
      </c>
      <c r="M69" s="59"/>
    </row>
    <row r="70" spans="1:13" ht="14.25">
      <c r="A70" s="58">
        <v>26</v>
      </c>
      <c r="B70" s="39" t="s">
        <v>396</v>
      </c>
      <c r="C70" s="92" t="s">
        <v>397</v>
      </c>
      <c r="D70" s="37" t="s">
        <v>193</v>
      </c>
      <c r="E70" s="62">
        <v>333.33</v>
      </c>
      <c r="F70" s="62"/>
      <c r="G70" s="62">
        <v>200</v>
      </c>
      <c r="H70" s="62">
        <f t="shared" si="0"/>
        <v>333.33</v>
      </c>
      <c r="I70" s="38">
        <v>25.83</v>
      </c>
      <c r="J70" s="60"/>
      <c r="K70" s="60">
        <v>25</v>
      </c>
      <c r="L70" s="60">
        <v>3.33</v>
      </c>
      <c r="M70" s="59"/>
    </row>
    <row r="71" spans="1:13" ht="14.25">
      <c r="A71" s="58">
        <v>27</v>
      </c>
      <c r="B71" s="39" t="s">
        <v>398</v>
      </c>
      <c r="C71" s="92" t="s">
        <v>397</v>
      </c>
      <c r="D71" s="37" t="s">
        <v>193</v>
      </c>
      <c r="E71" s="62">
        <v>483.62</v>
      </c>
      <c r="F71" s="62"/>
      <c r="G71" s="62">
        <v>200</v>
      </c>
      <c r="H71" s="62">
        <f t="shared" si="0"/>
        <v>483.62</v>
      </c>
      <c r="I71" s="38">
        <v>37.479999999999997</v>
      </c>
      <c r="J71" s="60"/>
      <c r="K71" s="60">
        <v>36.270000000000003</v>
      </c>
      <c r="L71" s="60">
        <v>4.84</v>
      </c>
      <c r="M71" s="59"/>
    </row>
    <row r="72" spans="1:13" ht="14.25">
      <c r="A72" s="58">
        <v>28</v>
      </c>
      <c r="B72" s="61" t="s">
        <v>399</v>
      </c>
      <c r="C72" s="87" t="s">
        <v>400</v>
      </c>
      <c r="D72" s="37" t="s">
        <v>193</v>
      </c>
      <c r="E72" s="62">
        <v>330</v>
      </c>
      <c r="F72" s="62"/>
      <c r="G72" s="62">
        <v>200</v>
      </c>
      <c r="H72" s="62">
        <f t="shared" si="0"/>
        <v>330</v>
      </c>
      <c r="I72" s="38">
        <v>25.58</v>
      </c>
      <c r="J72" s="60"/>
      <c r="K72" s="60">
        <v>24.75</v>
      </c>
      <c r="L72" s="60">
        <v>3.3</v>
      </c>
      <c r="M72" s="59"/>
    </row>
    <row r="73" spans="1:13" ht="14.25">
      <c r="A73" s="58">
        <v>29</v>
      </c>
      <c r="B73" s="39" t="s">
        <v>401</v>
      </c>
      <c r="C73" s="92" t="s">
        <v>402</v>
      </c>
      <c r="D73" s="37" t="s">
        <v>193</v>
      </c>
      <c r="E73" s="62">
        <v>700</v>
      </c>
      <c r="F73" s="62"/>
      <c r="G73" s="62">
        <v>200</v>
      </c>
      <c r="H73" s="62">
        <f t="shared" si="0"/>
        <v>700</v>
      </c>
      <c r="I73" s="38">
        <v>54.25</v>
      </c>
      <c r="J73" s="60"/>
      <c r="K73" s="60">
        <v>52.5</v>
      </c>
      <c r="L73" s="60">
        <v>7</v>
      </c>
      <c r="M73" s="59"/>
    </row>
    <row r="74" spans="1:13" ht="14.25">
      <c r="A74" s="58">
        <v>30</v>
      </c>
      <c r="B74" s="61" t="s">
        <v>403</v>
      </c>
      <c r="C74" s="39" t="s">
        <v>404</v>
      </c>
      <c r="D74" s="37" t="s">
        <v>193</v>
      </c>
      <c r="E74" s="62">
        <v>550</v>
      </c>
      <c r="F74" s="62"/>
      <c r="G74" s="62">
        <v>200</v>
      </c>
      <c r="H74" s="62">
        <f t="shared" si="0"/>
        <v>550</v>
      </c>
      <c r="I74" s="38">
        <v>42.63</v>
      </c>
      <c r="J74" s="60"/>
      <c r="K74" s="60">
        <v>41.25</v>
      </c>
      <c r="L74" s="60">
        <v>5.5</v>
      </c>
      <c r="M74" s="59"/>
    </row>
    <row r="75" spans="1:13" ht="14.25">
      <c r="A75" s="58">
        <v>31</v>
      </c>
      <c r="B75" s="61" t="s">
        <v>405</v>
      </c>
      <c r="C75" s="39" t="s">
        <v>406</v>
      </c>
      <c r="D75" s="37" t="s">
        <v>193</v>
      </c>
      <c r="E75" s="62">
        <v>594</v>
      </c>
      <c r="F75" s="62"/>
      <c r="G75" s="62">
        <v>200</v>
      </c>
      <c r="H75" s="62">
        <f t="shared" si="0"/>
        <v>594</v>
      </c>
      <c r="I75" s="38">
        <v>46.04</v>
      </c>
      <c r="J75" s="60"/>
      <c r="K75" s="60">
        <v>44.55</v>
      </c>
      <c r="L75" s="60">
        <v>5.94</v>
      </c>
      <c r="M75" s="59"/>
    </row>
    <row r="76" spans="1:13" ht="14.25">
      <c r="A76" s="58">
        <v>32</v>
      </c>
      <c r="B76" s="61" t="s">
        <v>407</v>
      </c>
      <c r="C76" s="39" t="s">
        <v>408</v>
      </c>
      <c r="D76" s="37" t="s">
        <v>193</v>
      </c>
      <c r="E76" s="62">
        <v>400</v>
      </c>
      <c r="F76" s="62"/>
      <c r="G76" s="62">
        <v>200</v>
      </c>
      <c r="H76" s="62">
        <f t="shared" si="0"/>
        <v>400</v>
      </c>
      <c r="I76" s="38">
        <v>31</v>
      </c>
      <c r="J76" s="60"/>
      <c r="K76" s="60">
        <v>30</v>
      </c>
      <c r="L76" s="60">
        <v>4</v>
      </c>
      <c r="M76" s="59"/>
    </row>
    <row r="77" spans="1:13" ht="14.25">
      <c r="A77" s="58">
        <v>33</v>
      </c>
      <c r="B77" s="61" t="s">
        <v>409</v>
      </c>
      <c r="C77" s="39" t="s">
        <v>410</v>
      </c>
      <c r="D77" s="37" t="s">
        <v>193</v>
      </c>
      <c r="E77" s="62">
        <v>1034</v>
      </c>
      <c r="F77" s="62"/>
      <c r="G77" s="62">
        <v>200</v>
      </c>
      <c r="H77" s="62">
        <f t="shared" si="0"/>
        <v>1034</v>
      </c>
      <c r="I77" s="38">
        <v>77.5</v>
      </c>
      <c r="J77" s="60"/>
      <c r="K77" s="60">
        <v>75</v>
      </c>
      <c r="L77" s="60">
        <v>10</v>
      </c>
      <c r="M77" s="59"/>
    </row>
    <row r="78" spans="1:13" ht="14.25">
      <c r="A78" s="58">
        <v>34</v>
      </c>
      <c r="B78" s="61" t="s">
        <v>411</v>
      </c>
      <c r="C78" s="39" t="s">
        <v>412</v>
      </c>
      <c r="D78" s="37" t="s">
        <v>193</v>
      </c>
      <c r="E78" s="62">
        <v>385</v>
      </c>
      <c r="F78" s="62"/>
      <c r="G78" s="62">
        <v>200</v>
      </c>
      <c r="H78" s="62">
        <f t="shared" si="0"/>
        <v>385</v>
      </c>
      <c r="I78" s="38">
        <v>29.84</v>
      </c>
      <c r="J78" s="60"/>
      <c r="K78" s="60">
        <v>28.88</v>
      </c>
      <c r="L78" s="60">
        <v>3.85</v>
      </c>
      <c r="M78" s="59"/>
    </row>
    <row r="79" spans="1:13" ht="14.25">
      <c r="A79" s="58">
        <v>35</v>
      </c>
      <c r="B79" s="61" t="s">
        <v>413</v>
      </c>
      <c r="C79" s="39" t="s">
        <v>414</v>
      </c>
      <c r="D79" s="37" t="s">
        <v>193</v>
      </c>
      <c r="E79" s="62">
        <v>385</v>
      </c>
      <c r="F79" s="62"/>
      <c r="G79" s="62">
        <v>200</v>
      </c>
      <c r="H79" s="62">
        <f t="shared" si="0"/>
        <v>385</v>
      </c>
      <c r="I79" s="38">
        <v>29.84</v>
      </c>
      <c r="J79" s="60"/>
      <c r="K79" s="60">
        <v>28.88</v>
      </c>
      <c r="L79" s="60">
        <v>3.85</v>
      </c>
      <c r="M79" s="59"/>
    </row>
    <row r="80" spans="1:13" ht="14.25">
      <c r="A80" s="58">
        <v>36</v>
      </c>
      <c r="B80" s="61" t="s">
        <v>415</v>
      </c>
      <c r="C80" s="39" t="s">
        <v>416</v>
      </c>
      <c r="D80" s="37" t="s">
        <v>193</v>
      </c>
      <c r="E80" s="62">
        <v>500</v>
      </c>
      <c r="F80" s="62"/>
      <c r="G80" s="62">
        <v>200</v>
      </c>
      <c r="H80" s="62">
        <f t="shared" si="0"/>
        <v>500</v>
      </c>
      <c r="I80" s="38">
        <v>38.75</v>
      </c>
      <c r="J80" s="60"/>
      <c r="K80" s="60">
        <v>37.5</v>
      </c>
      <c r="L80" s="60">
        <v>5</v>
      </c>
      <c r="M80" s="59"/>
    </row>
    <row r="81" spans="1:13" ht="14.25">
      <c r="A81" s="58">
        <v>37</v>
      </c>
      <c r="B81" s="61" t="s">
        <v>417</v>
      </c>
      <c r="C81" s="39" t="s">
        <v>418</v>
      </c>
      <c r="D81" s="37" t="s">
        <v>193</v>
      </c>
      <c r="E81" s="62">
        <v>440</v>
      </c>
      <c r="F81" s="62"/>
      <c r="G81" s="62">
        <v>200</v>
      </c>
      <c r="H81" s="62">
        <f t="shared" si="0"/>
        <v>440</v>
      </c>
      <c r="I81" s="38"/>
      <c r="J81" s="60">
        <v>26.4</v>
      </c>
      <c r="K81" s="60">
        <v>33</v>
      </c>
      <c r="L81" s="60">
        <v>4.4000000000000004</v>
      </c>
      <c r="M81" s="59"/>
    </row>
    <row r="82" spans="1:13" ht="14.25">
      <c r="A82" s="58">
        <v>38</v>
      </c>
      <c r="B82" s="61" t="s">
        <v>419</v>
      </c>
      <c r="C82" s="39" t="s">
        <v>420</v>
      </c>
      <c r="D82" s="37" t="s">
        <v>193</v>
      </c>
      <c r="E82" s="62">
        <v>330</v>
      </c>
      <c r="F82" s="62"/>
      <c r="G82" s="62">
        <v>200</v>
      </c>
      <c r="H82" s="62">
        <f t="shared" si="0"/>
        <v>330</v>
      </c>
      <c r="I82" s="38">
        <v>25.58</v>
      </c>
      <c r="J82" s="60"/>
      <c r="K82" s="60">
        <v>24.75</v>
      </c>
      <c r="L82" s="60">
        <v>3.3</v>
      </c>
      <c r="M82" s="59"/>
    </row>
    <row r="83" spans="1:13" ht="14.25">
      <c r="A83" s="58">
        <v>39</v>
      </c>
      <c r="B83" s="61" t="s">
        <v>421</v>
      </c>
      <c r="C83" s="39" t="s">
        <v>420</v>
      </c>
      <c r="D83" s="37" t="s">
        <v>193</v>
      </c>
      <c r="E83" s="62">
        <v>330</v>
      </c>
      <c r="F83" s="62"/>
      <c r="G83" s="62">
        <v>200</v>
      </c>
      <c r="H83" s="62">
        <f t="shared" si="0"/>
        <v>330</v>
      </c>
      <c r="I83" s="38"/>
      <c r="J83" s="60"/>
      <c r="K83" s="60">
        <v>24.75</v>
      </c>
      <c r="L83" s="60">
        <v>3.3</v>
      </c>
      <c r="M83" s="59"/>
    </row>
    <row r="84" spans="1:13" ht="14.25">
      <c r="A84" s="58">
        <v>40</v>
      </c>
      <c r="B84" s="61" t="s">
        <v>422</v>
      </c>
      <c r="C84" s="39" t="s">
        <v>420</v>
      </c>
      <c r="D84" s="37" t="s">
        <v>193</v>
      </c>
      <c r="E84" s="62">
        <v>330</v>
      </c>
      <c r="F84" s="62"/>
      <c r="G84" s="62">
        <v>200</v>
      </c>
      <c r="H84" s="62">
        <f t="shared" si="0"/>
        <v>330</v>
      </c>
      <c r="I84" s="38">
        <v>9.9</v>
      </c>
      <c r="J84" s="60"/>
      <c r="K84" s="60">
        <v>24.75</v>
      </c>
      <c r="L84" s="60">
        <v>3.3</v>
      </c>
      <c r="M84" s="59"/>
    </row>
    <row r="85" spans="1:13" ht="14.25">
      <c r="A85" s="58">
        <v>41</v>
      </c>
      <c r="B85" s="61" t="s">
        <v>423</v>
      </c>
      <c r="C85" s="39" t="s">
        <v>420</v>
      </c>
      <c r="D85" s="37" t="s">
        <v>193</v>
      </c>
      <c r="E85" s="62">
        <v>330</v>
      </c>
      <c r="F85" s="62"/>
      <c r="G85" s="62">
        <v>200</v>
      </c>
      <c r="H85" s="62">
        <f t="shared" si="0"/>
        <v>330</v>
      </c>
      <c r="I85" s="38">
        <v>9.9</v>
      </c>
      <c r="J85" s="60"/>
      <c r="K85" s="60">
        <v>24.75</v>
      </c>
      <c r="L85" s="60">
        <v>3.3</v>
      </c>
      <c r="M85" s="59"/>
    </row>
    <row r="86" spans="1:13" ht="14.25">
      <c r="A86" s="58">
        <v>42</v>
      </c>
      <c r="B86" s="61" t="s">
        <v>424</v>
      </c>
      <c r="C86" s="39" t="s">
        <v>420</v>
      </c>
      <c r="D86" s="37" t="s">
        <v>193</v>
      </c>
      <c r="E86" s="62">
        <v>330</v>
      </c>
      <c r="F86" s="62"/>
      <c r="G86" s="62">
        <v>200</v>
      </c>
      <c r="H86" s="62">
        <f t="shared" si="0"/>
        <v>330</v>
      </c>
      <c r="I86" s="38">
        <v>9.9</v>
      </c>
      <c r="J86" s="60"/>
      <c r="K86" s="60">
        <v>24.75</v>
      </c>
      <c r="L86" s="60">
        <v>3.3</v>
      </c>
      <c r="M86" s="59"/>
    </row>
    <row r="87" spans="1:13" ht="14.25">
      <c r="A87" s="58">
        <v>43</v>
      </c>
      <c r="B87" s="61" t="s">
        <v>425</v>
      </c>
      <c r="C87" s="39" t="s">
        <v>426</v>
      </c>
      <c r="D87" s="37" t="s">
        <v>193</v>
      </c>
      <c r="E87" s="62">
        <v>350</v>
      </c>
      <c r="F87" s="62"/>
      <c r="G87" s="62">
        <v>200</v>
      </c>
      <c r="H87" s="62">
        <f t="shared" si="0"/>
        <v>350</v>
      </c>
      <c r="I87" s="38">
        <v>27.13</v>
      </c>
      <c r="J87" s="60"/>
      <c r="K87" s="60">
        <v>26.25</v>
      </c>
      <c r="L87" s="60">
        <v>3.5</v>
      </c>
      <c r="M87" s="59"/>
    </row>
    <row r="88" spans="1:13" ht="14.25">
      <c r="A88" s="58">
        <v>44</v>
      </c>
      <c r="B88" s="61" t="s">
        <v>427</v>
      </c>
      <c r="C88" s="39" t="s">
        <v>428</v>
      </c>
      <c r="D88" s="37" t="s">
        <v>193</v>
      </c>
      <c r="E88" s="62">
        <v>310</v>
      </c>
      <c r="F88" s="62"/>
      <c r="G88" s="62">
        <v>200</v>
      </c>
      <c r="H88" s="62">
        <f t="shared" si="0"/>
        <v>310</v>
      </c>
      <c r="I88" s="38">
        <v>24.03</v>
      </c>
      <c r="J88" s="60"/>
      <c r="K88" s="60">
        <v>23.25</v>
      </c>
      <c r="L88" s="60">
        <v>3.1</v>
      </c>
      <c r="M88" s="59"/>
    </row>
    <row r="89" spans="1:13" ht="14.25">
      <c r="A89" s="58">
        <v>45</v>
      </c>
      <c r="B89" s="61" t="s">
        <v>429</v>
      </c>
      <c r="C89" s="39" t="s">
        <v>428</v>
      </c>
      <c r="D89" s="37" t="s">
        <v>193</v>
      </c>
      <c r="E89" s="62">
        <v>310</v>
      </c>
      <c r="F89" s="62"/>
      <c r="G89" s="62">
        <v>200</v>
      </c>
      <c r="H89" s="62">
        <f t="shared" si="0"/>
        <v>310</v>
      </c>
      <c r="I89" s="38">
        <v>24.03</v>
      </c>
      <c r="J89" s="60"/>
      <c r="K89" s="60">
        <v>23.25</v>
      </c>
      <c r="L89" s="60">
        <v>3.1</v>
      </c>
      <c r="M89" s="59"/>
    </row>
    <row r="90" spans="1:13" ht="14.25">
      <c r="A90" s="58">
        <v>46</v>
      </c>
      <c r="B90" s="61" t="s">
        <v>430</v>
      </c>
      <c r="C90" s="39" t="s">
        <v>428</v>
      </c>
      <c r="D90" s="37" t="s">
        <v>193</v>
      </c>
      <c r="E90" s="62">
        <v>310</v>
      </c>
      <c r="F90" s="62"/>
      <c r="G90" s="62">
        <v>200</v>
      </c>
      <c r="H90" s="62">
        <f t="shared" si="0"/>
        <v>310</v>
      </c>
      <c r="I90" s="38">
        <v>24.03</v>
      </c>
      <c r="J90" s="60"/>
      <c r="K90" s="60">
        <v>23.25</v>
      </c>
      <c r="L90" s="60">
        <v>3.1</v>
      </c>
      <c r="M90" s="59"/>
    </row>
    <row r="91" spans="1:13" ht="14.25">
      <c r="A91" s="58">
        <v>47</v>
      </c>
      <c r="B91" s="61" t="s">
        <v>431</v>
      </c>
      <c r="C91" s="39" t="s">
        <v>428</v>
      </c>
      <c r="D91" s="37" t="s">
        <v>193</v>
      </c>
      <c r="E91" s="62">
        <v>310</v>
      </c>
      <c r="F91" s="62"/>
      <c r="G91" s="62">
        <v>200</v>
      </c>
      <c r="H91" s="62">
        <f t="shared" si="0"/>
        <v>310</v>
      </c>
      <c r="I91" s="38">
        <v>24.03</v>
      </c>
      <c r="J91" s="60"/>
      <c r="K91" s="60">
        <v>23.25</v>
      </c>
      <c r="L91" s="60">
        <v>3.1</v>
      </c>
      <c r="M91" s="59"/>
    </row>
    <row r="92" spans="1:13" ht="14.25">
      <c r="A92" s="58">
        <v>48</v>
      </c>
      <c r="B92" s="61" t="s">
        <v>432</v>
      </c>
      <c r="C92" s="39" t="s">
        <v>428</v>
      </c>
      <c r="D92" s="37" t="s">
        <v>193</v>
      </c>
      <c r="E92" s="62">
        <v>310</v>
      </c>
      <c r="F92" s="62"/>
      <c r="G92" s="62">
        <v>200</v>
      </c>
      <c r="H92" s="62">
        <f t="shared" si="0"/>
        <v>310</v>
      </c>
      <c r="I92" s="38">
        <v>24.03</v>
      </c>
      <c r="J92" s="60"/>
      <c r="K92" s="60">
        <v>23.25</v>
      </c>
      <c r="L92" s="60">
        <v>3.1</v>
      </c>
      <c r="M92" s="59"/>
    </row>
    <row r="93" spans="1:13" ht="14.25">
      <c r="A93" s="58">
        <v>49</v>
      </c>
      <c r="B93" s="61" t="s">
        <v>433</v>
      </c>
      <c r="C93" s="39" t="s">
        <v>434</v>
      </c>
      <c r="D93" s="37" t="s">
        <v>193</v>
      </c>
      <c r="E93" s="62">
        <v>310</v>
      </c>
      <c r="F93" s="62"/>
      <c r="G93" s="62">
        <v>200</v>
      </c>
      <c r="H93" s="62">
        <f t="shared" si="0"/>
        <v>310</v>
      </c>
      <c r="I93" s="38">
        <v>24.03</v>
      </c>
      <c r="J93" s="60"/>
      <c r="K93" s="60">
        <v>23.25</v>
      </c>
      <c r="L93" s="60">
        <v>3.1</v>
      </c>
      <c r="M93" s="59"/>
    </row>
    <row r="94" spans="1:13" ht="14.25">
      <c r="A94" s="58">
        <v>50</v>
      </c>
      <c r="B94" s="61" t="s">
        <v>435</v>
      </c>
      <c r="C94" s="39" t="s">
        <v>436</v>
      </c>
      <c r="D94" s="37" t="s">
        <v>193</v>
      </c>
      <c r="E94" s="62">
        <v>519.16</v>
      </c>
      <c r="F94" s="62"/>
      <c r="G94" s="62">
        <v>200</v>
      </c>
      <c r="H94" s="62">
        <f t="shared" si="0"/>
        <v>519.16</v>
      </c>
      <c r="I94" s="38"/>
      <c r="J94" s="60"/>
      <c r="K94" s="60"/>
      <c r="L94" s="60"/>
      <c r="M94" s="59"/>
    </row>
    <row r="95" spans="1:13" ht="14.25">
      <c r="A95" s="58">
        <v>51</v>
      </c>
      <c r="B95" s="61" t="s">
        <v>437</v>
      </c>
      <c r="C95" s="39" t="s">
        <v>436</v>
      </c>
      <c r="D95" s="37" t="s">
        <v>193</v>
      </c>
      <c r="E95" s="62">
        <v>385</v>
      </c>
      <c r="F95" s="62"/>
      <c r="G95" s="62">
        <v>200</v>
      </c>
      <c r="H95" s="62">
        <f t="shared" si="0"/>
        <v>385</v>
      </c>
      <c r="I95" s="38">
        <v>29.84</v>
      </c>
      <c r="J95" s="60"/>
      <c r="K95" s="60">
        <v>28.88</v>
      </c>
      <c r="L95" s="60">
        <v>3.85</v>
      </c>
      <c r="M95" s="59"/>
    </row>
    <row r="96" spans="1:13" ht="14.25">
      <c r="A96" s="58">
        <v>52</v>
      </c>
      <c r="B96" s="61" t="s">
        <v>438</v>
      </c>
      <c r="C96" s="39" t="s">
        <v>439</v>
      </c>
      <c r="D96" s="37" t="s">
        <v>193</v>
      </c>
      <c r="E96" s="62">
        <v>310</v>
      </c>
      <c r="F96" s="62"/>
      <c r="G96" s="62">
        <v>200</v>
      </c>
      <c r="H96" s="62">
        <f t="shared" si="0"/>
        <v>310</v>
      </c>
      <c r="I96" s="38">
        <v>24.03</v>
      </c>
      <c r="J96" s="60"/>
      <c r="K96" s="60">
        <v>23.25</v>
      </c>
      <c r="L96" s="60">
        <v>3.1</v>
      </c>
      <c r="M96" s="59"/>
    </row>
    <row r="97" spans="1:13" ht="14.25">
      <c r="A97" s="58">
        <v>53</v>
      </c>
      <c r="B97" s="61" t="s">
        <v>440</v>
      </c>
      <c r="C97" s="39" t="s">
        <v>441</v>
      </c>
      <c r="D97" s="37" t="s">
        <v>193</v>
      </c>
      <c r="E97" s="62">
        <v>385</v>
      </c>
      <c r="F97" s="62"/>
      <c r="G97" s="62">
        <v>200</v>
      </c>
      <c r="H97" s="62">
        <f t="shared" si="0"/>
        <v>385</v>
      </c>
      <c r="I97" s="38">
        <v>29.84</v>
      </c>
      <c r="J97" s="60"/>
      <c r="K97" s="60">
        <v>28.88</v>
      </c>
      <c r="L97" s="60">
        <v>3.85</v>
      </c>
      <c r="M97" s="59"/>
    </row>
    <row r="98" spans="1:13" ht="14.25">
      <c r="A98" s="58">
        <v>54</v>
      </c>
      <c r="B98" s="61" t="s">
        <v>442</v>
      </c>
      <c r="C98" s="39" t="s">
        <v>436</v>
      </c>
      <c r="D98" s="37" t="s">
        <v>193</v>
      </c>
      <c r="E98" s="62">
        <v>440</v>
      </c>
      <c r="F98" s="62"/>
      <c r="G98" s="62">
        <v>200</v>
      </c>
      <c r="H98" s="62">
        <f t="shared" si="0"/>
        <v>440</v>
      </c>
      <c r="I98" s="38">
        <v>34.1</v>
      </c>
      <c r="J98" s="60"/>
      <c r="K98" s="60">
        <v>33</v>
      </c>
      <c r="L98" s="60">
        <v>4.4000000000000004</v>
      </c>
      <c r="M98" s="59"/>
    </row>
    <row r="99" spans="1:13" ht="14.25">
      <c r="A99" s="58">
        <v>55</v>
      </c>
      <c r="B99" s="61" t="s">
        <v>443</v>
      </c>
      <c r="C99" s="39" t="s">
        <v>441</v>
      </c>
      <c r="D99" s="37" t="s">
        <v>193</v>
      </c>
      <c r="E99" s="62">
        <v>357.5</v>
      </c>
      <c r="F99" s="62"/>
      <c r="G99" s="62">
        <v>200</v>
      </c>
      <c r="H99" s="62">
        <f t="shared" si="0"/>
        <v>357.5</v>
      </c>
      <c r="I99" s="38"/>
      <c r="J99" s="60">
        <v>21.45</v>
      </c>
      <c r="K99" s="60">
        <v>26.81</v>
      </c>
      <c r="L99" s="60">
        <v>3.58</v>
      </c>
      <c r="M99" s="59"/>
    </row>
    <row r="100" spans="1:13" ht="14.25">
      <c r="A100" s="58">
        <v>56</v>
      </c>
      <c r="B100" s="61" t="s">
        <v>444</v>
      </c>
      <c r="C100" s="39" t="s">
        <v>445</v>
      </c>
      <c r="D100" s="37" t="s">
        <v>193</v>
      </c>
      <c r="E100" s="62">
        <v>444.44</v>
      </c>
      <c r="F100" s="62"/>
      <c r="G100" s="62">
        <v>200</v>
      </c>
      <c r="H100" s="62">
        <f t="shared" si="0"/>
        <v>444.44</v>
      </c>
      <c r="I100" s="38">
        <v>34.44</v>
      </c>
      <c r="J100" s="60"/>
      <c r="K100" s="60">
        <v>33.33</v>
      </c>
      <c r="L100" s="60">
        <v>4.4400000000000004</v>
      </c>
      <c r="M100" s="59"/>
    </row>
    <row r="101" spans="1:13" ht="14.25">
      <c r="A101" s="58">
        <v>57</v>
      </c>
      <c r="B101" s="61" t="s">
        <v>446</v>
      </c>
      <c r="C101" s="39" t="s">
        <v>441</v>
      </c>
      <c r="D101" s="37" t="s">
        <v>193</v>
      </c>
      <c r="E101" s="62">
        <v>385</v>
      </c>
      <c r="F101" s="62"/>
      <c r="G101" s="62">
        <v>200</v>
      </c>
      <c r="H101" s="62">
        <f t="shared" si="0"/>
        <v>385</v>
      </c>
      <c r="I101" s="38"/>
      <c r="J101" s="60"/>
      <c r="K101" s="60">
        <v>28.88</v>
      </c>
      <c r="L101" s="60">
        <v>3.85</v>
      </c>
      <c r="M101" s="59"/>
    </row>
    <row r="102" spans="1:13" ht="14.25">
      <c r="A102" s="58">
        <v>58</v>
      </c>
      <c r="B102" s="61" t="s">
        <v>447</v>
      </c>
      <c r="C102" s="39" t="s">
        <v>448</v>
      </c>
      <c r="D102" s="37" t="s">
        <v>193</v>
      </c>
      <c r="E102" s="62">
        <v>350</v>
      </c>
      <c r="F102" s="62"/>
      <c r="G102" s="62">
        <v>200</v>
      </c>
      <c r="H102" s="62">
        <f t="shared" si="0"/>
        <v>350</v>
      </c>
      <c r="I102" s="38">
        <v>27.13</v>
      </c>
      <c r="J102" s="60"/>
      <c r="K102" s="60">
        <v>26.25</v>
      </c>
      <c r="L102" s="60">
        <v>3.5</v>
      </c>
      <c r="M102" s="59"/>
    </row>
    <row r="103" spans="1:13" ht="14.25">
      <c r="A103" s="58">
        <v>59</v>
      </c>
      <c r="B103" s="61" t="s">
        <v>449</v>
      </c>
      <c r="C103" s="39" t="s">
        <v>450</v>
      </c>
      <c r="D103" s="37" t="s">
        <v>193</v>
      </c>
      <c r="E103" s="62">
        <v>550</v>
      </c>
      <c r="F103" s="62"/>
      <c r="G103" s="62">
        <v>200</v>
      </c>
      <c r="H103" s="62">
        <f t="shared" si="0"/>
        <v>550</v>
      </c>
      <c r="I103" s="38">
        <v>42.63</v>
      </c>
      <c r="J103" s="60"/>
      <c r="K103" s="60">
        <v>41.25</v>
      </c>
      <c r="L103" s="60">
        <v>5.5</v>
      </c>
      <c r="M103" s="59"/>
    </row>
    <row r="104" spans="1:13" ht="14.25">
      <c r="A104" s="58"/>
      <c r="B104" s="61"/>
      <c r="C104" s="39"/>
      <c r="D104" s="37"/>
      <c r="E104" s="62"/>
      <c r="F104" s="62"/>
      <c r="G104" s="62"/>
      <c r="H104" s="62"/>
      <c r="I104" s="38"/>
      <c r="J104" s="60"/>
      <c r="K104" s="60"/>
      <c r="L104" s="60"/>
      <c r="M104" s="59"/>
    </row>
    <row r="105" spans="1:13" ht="14.25">
      <c r="A105" s="58">
        <v>60</v>
      </c>
      <c r="B105" s="61" t="s">
        <v>451</v>
      </c>
      <c r="C105" s="39" t="s">
        <v>452</v>
      </c>
      <c r="D105" s="98" t="s">
        <v>351</v>
      </c>
      <c r="E105" s="62">
        <v>385</v>
      </c>
      <c r="F105" s="62"/>
      <c r="G105" s="62">
        <v>200</v>
      </c>
      <c r="H105" s="62">
        <f t="shared" ref="H105:H112" si="1">+E105</f>
        <v>385</v>
      </c>
      <c r="I105" s="38"/>
      <c r="J105" s="60">
        <v>23.1</v>
      </c>
      <c r="K105" s="60">
        <v>28.88</v>
      </c>
      <c r="L105" s="60">
        <v>3.85</v>
      </c>
      <c r="M105" s="59"/>
    </row>
    <row r="106" spans="1:13" ht="14.25">
      <c r="A106" s="58">
        <v>61</v>
      </c>
      <c r="B106" s="61" t="s">
        <v>453</v>
      </c>
      <c r="C106" s="39" t="s">
        <v>454</v>
      </c>
      <c r="D106" s="37" t="s">
        <v>351</v>
      </c>
      <c r="E106" s="62">
        <v>310</v>
      </c>
      <c r="F106" s="62"/>
      <c r="G106" s="62">
        <v>200</v>
      </c>
      <c r="H106" s="62">
        <f t="shared" si="1"/>
        <v>310</v>
      </c>
      <c r="I106" s="38">
        <v>24.03</v>
      </c>
      <c r="J106" s="60"/>
      <c r="K106" s="60">
        <v>23.25</v>
      </c>
      <c r="L106" s="60">
        <v>3.1</v>
      </c>
      <c r="M106" s="59"/>
    </row>
    <row r="107" spans="1:13" ht="14.25">
      <c r="A107" s="58">
        <v>62</v>
      </c>
      <c r="B107" s="61" t="s">
        <v>455</v>
      </c>
      <c r="C107" s="39" t="s">
        <v>454</v>
      </c>
      <c r="D107" s="37" t="s">
        <v>351</v>
      </c>
      <c r="E107" s="62">
        <v>310</v>
      </c>
      <c r="F107" s="62"/>
      <c r="G107" s="62">
        <v>200</v>
      </c>
      <c r="H107" s="62">
        <f t="shared" si="1"/>
        <v>310</v>
      </c>
      <c r="I107" s="38">
        <v>24.03</v>
      </c>
      <c r="J107" s="60"/>
      <c r="K107" s="60">
        <v>23.25</v>
      </c>
      <c r="L107" s="60">
        <v>3.1</v>
      </c>
      <c r="M107" s="59"/>
    </row>
    <row r="108" spans="1:13" ht="14.25">
      <c r="A108" s="58">
        <v>63</v>
      </c>
      <c r="B108" s="61" t="s">
        <v>456</v>
      </c>
      <c r="C108" s="39" t="s">
        <v>457</v>
      </c>
      <c r="D108" s="37" t="s">
        <v>351</v>
      </c>
      <c r="E108" s="62">
        <v>330</v>
      </c>
      <c r="F108" s="62"/>
      <c r="G108" s="62">
        <v>200</v>
      </c>
      <c r="H108" s="62">
        <f t="shared" si="1"/>
        <v>330</v>
      </c>
      <c r="I108" s="38">
        <v>26.2</v>
      </c>
      <c r="J108" s="60"/>
      <c r="K108" s="60">
        <v>24.75</v>
      </c>
      <c r="L108" s="60">
        <v>3.3</v>
      </c>
      <c r="M108" s="59"/>
    </row>
    <row r="109" spans="1:13" ht="14.25">
      <c r="A109" s="58">
        <v>64</v>
      </c>
      <c r="B109" s="61" t="s">
        <v>458</v>
      </c>
      <c r="C109" s="39" t="s">
        <v>457</v>
      </c>
      <c r="D109" s="37" t="s">
        <v>351</v>
      </c>
      <c r="E109" s="62">
        <v>330</v>
      </c>
      <c r="F109" s="62"/>
      <c r="G109" s="62">
        <v>200</v>
      </c>
      <c r="H109" s="62">
        <f t="shared" si="1"/>
        <v>330</v>
      </c>
      <c r="I109" s="38">
        <v>24.75</v>
      </c>
      <c r="J109" s="60"/>
      <c r="K109" s="60">
        <v>25.58</v>
      </c>
      <c r="L109" s="60">
        <v>3.3</v>
      </c>
      <c r="M109" s="59"/>
    </row>
    <row r="110" spans="1:13" ht="14.25">
      <c r="A110" s="58">
        <v>65</v>
      </c>
      <c r="B110" s="61" t="s">
        <v>459</v>
      </c>
      <c r="C110" s="39" t="s">
        <v>457</v>
      </c>
      <c r="D110" s="37" t="s">
        <v>351</v>
      </c>
      <c r="E110" s="62">
        <v>310</v>
      </c>
      <c r="F110" s="62"/>
      <c r="G110" s="62">
        <v>200</v>
      </c>
      <c r="H110" s="62">
        <f t="shared" si="1"/>
        <v>310</v>
      </c>
      <c r="I110" s="38">
        <v>24.03</v>
      </c>
      <c r="J110" s="60"/>
      <c r="K110" s="60">
        <v>23.25</v>
      </c>
      <c r="L110" s="60">
        <v>3.1</v>
      </c>
      <c r="M110" s="59"/>
    </row>
    <row r="111" spans="1:13" ht="14.25">
      <c r="A111" s="58">
        <v>66</v>
      </c>
      <c r="B111" s="61" t="s">
        <v>460</v>
      </c>
      <c r="C111" s="39" t="s">
        <v>457</v>
      </c>
      <c r="D111" s="37" t="s">
        <v>351</v>
      </c>
      <c r="E111" s="62">
        <v>310</v>
      </c>
      <c r="F111" s="62"/>
      <c r="G111" s="62">
        <v>200</v>
      </c>
      <c r="H111" s="62">
        <f t="shared" si="1"/>
        <v>310</v>
      </c>
      <c r="I111" s="38">
        <v>24.03</v>
      </c>
      <c r="J111" s="60"/>
      <c r="K111" s="60">
        <v>23.25</v>
      </c>
      <c r="L111" s="60">
        <v>3.1</v>
      </c>
      <c r="M111" s="59"/>
    </row>
    <row r="112" spans="1:13" ht="14.25">
      <c r="A112" s="58">
        <v>67</v>
      </c>
      <c r="B112" s="100" t="s">
        <v>466</v>
      </c>
      <c r="C112" s="39" t="s">
        <v>467</v>
      </c>
      <c r="D112" s="37" t="s">
        <v>351</v>
      </c>
      <c r="E112" s="62">
        <v>504.9</v>
      </c>
      <c r="F112" s="62"/>
      <c r="G112" s="62">
        <v>200</v>
      </c>
      <c r="H112" s="62">
        <f t="shared" si="1"/>
        <v>504.9</v>
      </c>
      <c r="I112" s="38">
        <v>39.130000000000003</v>
      </c>
      <c r="J112" s="60"/>
      <c r="K112" s="60">
        <v>37.869999999999997</v>
      </c>
      <c r="L112" s="60">
        <v>5.05</v>
      </c>
      <c r="M112" s="59"/>
    </row>
    <row r="113" spans="1:13" ht="14.25">
      <c r="A113" s="58"/>
      <c r="B113" s="61"/>
      <c r="C113" s="39"/>
      <c r="D113" s="37"/>
      <c r="E113" s="62"/>
      <c r="F113" s="62"/>
      <c r="G113" s="62"/>
      <c r="H113" s="62"/>
      <c r="I113" s="38"/>
      <c r="J113" s="60"/>
      <c r="K113" s="60"/>
      <c r="L113" s="60"/>
      <c r="M113" s="59"/>
    </row>
    <row r="114" spans="1:13" ht="14.25">
      <c r="A114" s="58"/>
      <c r="B114" s="61"/>
      <c r="C114" s="39"/>
      <c r="D114" s="37"/>
      <c r="E114" s="62"/>
      <c r="F114" s="62"/>
      <c r="G114" s="62"/>
      <c r="H114" s="62"/>
      <c r="I114" s="38"/>
      <c r="J114" s="60"/>
      <c r="K114" s="60"/>
      <c r="L114" s="60"/>
      <c r="M114" s="59"/>
    </row>
    <row r="115" spans="1:13" ht="14.25">
      <c r="A115" s="58"/>
      <c r="B115" s="61"/>
      <c r="C115" s="39"/>
      <c r="D115" s="37"/>
      <c r="E115" s="62"/>
      <c r="F115" s="62"/>
      <c r="G115" s="62"/>
      <c r="H115" s="62"/>
      <c r="I115" s="38"/>
      <c r="J115" s="60"/>
      <c r="K115" s="60"/>
      <c r="L115" s="60"/>
      <c r="M115" s="59"/>
    </row>
    <row r="116" spans="1:13" ht="14.25">
      <c r="A116" s="58"/>
      <c r="B116" s="61"/>
      <c r="C116" s="39"/>
      <c r="D116" s="37"/>
      <c r="E116" s="62"/>
      <c r="F116" s="62"/>
      <c r="G116" s="62"/>
      <c r="H116" s="62"/>
      <c r="I116" s="38"/>
      <c r="J116" s="60"/>
      <c r="K116" s="60"/>
      <c r="L116" s="60"/>
      <c r="M116" s="59"/>
    </row>
    <row r="117" spans="1:13" ht="14.25">
      <c r="A117" s="58"/>
      <c r="B117" s="61"/>
      <c r="C117" s="39"/>
      <c r="D117" s="37"/>
      <c r="E117" s="62"/>
      <c r="F117" s="62"/>
      <c r="G117" s="62"/>
      <c r="H117" s="62"/>
      <c r="I117" s="38"/>
      <c r="J117" s="60"/>
      <c r="K117" s="60"/>
      <c r="L117" s="60"/>
      <c r="M117" s="59"/>
    </row>
    <row r="118" spans="1:13" ht="14.25">
      <c r="A118" s="58"/>
      <c r="B118" s="61"/>
      <c r="C118" s="39"/>
      <c r="D118" s="37"/>
      <c r="E118" s="62"/>
      <c r="F118" s="62"/>
      <c r="G118" s="62"/>
      <c r="H118" s="62"/>
      <c r="I118" s="38"/>
      <c r="J118" s="60"/>
      <c r="K118" s="60"/>
      <c r="L118" s="60"/>
      <c r="M118" s="59"/>
    </row>
    <row r="119" spans="1:13" ht="14.25">
      <c r="A119" s="58"/>
      <c r="B119" s="61"/>
      <c r="C119" s="39"/>
      <c r="D119" s="37"/>
      <c r="E119" s="62"/>
      <c r="F119" s="62"/>
      <c r="G119" s="62"/>
      <c r="H119" s="62"/>
      <c r="I119" s="38"/>
      <c r="J119" s="60"/>
      <c r="K119" s="60"/>
      <c r="L119" s="60"/>
      <c r="M119" s="59"/>
    </row>
    <row r="120" spans="1:13" ht="14.25">
      <c r="A120" s="58"/>
      <c r="B120" s="61"/>
      <c r="C120" s="39"/>
      <c r="D120" s="37"/>
      <c r="E120" s="62"/>
      <c r="F120" s="62"/>
      <c r="G120" s="62"/>
      <c r="H120" s="62"/>
      <c r="I120" s="38"/>
      <c r="J120" s="60"/>
      <c r="K120" s="60"/>
      <c r="L120" s="60"/>
      <c r="M120" s="59"/>
    </row>
    <row r="121" spans="1:13" ht="14.25">
      <c r="A121" s="58"/>
      <c r="B121" s="61"/>
      <c r="C121" s="39"/>
      <c r="D121" s="37"/>
      <c r="E121" s="62"/>
      <c r="F121" s="62"/>
      <c r="G121" s="62"/>
      <c r="H121" s="62"/>
      <c r="I121" s="38"/>
      <c r="J121" s="60"/>
      <c r="K121" s="60"/>
      <c r="L121" s="60"/>
      <c r="M121" s="59"/>
    </row>
    <row r="122" spans="1:13" ht="14.25">
      <c r="A122" s="58"/>
      <c r="B122" s="61"/>
      <c r="C122" s="39"/>
      <c r="D122" s="37"/>
      <c r="E122" s="62"/>
      <c r="F122" s="62"/>
      <c r="G122" s="62"/>
      <c r="H122" s="62"/>
      <c r="I122" s="38"/>
      <c r="J122" s="60"/>
      <c r="K122" s="60"/>
      <c r="L122" s="60"/>
      <c r="M122" s="59"/>
    </row>
    <row r="123" spans="1:13" ht="14.25">
      <c r="A123" s="58"/>
      <c r="B123" s="61"/>
      <c r="C123" s="39"/>
      <c r="D123" s="37"/>
      <c r="E123" s="62"/>
      <c r="F123" s="62"/>
      <c r="G123" s="62"/>
      <c r="H123" s="62"/>
      <c r="I123" s="38"/>
      <c r="J123" s="60"/>
      <c r="K123" s="60"/>
      <c r="L123" s="60"/>
      <c r="M123" s="59"/>
    </row>
    <row r="124" spans="1:13" ht="14.25">
      <c r="A124" s="58"/>
      <c r="B124" s="61"/>
      <c r="C124" s="39"/>
      <c r="D124" s="37"/>
      <c r="E124" s="62"/>
      <c r="F124" s="62"/>
      <c r="G124" s="62"/>
      <c r="H124" s="62">
        <f t="shared" si="0"/>
        <v>0</v>
      </c>
      <c r="I124" s="38"/>
      <c r="J124" s="60"/>
      <c r="K124" s="60"/>
      <c r="L124" s="60"/>
      <c r="M124" s="59"/>
    </row>
    <row r="125" spans="1:13" ht="15" thickBot="1">
      <c r="A125" s="58"/>
      <c r="B125" s="61"/>
      <c r="C125" s="39"/>
      <c r="D125" s="37"/>
      <c r="E125" s="62"/>
      <c r="F125" s="62"/>
      <c r="G125" s="62"/>
      <c r="H125" s="62"/>
      <c r="I125" s="38"/>
      <c r="J125" s="60"/>
      <c r="K125" s="60"/>
      <c r="L125" s="60"/>
      <c r="M125" s="59"/>
    </row>
    <row r="126" spans="1:13" ht="15.75" thickBot="1">
      <c r="A126" s="1252"/>
      <c r="B126" s="1253"/>
      <c r="C126" s="1254"/>
      <c r="D126" s="1255"/>
      <c r="E126" s="63">
        <f t="shared" ref="E126:M126" si="2">SUM(E44:E125)</f>
        <v>35423.269999999997</v>
      </c>
      <c r="F126" s="63">
        <f t="shared" si="2"/>
        <v>0</v>
      </c>
      <c r="G126" s="63"/>
      <c r="H126" s="63">
        <f t="shared" si="2"/>
        <v>35423.269999999997</v>
      </c>
      <c r="I126" s="63">
        <f t="shared" si="2"/>
        <v>2140.7300000000005</v>
      </c>
      <c r="J126" s="63">
        <f t="shared" si="2"/>
        <v>70.949999999999989</v>
      </c>
      <c r="K126" s="63">
        <f t="shared" si="2"/>
        <v>2302.7800000000002</v>
      </c>
      <c r="L126" s="63">
        <f t="shared" si="2"/>
        <v>297.27000000000021</v>
      </c>
      <c r="M126" s="63">
        <f t="shared" si="2"/>
        <v>0</v>
      </c>
    </row>
  </sheetData>
  <mergeCells count="28">
    <mergeCell ref="A25:D25"/>
    <mergeCell ref="E4:H4"/>
    <mergeCell ref="A41:A43"/>
    <mergeCell ref="B41:B43"/>
    <mergeCell ref="D41:D43"/>
    <mergeCell ref="E41:H41"/>
    <mergeCell ref="A39:M39"/>
    <mergeCell ref="F5:F6"/>
    <mergeCell ref="A40:M40"/>
    <mergeCell ref="A38:M38"/>
    <mergeCell ref="A1:M1"/>
    <mergeCell ref="A2:M2"/>
    <mergeCell ref="B3:M3"/>
    <mergeCell ref="A4:A6"/>
    <mergeCell ref="B4:B6"/>
    <mergeCell ref="D4:D6"/>
    <mergeCell ref="I4:L4"/>
    <mergeCell ref="M4:M6"/>
    <mergeCell ref="E5:E6"/>
    <mergeCell ref="I5:I6"/>
    <mergeCell ref="K5:K6"/>
    <mergeCell ref="A126:D126"/>
    <mergeCell ref="I41:L41"/>
    <mergeCell ref="M41:M43"/>
    <mergeCell ref="E42:E43"/>
    <mergeCell ref="F42:F43"/>
    <mergeCell ref="I42:I43"/>
    <mergeCell ref="K42:K43"/>
  </mergeCells>
  <pageMargins left="0.7" right="0.7" top="0.75" bottom="0.75" header="0.3" footer="0.3"/>
  <pageSetup scale="8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8"/>
  </sheetPr>
  <dimension ref="A1:Y101"/>
  <sheetViews>
    <sheetView topLeftCell="C4" zoomScale="70" zoomScaleNormal="70" workbookViewId="0">
      <selection activeCell="Y46" sqref="Y46"/>
    </sheetView>
  </sheetViews>
  <sheetFormatPr baseColWidth="10" defaultColWidth="11.42578125" defaultRowHeight="15"/>
  <cols>
    <col min="1" max="1" width="0.140625" style="417" hidden="1" customWidth="1"/>
    <col min="2" max="2" width="0.28515625" style="417" hidden="1" customWidth="1"/>
    <col min="3" max="3" width="6.85546875" style="417" customWidth="1"/>
    <col min="4" max="4" width="18.140625" style="417" customWidth="1"/>
    <col min="5" max="5" width="14.28515625" style="417" customWidth="1"/>
    <col min="6" max="6" width="10.42578125" style="417" customWidth="1"/>
    <col min="7" max="7" width="14.42578125" style="417" customWidth="1"/>
    <col min="8" max="8" width="12.5703125" style="417" customWidth="1"/>
    <col min="9" max="9" width="11.42578125" style="417"/>
    <col min="10" max="10" width="13.28515625" style="417" customWidth="1"/>
    <col min="11" max="11" width="11.28515625" style="417" customWidth="1"/>
    <col min="12" max="12" width="12.28515625" style="417" customWidth="1"/>
    <col min="13" max="13" width="14.140625" style="417" customWidth="1"/>
    <col min="14" max="14" width="9" style="417" customWidth="1"/>
    <col min="15" max="15" width="14.28515625" style="417" customWidth="1"/>
    <col min="16" max="16" width="9.5703125" style="417" customWidth="1"/>
    <col min="17" max="17" width="13.7109375" style="417" customWidth="1"/>
    <col min="18" max="18" width="14.42578125" style="417" hidden="1" customWidth="1"/>
    <col min="19" max="19" width="15.5703125" style="417" hidden="1" customWidth="1"/>
    <col min="20" max="20" width="17.42578125" style="417" hidden="1" customWidth="1"/>
    <col min="21" max="21" width="20.85546875" style="417" customWidth="1"/>
    <col min="22" max="22" width="4.28515625" style="417" customWidth="1"/>
    <col min="23" max="23" width="1.28515625" style="417" customWidth="1"/>
    <col min="24" max="16384" width="11.42578125" style="417"/>
  </cols>
  <sheetData>
    <row r="1" spans="2:25" ht="18.75">
      <c r="C1" s="1269" t="s">
        <v>327</v>
      </c>
      <c r="D1" s="1269"/>
      <c r="E1" s="1269"/>
      <c r="F1" s="1269"/>
      <c r="G1" s="1269"/>
      <c r="H1" s="1269"/>
      <c r="I1" s="1269"/>
      <c r="J1" s="1269"/>
      <c r="K1" s="1269"/>
      <c r="L1" s="1269"/>
      <c r="M1" s="1269"/>
      <c r="N1" s="1269"/>
      <c r="O1" s="1269"/>
      <c r="P1" s="1269"/>
      <c r="Q1" s="1269"/>
      <c r="R1" s="1269"/>
      <c r="S1" s="1269"/>
      <c r="T1" s="1269"/>
      <c r="U1" s="1269"/>
      <c r="V1" s="418"/>
    </row>
    <row r="2" spans="2:25" ht="18.75">
      <c r="C2" s="1269" t="s">
        <v>694</v>
      </c>
      <c r="D2" s="1269"/>
      <c r="E2" s="1269"/>
      <c r="F2" s="1269"/>
      <c r="G2" s="1269"/>
      <c r="H2" s="1269"/>
      <c r="I2" s="1269"/>
      <c r="J2" s="1269"/>
      <c r="K2" s="1269"/>
      <c r="L2" s="1269"/>
      <c r="M2" s="1269"/>
      <c r="N2" s="1269"/>
      <c r="O2" s="1269"/>
      <c r="P2" s="1269"/>
      <c r="Q2" s="1269"/>
      <c r="R2" s="1269"/>
      <c r="S2" s="1269"/>
      <c r="T2" s="1269"/>
      <c r="U2" s="1269"/>
      <c r="V2" s="418"/>
    </row>
    <row r="3" spans="2:25" ht="18.75">
      <c r="C3" s="1270">
        <v>45261</v>
      </c>
      <c r="D3" s="1269"/>
      <c r="E3" s="1269"/>
      <c r="F3" s="1269"/>
      <c r="G3" s="1269"/>
      <c r="H3" s="1269"/>
      <c r="I3" s="1269"/>
      <c r="J3" s="1269"/>
      <c r="K3" s="1269"/>
      <c r="L3" s="1269"/>
      <c r="M3" s="1269"/>
      <c r="N3" s="1269"/>
      <c r="O3" s="1269"/>
      <c r="P3" s="1269"/>
      <c r="Q3" s="1269"/>
      <c r="R3" s="1269"/>
      <c r="S3" s="1269"/>
      <c r="T3" s="1269"/>
      <c r="U3" s="1269"/>
      <c r="V3" s="418"/>
    </row>
    <row r="4" spans="2:25" ht="20.25" customHeight="1">
      <c r="C4" s="419" t="s">
        <v>695</v>
      </c>
      <c r="D4" s="419">
        <v>51101</v>
      </c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420"/>
      <c r="P4" s="420"/>
      <c r="Q4" s="420"/>
      <c r="R4" s="420"/>
      <c r="S4" s="420"/>
      <c r="T4" s="420"/>
      <c r="U4" s="420"/>
      <c r="V4" s="420"/>
    </row>
    <row r="5" spans="2:25">
      <c r="C5" s="419" t="s">
        <v>696</v>
      </c>
      <c r="E5" s="1271"/>
      <c r="F5" s="1271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  <c r="S5" s="420"/>
      <c r="T5" s="420"/>
      <c r="U5" s="420"/>
      <c r="V5" s="420"/>
    </row>
    <row r="6" spans="2:25" ht="15.75" thickBot="1">
      <c r="C6" s="532" t="s">
        <v>697</v>
      </c>
      <c r="D6" s="420"/>
    </row>
    <row r="7" spans="2:25">
      <c r="C7" s="1275" t="s">
        <v>698</v>
      </c>
      <c r="D7" s="1277" t="s">
        <v>699</v>
      </c>
      <c r="E7" s="1279" t="s">
        <v>481</v>
      </c>
      <c r="F7" s="1281" t="s">
        <v>700</v>
      </c>
      <c r="G7" s="1292" t="s">
        <v>701</v>
      </c>
      <c r="H7" s="1272" t="s">
        <v>702</v>
      </c>
      <c r="I7" s="1301" t="s">
        <v>703</v>
      </c>
      <c r="J7" s="1273" t="s">
        <v>704</v>
      </c>
      <c r="K7" s="1272" t="s">
        <v>705</v>
      </c>
      <c r="L7" s="1272"/>
      <c r="M7" s="1273" t="s">
        <v>985</v>
      </c>
      <c r="N7" s="1292" t="s">
        <v>706</v>
      </c>
      <c r="O7" s="1294" t="s">
        <v>707</v>
      </c>
      <c r="P7" s="1273" t="s">
        <v>708</v>
      </c>
      <c r="Q7" s="1272" t="s">
        <v>709</v>
      </c>
      <c r="R7" s="1297" t="s">
        <v>710</v>
      </c>
      <c r="S7" s="1299" t="s">
        <v>711</v>
      </c>
      <c r="T7" s="1273" t="s">
        <v>712</v>
      </c>
      <c r="U7" s="1284" t="s">
        <v>713</v>
      </c>
      <c r="V7" s="421"/>
    </row>
    <row r="8" spans="2:25" ht="40.5" customHeight="1" thickBot="1">
      <c r="C8" s="1276"/>
      <c r="D8" s="1278"/>
      <c r="E8" s="1280"/>
      <c r="F8" s="1282"/>
      <c r="G8" s="1293"/>
      <c r="H8" s="1296"/>
      <c r="I8" s="1302"/>
      <c r="J8" s="1274"/>
      <c r="K8" s="422" t="s">
        <v>714</v>
      </c>
      <c r="L8" s="422" t="s">
        <v>715</v>
      </c>
      <c r="M8" s="1274"/>
      <c r="N8" s="1293"/>
      <c r="O8" s="1295"/>
      <c r="P8" s="1274"/>
      <c r="Q8" s="1296"/>
      <c r="R8" s="1298"/>
      <c r="S8" s="1300"/>
      <c r="T8" s="1274"/>
      <c r="U8" s="1285"/>
      <c r="V8" s="421"/>
    </row>
    <row r="9" spans="2:25" ht="20.100000000000001" customHeight="1" thickBot="1">
      <c r="C9" s="1286" t="s">
        <v>716</v>
      </c>
      <c r="D9" s="1286"/>
      <c r="E9" s="1286"/>
      <c r="F9" s="1286"/>
      <c r="G9" s="1286"/>
      <c r="H9" s="1286"/>
      <c r="I9" s="1286"/>
      <c r="J9" s="1286"/>
      <c r="K9" s="1286"/>
      <c r="L9" s="1286"/>
      <c r="M9" s="1286"/>
      <c r="N9" s="1286"/>
      <c r="O9" s="1286"/>
      <c r="P9" s="1286"/>
      <c r="Q9" s="1286"/>
      <c r="R9" s="1286"/>
      <c r="S9" s="1286"/>
      <c r="T9" s="1286"/>
      <c r="U9" s="1287"/>
      <c r="V9" s="423"/>
    </row>
    <row r="10" spans="2:25" ht="41.25" customHeight="1">
      <c r="C10" s="424">
        <v>1</v>
      </c>
      <c r="D10" s="425" t="s">
        <v>717</v>
      </c>
      <c r="E10" s="426">
        <v>2500</v>
      </c>
      <c r="F10" s="427"/>
      <c r="G10" s="426">
        <f>2500+F10</f>
        <v>2500</v>
      </c>
      <c r="H10" s="428"/>
      <c r="I10" s="429"/>
      <c r="J10" s="428"/>
      <c r="K10" s="428"/>
      <c r="L10" s="428"/>
      <c r="M10" s="428"/>
      <c r="N10" s="428"/>
      <c r="O10" s="428"/>
      <c r="P10" s="428"/>
      <c r="Q10" s="430">
        <f>(ROUND(IF((G10)&lt;=472,0,IF((G10)&lt;=895.24,17.67+0.1*((G10)-472),IF((G10)&lt;=2038.1,60+0.2*((G10)-895.24),288.57+0.3*((G10)-2038.11)))),2))</f>
        <v>427.14</v>
      </c>
      <c r="R10" s="431">
        <f>'[2]DESCUENTO OCTUBRE'!$R$7</f>
        <v>0</v>
      </c>
      <c r="S10" s="432">
        <f>+H10+L10+Q10+R10+K10</f>
        <v>427.14</v>
      </c>
      <c r="T10" s="431">
        <f t="shared" ref="T10:T16" si="0">+G10-S10</f>
        <v>2072.86</v>
      </c>
      <c r="U10" s="433"/>
      <c r="Y10" s="434"/>
    </row>
    <row r="11" spans="2:25" ht="42" customHeight="1">
      <c r="B11" s="435"/>
      <c r="C11" s="436">
        <v>2</v>
      </c>
      <c r="D11" s="425" t="s">
        <v>718</v>
      </c>
      <c r="E11" s="437">
        <v>500</v>
      </c>
      <c r="F11" s="432"/>
      <c r="G11" s="437">
        <f>E11+F11</f>
        <v>500</v>
      </c>
      <c r="H11" s="432">
        <f>+G11*3%</f>
        <v>15</v>
      </c>
      <c r="I11" s="438">
        <f>+G11*0.01</f>
        <v>5</v>
      </c>
      <c r="J11" s="432">
        <f>+G11*7.5%</f>
        <v>37.5</v>
      </c>
      <c r="K11" s="432">
        <f>+G11*7.25%</f>
        <v>36.25</v>
      </c>
      <c r="L11" s="432"/>
      <c r="M11" s="432">
        <f>+E11*8.75%</f>
        <v>43.75</v>
      </c>
      <c r="N11" s="432"/>
      <c r="O11" s="432">
        <f>G11-H11-K11</f>
        <v>448.75</v>
      </c>
      <c r="P11" s="432"/>
      <c r="Q11" s="430">
        <f t="shared" ref="Q11:Q16" si="1">(ROUND(IF((O11)&lt;=472,0,IF((O11)&lt;=895.24,17.67+0.1*((O11)-472),IF((O11)&lt;=2038.1,60+0.2*((O11)-895.24),288.57+0.3*((O11)-2038.11)))),2))</f>
        <v>0</v>
      </c>
      <c r="R11" s="439">
        <f>'[3]DESCUENTO NOVIEMBRE'!$R$8</f>
        <v>96.17</v>
      </c>
      <c r="S11" s="432">
        <f>+H11+Q11+R11+K11</f>
        <v>147.42000000000002</v>
      </c>
      <c r="T11" s="432">
        <f t="shared" si="0"/>
        <v>352.58</v>
      </c>
      <c r="U11" s="440"/>
      <c r="V11" s="441"/>
    </row>
    <row r="12" spans="2:25" ht="39.950000000000003" customHeight="1">
      <c r="B12" s="435"/>
      <c r="C12" s="436" t="s">
        <v>719</v>
      </c>
      <c r="D12" s="425" t="s">
        <v>721</v>
      </c>
      <c r="E12" s="442">
        <v>1300</v>
      </c>
      <c r="F12" s="438"/>
      <c r="G12" s="442">
        <f>SUM(E12:F12)</f>
        <v>1300</v>
      </c>
      <c r="H12" s="432">
        <f>1000*0.03</f>
        <v>30</v>
      </c>
      <c r="I12" s="438">
        <f>1000*0.01</f>
        <v>10</v>
      </c>
      <c r="J12" s="443">
        <f>1000*7.5%</f>
        <v>75</v>
      </c>
      <c r="K12" s="432">
        <f>+G12*7.25%</f>
        <v>94.25</v>
      </c>
      <c r="L12" s="443"/>
      <c r="M12" s="443">
        <f>+G12*8.75%</f>
        <v>113.74999999999999</v>
      </c>
      <c r="N12" s="443"/>
      <c r="O12" s="432">
        <f>G12-H12-K12</f>
        <v>1175.75</v>
      </c>
      <c r="P12" s="443"/>
      <c r="Q12" s="430">
        <f t="shared" si="1"/>
        <v>116.1</v>
      </c>
      <c r="R12" s="444">
        <f>'[3]DESCUENTO NOVIEMBRE'!$R$10</f>
        <v>254.72</v>
      </c>
      <c r="S12" s="432">
        <f>+H12+K12+Q12+R12</f>
        <v>495.07</v>
      </c>
      <c r="T12" s="432">
        <f t="shared" si="0"/>
        <v>804.93000000000006</v>
      </c>
      <c r="U12" s="445"/>
      <c r="V12" s="441"/>
    </row>
    <row r="13" spans="2:25" ht="39.950000000000003" customHeight="1">
      <c r="B13" s="435"/>
      <c r="C13" s="436" t="s">
        <v>720</v>
      </c>
      <c r="D13" s="425" t="s">
        <v>723</v>
      </c>
      <c r="E13" s="442">
        <v>1000</v>
      </c>
      <c r="F13" s="438"/>
      <c r="G13" s="442">
        <f>SUM(E13:F13)</f>
        <v>1000</v>
      </c>
      <c r="H13" s="432">
        <f>+E13*0.03</f>
        <v>30</v>
      </c>
      <c r="I13" s="438">
        <f>1000*0.01</f>
        <v>10</v>
      </c>
      <c r="J13" s="443">
        <f>1000*7.5%</f>
        <v>75</v>
      </c>
      <c r="K13" s="432">
        <f>+G13*7.25%</f>
        <v>72.5</v>
      </c>
      <c r="L13" s="443"/>
      <c r="M13" s="443">
        <f>+G13*8.75%</f>
        <v>87.5</v>
      </c>
      <c r="N13" s="446"/>
      <c r="O13" s="432">
        <f>G13-H13-K13</f>
        <v>897.5</v>
      </c>
      <c r="P13" s="443"/>
      <c r="Q13" s="430">
        <f t="shared" si="1"/>
        <v>60.45</v>
      </c>
      <c r="R13" s="447">
        <f>'[3]DESCUENTO NOVIEMBRE'!$R$11</f>
        <v>140.07</v>
      </c>
      <c r="S13" s="432">
        <f>+H13+K13+Q13+R13</f>
        <v>303.02</v>
      </c>
      <c r="T13" s="432">
        <f t="shared" si="0"/>
        <v>696.98</v>
      </c>
      <c r="U13" s="445"/>
      <c r="V13" s="441"/>
    </row>
    <row r="14" spans="2:25" ht="39.950000000000003" customHeight="1">
      <c r="B14" s="435"/>
      <c r="C14" s="436" t="s">
        <v>722</v>
      </c>
      <c r="D14" s="425" t="s">
        <v>988</v>
      </c>
      <c r="E14" s="442">
        <v>1200</v>
      </c>
      <c r="F14" s="432"/>
      <c r="G14" s="442">
        <v>1200</v>
      </c>
      <c r="H14" s="432">
        <v>30</v>
      </c>
      <c r="I14" s="438">
        <v>10</v>
      </c>
      <c r="J14" s="443">
        <f>1000*7.5%</f>
        <v>75</v>
      </c>
      <c r="K14" s="443"/>
      <c r="L14" s="443">
        <f>+G14*7.25%</f>
        <v>87</v>
      </c>
      <c r="M14" s="443">
        <f>+G14*8.75%</f>
        <v>105</v>
      </c>
      <c r="N14" s="443"/>
      <c r="O14" s="432">
        <f>G14-H14-L14</f>
        <v>1083</v>
      </c>
      <c r="P14" s="443"/>
      <c r="Q14" s="430">
        <f t="shared" si="1"/>
        <v>97.55</v>
      </c>
      <c r="R14" s="431">
        <f>'[3]DESCUENTO NOVIEMBRE'!$R$12</f>
        <v>0</v>
      </c>
      <c r="S14" s="432">
        <f>+H14+L14+Q14+R14</f>
        <v>214.55</v>
      </c>
      <c r="T14" s="432">
        <f>+G14-S14</f>
        <v>985.45</v>
      </c>
      <c r="U14" s="445"/>
      <c r="V14" s="441"/>
    </row>
    <row r="15" spans="2:25" ht="39.950000000000003" customHeight="1">
      <c r="B15" s="435"/>
      <c r="C15" s="436" t="s">
        <v>724</v>
      </c>
      <c r="D15" s="425" t="s">
        <v>981</v>
      </c>
      <c r="E15" s="437">
        <v>500</v>
      </c>
      <c r="F15" s="438"/>
      <c r="G15" s="437">
        <f>E15+F15</f>
        <v>500</v>
      </c>
      <c r="H15" s="432">
        <f>+G15*3%</f>
        <v>15</v>
      </c>
      <c r="I15" s="438">
        <f>+G15*0.01</f>
        <v>5</v>
      </c>
      <c r="J15" s="432">
        <f>+G15*7.5%</f>
        <v>37.5</v>
      </c>
      <c r="K15" s="432">
        <v>0</v>
      </c>
      <c r="L15" s="443">
        <f>+G15*7.25%</f>
        <v>36.25</v>
      </c>
      <c r="M15" s="443">
        <f>+G15*8.75%</f>
        <v>43.75</v>
      </c>
      <c r="N15" s="432"/>
      <c r="O15" s="432">
        <f>G15-H15-L15</f>
        <v>448.75</v>
      </c>
      <c r="P15" s="432"/>
      <c r="Q15" s="430">
        <f>(ROUND(IF((O15)&lt;=472,0,IF((O15)&lt;=895.24,17.67+0.1*((O15)-472),IF((O15)&lt;=2038.1,60+0.2*((O15)-895.24),288.57+0.3*((O15)-2038.11)))),2))</f>
        <v>0</v>
      </c>
      <c r="R15" s="431"/>
      <c r="S15" s="432"/>
      <c r="T15" s="432"/>
      <c r="U15" s="445"/>
      <c r="V15" s="441"/>
    </row>
    <row r="16" spans="2:25" ht="39.950000000000003" customHeight="1" thickBot="1">
      <c r="C16" s="436" t="s">
        <v>725</v>
      </c>
      <c r="D16" s="425" t="s">
        <v>726</v>
      </c>
      <c r="E16" s="437">
        <v>500</v>
      </c>
      <c r="F16" s="438"/>
      <c r="G16" s="437">
        <f>E16+F16</f>
        <v>500</v>
      </c>
      <c r="H16" s="432">
        <f>+G16*3%</f>
        <v>15</v>
      </c>
      <c r="I16" s="438">
        <f>+G16*0.01</f>
        <v>5</v>
      </c>
      <c r="J16" s="432">
        <f>+G16*7.5%</f>
        <v>37.5</v>
      </c>
      <c r="K16" s="432">
        <v>0</v>
      </c>
      <c r="L16" s="443">
        <f>+G16*7.25%</f>
        <v>36.25</v>
      </c>
      <c r="M16" s="443">
        <f>+G16*8.75%</f>
        <v>43.75</v>
      </c>
      <c r="N16" s="432"/>
      <c r="O16" s="432">
        <f>G16-H16-L16</f>
        <v>448.75</v>
      </c>
      <c r="P16" s="432"/>
      <c r="Q16" s="430">
        <f t="shared" si="1"/>
        <v>0</v>
      </c>
      <c r="R16" s="448">
        <f>'[3]DESCUENTO NOVIEMBRE'!$R$13</f>
        <v>0</v>
      </c>
      <c r="S16" s="432">
        <f>+H16+L16+Q16+R16</f>
        <v>51.25</v>
      </c>
      <c r="T16" s="432">
        <f t="shared" si="0"/>
        <v>448.75</v>
      </c>
      <c r="U16" s="449"/>
      <c r="V16" s="441"/>
    </row>
    <row r="17" spans="3:22" ht="24" customHeight="1" thickBot="1">
      <c r="C17" s="1288" t="s">
        <v>727</v>
      </c>
      <c r="D17" s="1289"/>
      <c r="E17" s="450">
        <f>SUM(E10:E16)</f>
        <v>7500</v>
      </c>
      <c r="F17" s="451">
        <f>SUM(F10:F16)</f>
        <v>0</v>
      </c>
      <c r="G17" s="450">
        <f>SUM(G10:G16)</f>
        <v>7500</v>
      </c>
      <c r="H17" s="450">
        <f t="shared" ref="H17:M17" si="2">SUM(H11:H16)</f>
        <v>135</v>
      </c>
      <c r="I17" s="452">
        <f t="shared" si="2"/>
        <v>45</v>
      </c>
      <c r="J17" s="451">
        <f t="shared" si="2"/>
        <v>337.5</v>
      </c>
      <c r="K17" s="450">
        <f t="shared" si="2"/>
        <v>203</v>
      </c>
      <c r="L17" s="450">
        <f t="shared" si="2"/>
        <v>159.5</v>
      </c>
      <c r="M17" s="451">
        <f t="shared" si="2"/>
        <v>437.5</v>
      </c>
      <c r="N17" s="451">
        <f>SUM(N12:N16)</f>
        <v>0</v>
      </c>
      <c r="O17" s="451">
        <f>SUM(O11:O16)</f>
        <v>4502.5</v>
      </c>
      <c r="P17" s="451">
        <f>SUM(P12:P16)</f>
        <v>0</v>
      </c>
      <c r="Q17" s="451">
        <f>SUM(Q10:Q16)</f>
        <v>701.24</v>
      </c>
      <c r="R17" s="451">
        <f>SUM(R10:R16)</f>
        <v>490.96</v>
      </c>
      <c r="S17" s="451">
        <f>SUM(S10:S16)</f>
        <v>1638.4499999999998</v>
      </c>
      <c r="T17" s="451">
        <f>SUM(T10:T16)</f>
        <v>5361.55</v>
      </c>
      <c r="U17" s="453"/>
      <c r="V17" s="454"/>
    </row>
    <row r="18" spans="3:22" ht="24" customHeight="1">
      <c r="C18" s="455" t="s">
        <v>728</v>
      </c>
      <c r="D18" s="455"/>
      <c r="E18" s="455"/>
      <c r="F18" s="456"/>
      <c r="G18" s="457"/>
      <c r="H18" s="457"/>
      <c r="I18" s="457"/>
      <c r="J18" s="457"/>
      <c r="K18" s="457"/>
      <c r="L18" s="457"/>
      <c r="M18" s="457"/>
      <c r="N18" s="457"/>
      <c r="O18" s="457"/>
      <c r="P18" s="458"/>
      <c r="Q18" s="458"/>
      <c r="R18" s="458"/>
      <c r="S18" s="458"/>
      <c r="T18" s="458"/>
      <c r="U18" s="459"/>
      <c r="V18" s="460"/>
    </row>
    <row r="19" spans="3:22" ht="39.950000000000003" customHeight="1">
      <c r="C19" s="461">
        <v>8</v>
      </c>
      <c r="D19" s="425" t="s">
        <v>982</v>
      </c>
      <c r="E19" s="447">
        <v>900</v>
      </c>
      <c r="F19" s="447"/>
      <c r="G19" s="447">
        <f>SUM(E19:F19)</f>
        <v>900</v>
      </c>
      <c r="H19" s="447">
        <f>+E19*3%</f>
        <v>27</v>
      </c>
      <c r="I19" s="447">
        <f>+E19*0.01</f>
        <v>9</v>
      </c>
      <c r="J19" s="447">
        <f>+E19*7.5%</f>
        <v>67.5</v>
      </c>
      <c r="K19" s="447">
        <f>+E19*7.25%</f>
        <v>65.25</v>
      </c>
      <c r="L19" s="462"/>
      <c r="M19" s="443">
        <f>+G19*8.75%</f>
        <v>78.75</v>
      </c>
      <c r="N19" s="462"/>
      <c r="O19" s="462">
        <f>G19-H19-K19</f>
        <v>807.75</v>
      </c>
      <c r="P19" s="447"/>
      <c r="Q19" s="463">
        <f t="shared" ref="Q19:Q35" si="3">(ROUND(IF((O19)&lt;=472,0,IF((O19)&lt;=895.24,17.67+0.1*((O19)-472),IF((O19)&lt;=2038.1,60+0.2*((O19)-895.24),288.57+0.3*((O19)-2038.11)))),2))</f>
        <v>51.25</v>
      </c>
      <c r="R19" s="447">
        <f>'[3]DESCUENTO NOVIEMBRE'!$R$18</f>
        <v>71.399999999999991</v>
      </c>
      <c r="S19" s="447">
        <f>+H19+K19+Q19+R19</f>
        <v>214.89999999999998</v>
      </c>
      <c r="T19" s="447">
        <f>+G19-S19</f>
        <v>685.1</v>
      </c>
      <c r="U19" s="464"/>
      <c r="V19" s="460"/>
    </row>
    <row r="20" spans="3:22" ht="35.1" customHeight="1">
      <c r="C20" s="424" t="s">
        <v>729</v>
      </c>
      <c r="D20" s="425" t="s">
        <v>983</v>
      </c>
      <c r="E20" s="447">
        <v>400</v>
      </c>
      <c r="F20" s="447"/>
      <c r="G20" s="447">
        <f>SUM(E20:F20)</f>
        <v>400</v>
      </c>
      <c r="H20" s="447">
        <f>+E20*3%</f>
        <v>12</v>
      </c>
      <c r="I20" s="447">
        <f>+E20*0.01</f>
        <v>4</v>
      </c>
      <c r="J20" s="447">
        <f>+E20*7.5%</f>
        <v>30</v>
      </c>
      <c r="K20" s="465"/>
      <c r="L20" s="447">
        <f>+E20*7.25%</f>
        <v>28.999999999999996</v>
      </c>
      <c r="M20" s="443">
        <f t="shared" ref="M20:M34" si="4">+G20*8.75%</f>
        <v>35</v>
      </c>
      <c r="N20" s="447"/>
      <c r="O20" s="462">
        <f>G20-H20-L20</f>
        <v>359</v>
      </c>
      <c r="P20" s="447"/>
      <c r="Q20" s="463">
        <f t="shared" si="3"/>
        <v>0</v>
      </c>
      <c r="R20" s="447">
        <f>'[3]DESCUENTO NOVIEMBRE'!$R$19</f>
        <v>0</v>
      </c>
      <c r="S20" s="447">
        <f>+H20+L20+R20+Q20</f>
        <v>41</v>
      </c>
      <c r="T20" s="447">
        <f t="shared" ref="T20:T35" si="5">+G20-S20</f>
        <v>359</v>
      </c>
      <c r="U20" s="466"/>
      <c r="V20" s="467"/>
    </row>
    <row r="21" spans="3:22" ht="35.1" customHeight="1">
      <c r="C21" s="424" t="s">
        <v>730</v>
      </c>
      <c r="D21" s="425" t="s">
        <v>731</v>
      </c>
      <c r="E21" s="447">
        <v>1100</v>
      </c>
      <c r="F21" s="447"/>
      <c r="G21" s="447">
        <f>+E21+F21</f>
        <v>1100</v>
      </c>
      <c r="H21" s="447">
        <f>1000*3%</f>
        <v>30</v>
      </c>
      <c r="I21" s="447">
        <f>1000*0.01</f>
        <v>10</v>
      </c>
      <c r="J21" s="447">
        <f>1000*7.5%</f>
        <v>75</v>
      </c>
      <c r="K21" s="447"/>
      <c r="L21" s="443">
        <f>+G21*7.25%</f>
        <v>79.75</v>
      </c>
      <c r="M21" s="443">
        <f t="shared" si="4"/>
        <v>96.25</v>
      </c>
      <c r="N21" s="447"/>
      <c r="O21" s="462">
        <f>G21-H21-L21</f>
        <v>990.25</v>
      </c>
      <c r="P21" s="447"/>
      <c r="Q21" s="463">
        <f t="shared" si="3"/>
        <v>79</v>
      </c>
      <c r="R21" s="447">
        <f>'[3]DESCUENTO NOVIEMBRE'!$R$20</f>
        <v>0</v>
      </c>
      <c r="S21" s="447">
        <f>+H21+L21+Q21+R21</f>
        <v>188.75</v>
      </c>
      <c r="T21" s="447">
        <f t="shared" si="5"/>
        <v>911.25</v>
      </c>
      <c r="U21" s="464"/>
      <c r="V21" s="467"/>
    </row>
    <row r="22" spans="3:22" ht="35.1" customHeight="1">
      <c r="C22" s="424" t="s">
        <v>732</v>
      </c>
      <c r="D22" s="425" t="s">
        <v>733</v>
      </c>
      <c r="E22" s="447">
        <v>450</v>
      </c>
      <c r="F22" s="447"/>
      <c r="G22" s="447">
        <v>450</v>
      </c>
      <c r="H22" s="447">
        <f>+G22*0.03</f>
        <v>13.5</v>
      </c>
      <c r="I22" s="447">
        <f>+G22*0.01</f>
        <v>4.5</v>
      </c>
      <c r="J22" s="447">
        <f>+G22*7.5%</f>
        <v>33.75</v>
      </c>
      <c r="K22" s="447">
        <f>G22*7.25/100</f>
        <v>32.625</v>
      </c>
      <c r="L22" s="447"/>
      <c r="M22" s="443">
        <f t="shared" si="4"/>
        <v>39.375</v>
      </c>
      <c r="N22" s="447"/>
      <c r="O22" s="462">
        <f t="shared" ref="O22:O27" si="6">G22-H22-K22</f>
        <v>403.875</v>
      </c>
      <c r="P22" s="447"/>
      <c r="Q22" s="463">
        <f t="shared" si="3"/>
        <v>0</v>
      </c>
      <c r="R22" s="447">
        <f>'[3]DESCUENTO NOVIEMBRE'!$R$21</f>
        <v>77.260000000000005</v>
      </c>
      <c r="S22" s="447">
        <f>+H22+L22+Q22+R22+K22</f>
        <v>123.38500000000001</v>
      </c>
      <c r="T22" s="447">
        <f t="shared" si="5"/>
        <v>326.61500000000001</v>
      </c>
      <c r="U22" s="464"/>
      <c r="V22" s="467"/>
    </row>
    <row r="23" spans="3:22" ht="35.1" customHeight="1">
      <c r="C23" s="424" t="s">
        <v>734</v>
      </c>
      <c r="D23" s="425" t="s">
        <v>733</v>
      </c>
      <c r="E23" s="447">
        <v>500</v>
      </c>
      <c r="F23" s="447"/>
      <c r="G23" s="447">
        <f>E23+F23</f>
        <v>500</v>
      </c>
      <c r="H23" s="432">
        <f>+E23*3%</f>
        <v>15</v>
      </c>
      <c r="I23" s="438">
        <f>+E23*0.01</f>
        <v>5</v>
      </c>
      <c r="J23" s="432">
        <f>+E23*7.5%</f>
        <v>37.5</v>
      </c>
      <c r="K23" s="432">
        <f>+E23*7.25%</f>
        <v>36.25</v>
      </c>
      <c r="L23" s="432"/>
      <c r="M23" s="443">
        <f t="shared" si="4"/>
        <v>43.75</v>
      </c>
      <c r="N23" s="432"/>
      <c r="O23" s="462">
        <f t="shared" si="6"/>
        <v>448.75</v>
      </c>
      <c r="P23" s="432"/>
      <c r="Q23" s="463">
        <f t="shared" si="3"/>
        <v>0</v>
      </c>
      <c r="R23" s="447">
        <f>'[3]DESCUENTO NOVIEMBRE'!$R$22</f>
        <v>100.61</v>
      </c>
      <c r="S23" s="432">
        <f>+H23+L23+Q23+R23+K23</f>
        <v>151.86000000000001</v>
      </c>
      <c r="T23" s="432">
        <f t="shared" si="5"/>
        <v>348.14</v>
      </c>
      <c r="U23" s="464"/>
      <c r="V23" s="467"/>
    </row>
    <row r="24" spans="3:22" ht="35.1" customHeight="1">
      <c r="C24" s="424" t="s">
        <v>735</v>
      </c>
      <c r="D24" s="425" t="s">
        <v>736</v>
      </c>
      <c r="E24" s="447">
        <v>1100</v>
      </c>
      <c r="F24" s="447"/>
      <c r="G24" s="447">
        <f>+E24+F24</f>
        <v>1100</v>
      </c>
      <c r="H24" s="447">
        <f>1000*3/100</f>
        <v>30</v>
      </c>
      <c r="I24" s="447">
        <v>10</v>
      </c>
      <c r="J24" s="447">
        <f>1000*7.5%</f>
        <v>75</v>
      </c>
      <c r="K24" s="447">
        <f>+G24*7.25%</f>
        <v>79.75</v>
      </c>
      <c r="L24" s="447"/>
      <c r="M24" s="443">
        <f t="shared" si="4"/>
        <v>96.25</v>
      </c>
      <c r="N24" s="447"/>
      <c r="O24" s="462">
        <f t="shared" si="6"/>
        <v>990.25</v>
      </c>
      <c r="P24" s="447"/>
      <c r="Q24" s="463">
        <f t="shared" si="3"/>
        <v>79</v>
      </c>
      <c r="R24" s="447">
        <f>'[3]DESCUENTO NOVIEMBRE'!$R$23</f>
        <v>262.68</v>
      </c>
      <c r="S24" s="447">
        <f>+H24+K24+Q24+R24</f>
        <v>451.43</v>
      </c>
      <c r="T24" s="447">
        <f t="shared" si="5"/>
        <v>648.56999999999994</v>
      </c>
      <c r="U24" s="464"/>
      <c r="V24" s="467"/>
    </row>
    <row r="25" spans="3:22" ht="35.1" customHeight="1">
      <c r="C25" s="424" t="s">
        <v>737</v>
      </c>
      <c r="D25" s="425" t="s">
        <v>984</v>
      </c>
      <c r="E25" s="447">
        <v>500</v>
      </c>
      <c r="F25" s="447"/>
      <c r="G25" s="447">
        <f>E25+F25</f>
        <v>500</v>
      </c>
      <c r="H25" s="432">
        <f>+E25*3%</f>
        <v>15</v>
      </c>
      <c r="I25" s="438">
        <f>+E25*0.01</f>
        <v>5</v>
      </c>
      <c r="J25" s="432">
        <f>+E25*7.5%</f>
        <v>37.5</v>
      </c>
      <c r="K25" s="432">
        <f>+E25*7.25%</f>
        <v>36.25</v>
      </c>
      <c r="L25" s="432"/>
      <c r="M25" s="443">
        <f t="shared" si="4"/>
        <v>43.75</v>
      </c>
      <c r="N25" s="432"/>
      <c r="O25" s="462">
        <f t="shared" si="6"/>
        <v>448.75</v>
      </c>
      <c r="P25" s="432"/>
      <c r="Q25" s="463">
        <f t="shared" si="3"/>
        <v>0</v>
      </c>
      <c r="R25" s="447">
        <f>'[3]DESCUENTO NOVIEMBRE'!$R$22</f>
        <v>100.61</v>
      </c>
      <c r="S25" s="432">
        <f>+H25+L25+Q25+R25+K25</f>
        <v>151.86000000000001</v>
      </c>
      <c r="T25" s="432">
        <f>+G25-S25</f>
        <v>348.14</v>
      </c>
      <c r="U25" s="464"/>
      <c r="V25" s="467"/>
    </row>
    <row r="26" spans="3:22" ht="35.1" customHeight="1">
      <c r="C26" s="424" t="s">
        <v>738</v>
      </c>
      <c r="D26" s="468" t="s">
        <v>972</v>
      </c>
      <c r="E26" s="447">
        <v>900</v>
      </c>
      <c r="F26" s="469"/>
      <c r="G26" s="447">
        <f>+E26+F26</f>
        <v>900</v>
      </c>
      <c r="H26" s="447">
        <f>+E26*3%</f>
        <v>27</v>
      </c>
      <c r="I26" s="447">
        <f t="shared" ref="I26:I35" si="7">+E26*0.01</f>
        <v>9</v>
      </c>
      <c r="J26" s="447">
        <f t="shared" ref="J26:J35" si="8">+E26*7.5%</f>
        <v>67.5</v>
      </c>
      <c r="K26" s="447">
        <f>+E26*7.25%</f>
        <v>65.25</v>
      </c>
      <c r="L26" s="447"/>
      <c r="M26" s="443">
        <f t="shared" si="4"/>
        <v>78.75</v>
      </c>
      <c r="N26" s="447"/>
      <c r="O26" s="462">
        <f t="shared" si="6"/>
        <v>807.75</v>
      </c>
      <c r="P26" s="447"/>
      <c r="Q26" s="463">
        <f t="shared" si="3"/>
        <v>51.25</v>
      </c>
      <c r="R26" s="469">
        <f>'[3]DESCUENTO NOVIEMBRE'!$R$24</f>
        <v>0.34</v>
      </c>
      <c r="S26" s="447">
        <f>+H26+K26+Q26+R26</f>
        <v>143.84</v>
      </c>
      <c r="T26" s="470">
        <f t="shared" si="5"/>
        <v>756.16</v>
      </c>
      <c r="U26" s="464"/>
      <c r="V26" s="467"/>
    </row>
    <row r="27" spans="3:22" ht="35.1" customHeight="1">
      <c r="C27" s="424" t="s">
        <v>740</v>
      </c>
      <c r="D27" s="471" t="s">
        <v>739</v>
      </c>
      <c r="E27" s="447">
        <v>500</v>
      </c>
      <c r="F27" s="447"/>
      <c r="G27" s="447">
        <f>SUM(E27:F27)</f>
        <v>500</v>
      </c>
      <c r="H27" s="447">
        <f>+E27*0.03</f>
        <v>15</v>
      </c>
      <c r="I27" s="447">
        <f t="shared" si="7"/>
        <v>5</v>
      </c>
      <c r="J27" s="447">
        <f t="shared" si="8"/>
        <v>37.5</v>
      </c>
      <c r="K27" s="447">
        <f>+E27*7.25%</f>
        <v>36.25</v>
      </c>
      <c r="L27" s="447"/>
      <c r="M27" s="443">
        <f t="shared" si="4"/>
        <v>43.75</v>
      </c>
      <c r="N27" s="447"/>
      <c r="O27" s="462">
        <f t="shared" si="6"/>
        <v>448.75</v>
      </c>
      <c r="P27" s="447"/>
      <c r="Q27" s="463">
        <f t="shared" si="3"/>
        <v>0</v>
      </c>
      <c r="R27" s="444">
        <f>'[3]DESCUENTO NOVIEMBRE'!$R$25</f>
        <v>78.44</v>
      </c>
      <c r="S27" s="447">
        <f>+H27+L27+Q27+R27+K27</f>
        <v>129.69</v>
      </c>
      <c r="T27" s="447">
        <f t="shared" si="5"/>
        <v>370.31</v>
      </c>
      <c r="U27" s="464"/>
      <c r="V27" s="467"/>
    </row>
    <row r="28" spans="3:22" ht="35.1" customHeight="1">
      <c r="C28" s="424" t="s">
        <v>742</v>
      </c>
      <c r="D28" s="472" t="s">
        <v>741</v>
      </c>
      <c r="E28" s="447">
        <v>825</v>
      </c>
      <c r="F28" s="447"/>
      <c r="G28" s="447">
        <f t="shared" ref="G28:G35" si="9">+E28+F28</f>
        <v>825</v>
      </c>
      <c r="H28" s="447">
        <f t="shared" ref="H28:H35" si="10">+E28*3%</f>
        <v>24.75</v>
      </c>
      <c r="I28" s="447">
        <f t="shared" si="7"/>
        <v>8.25</v>
      </c>
      <c r="J28" s="447">
        <f t="shared" si="8"/>
        <v>61.875</v>
      </c>
      <c r="K28" s="447"/>
      <c r="L28" s="447">
        <f>+E28*7.25%</f>
        <v>59.812499999999993</v>
      </c>
      <c r="M28" s="443">
        <f t="shared" si="4"/>
        <v>72.1875</v>
      </c>
      <c r="N28" s="447"/>
      <c r="O28" s="462">
        <f>G28-H28-L28</f>
        <v>740.4375</v>
      </c>
      <c r="P28" s="447"/>
      <c r="Q28" s="463">
        <f t="shared" si="3"/>
        <v>44.51</v>
      </c>
      <c r="R28" s="447">
        <f>'[3]DESCUENTO NOVIEMBRE'!$R$26</f>
        <v>417.61</v>
      </c>
      <c r="S28" s="444">
        <f>+H28+L28+Q28+R28</f>
        <v>546.6825</v>
      </c>
      <c r="T28" s="473">
        <f t="shared" si="5"/>
        <v>278.3175</v>
      </c>
      <c r="U28" s="464"/>
      <c r="V28" s="467"/>
    </row>
    <row r="29" spans="3:22" ht="35.1" customHeight="1">
      <c r="C29" s="424" t="s">
        <v>744</v>
      </c>
      <c r="D29" s="468" t="s">
        <v>743</v>
      </c>
      <c r="E29" s="447">
        <v>600</v>
      </c>
      <c r="F29" s="447"/>
      <c r="G29" s="447">
        <f t="shared" si="9"/>
        <v>600</v>
      </c>
      <c r="H29" s="447">
        <f t="shared" si="10"/>
        <v>18</v>
      </c>
      <c r="I29" s="447">
        <f t="shared" si="7"/>
        <v>6</v>
      </c>
      <c r="J29" s="447">
        <f t="shared" si="8"/>
        <v>45</v>
      </c>
      <c r="K29" s="447"/>
      <c r="L29" s="447">
        <f>+E29*7.25%</f>
        <v>43.5</v>
      </c>
      <c r="M29" s="443">
        <f t="shared" si="4"/>
        <v>52.5</v>
      </c>
      <c r="N29" s="447"/>
      <c r="O29" s="447">
        <f>G29-H29-L29</f>
        <v>538.5</v>
      </c>
      <c r="P29" s="447"/>
      <c r="Q29" s="463">
        <f t="shared" si="3"/>
        <v>24.32</v>
      </c>
      <c r="R29" s="447">
        <f>'[3]DESCUENTO NOVIEMBRE'!$R$27</f>
        <v>196.42000000000002</v>
      </c>
      <c r="S29" s="447">
        <f>+H29+L29+Q29+R29</f>
        <v>282.24</v>
      </c>
      <c r="T29" s="470">
        <f t="shared" si="5"/>
        <v>317.76</v>
      </c>
      <c r="U29" s="464"/>
      <c r="V29" s="467"/>
    </row>
    <row r="30" spans="3:22" ht="35.1" customHeight="1">
      <c r="C30" s="424" t="s">
        <v>745</v>
      </c>
      <c r="D30" s="425" t="s">
        <v>388</v>
      </c>
      <c r="E30" s="447">
        <v>400</v>
      </c>
      <c r="F30" s="447"/>
      <c r="G30" s="447">
        <f t="shared" si="9"/>
        <v>400</v>
      </c>
      <c r="H30" s="447">
        <f t="shared" si="10"/>
        <v>12</v>
      </c>
      <c r="I30" s="447">
        <f t="shared" si="7"/>
        <v>4</v>
      </c>
      <c r="J30" s="447">
        <f t="shared" si="8"/>
        <v>30</v>
      </c>
      <c r="K30" s="447">
        <f>+G30*7.25%</f>
        <v>28.999999999999996</v>
      </c>
      <c r="L30" s="447"/>
      <c r="M30" s="443">
        <f t="shared" si="4"/>
        <v>35</v>
      </c>
      <c r="N30" s="447"/>
      <c r="O30" s="462">
        <f>G30-H30-K30</f>
        <v>359</v>
      </c>
      <c r="P30" s="447"/>
      <c r="Q30" s="463">
        <f t="shared" si="3"/>
        <v>0</v>
      </c>
      <c r="R30" s="447">
        <f>'[3]DESCUENTO NOVIEMBRE'!$R$28</f>
        <v>114</v>
      </c>
      <c r="S30" s="447">
        <f>+H30+K30+Q30+R30</f>
        <v>155</v>
      </c>
      <c r="T30" s="470">
        <f t="shared" si="5"/>
        <v>245</v>
      </c>
      <c r="U30" s="464"/>
      <c r="V30" s="467"/>
    </row>
    <row r="31" spans="3:22" ht="44.25" customHeight="1">
      <c r="C31" s="424" t="s">
        <v>747</v>
      </c>
      <c r="D31" s="425" t="s">
        <v>746</v>
      </c>
      <c r="E31" s="447">
        <v>825</v>
      </c>
      <c r="F31" s="447"/>
      <c r="G31" s="447">
        <f t="shared" si="9"/>
        <v>825</v>
      </c>
      <c r="H31" s="447">
        <f t="shared" si="10"/>
        <v>24.75</v>
      </c>
      <c r="I31" s="447">
        <f t="shared" si="7"/>
        <v>8.25</v>
      </c>
      <c r="J31" s="447">
        <f t="shared" si="8"/>
        <v>61.875</v>
      </c>
      <c r="K31" s="447">
        <f>+E31*7.25%</f>
        <v>59.812499999999993</v>
      </c>
      <c r="L31" s="447"/>
      <c r="M31" s="443">
        <f t="shared" si="4"/>
        <v>72.1875</v>
      </c>
      <c r="N31" s="447"/>
      <c r="O31" s="462">
        <f>G31-H31-K31</f>
        <v>740.4375</v>
      </c>
      <c r="P31" s="447"/>
      <c r="Q31" s="463">
        <f t="shared" si="3"/>
        <v>44.51</v>
      </c>
      <c r="R31" s="447">
        <f>'[3]DESCUENTO NOVIEMBRE'!$R$29</f>
        <v>251</v>
      </c>
      <c r="S31" s="447">
        <f>Q31+K31+H31+R31</f>
        <v>380.07249999999999</v>
      </c>
      <c r="T31" s="470">
        <f>+G31-S31</f>
        <v>444.92750000000001</v>
      </c>
      <c r="U31" s="440"/>
      <c r="V31" s="467"/>
    </row>
    <row r="32" spans="3:22" ht="44.25" customHeight="1">
      <c r="C32" s="424" t="s">
        <v>749</v>
      </c>
      <c r="D32" s="474" t="s">
        <v>748</v>
      </c>
      <c r="E32" s="447">
        <v>687.5</v>
      </c>
      <c r="F32" s="447"/>
      <c r="G32" s="447">
        <f t="shared" si="9"/>
        <v>687.5</v>
      </c>
      <c r="H32" s="447">
        <f t="shared" si="10"/>
        <v>20.625</v>
      </c>
      <c r="I32" s="447">
        <f t="shared" si="7"/>
        <v>6.875</v>
      </c>
      <c r="J32" s="447">
        <f t="shared" si="8"/>
        <v>51.5625</v>
      </c>
      <c r="K32" s="447"/>
      <c r="L32" s="447">
        <f>+E32*7.25%</f>
        <v>49.84375</v>
      </c>
      <c r="M32" s="443">
        <f t="shared" si="4"/>
        <v>60.156249999999993</v>
      </c>
      <c r="N32" s="447"/>
      <c r="O32" s="462">
        <f>G32-H32-L32</f>
        <v>617.03125</v>
      </c>
      <c r="P32" s="447"/>
      <c r="Q32" s="463">
        <f t="shared" si="3"/>
        <v>32.17</v>
      </c>
      <c r="R32" s="447">
        <f>'[3]DESCUENTO NOVIEMBRE'!$R$30</f>
        <v>407.75</v>
      </c>
      <c r="S32" s="447">
        <f>+H32+L32+Q32+R32</f>
        <v>510.38875000000002</v>
      </c>
      <c r="T32" s="470">
        <f t="shared" si="5"/>
        <v>177.11124999999998</v>
      </c>
      <c r="U32" s="464"/>
      <c r="V32" s="467"/>
    </row>
    <row r="33" spans="3:22" ht="44.25" customHeight="1">
      <c r="C33" s="424" t="s">
        <v>751</v>
      </c>
      <c r="D33" s="475" t="s">
        <v>750</v>
      </c>
      <c r="E33" s="447">
        <f>385+15</f>
        <v>400</v>
      </c>
      <c r="F33" s="447"/>
      <c r="G33" s="447">
        <f t="shared" si="9"/>
        <v>400</v>
      </c>
      <c r="H33" s="447">
        <f t="shared" si="10"/>
        <v>12</v>
      </c>
      <c r="I33" s="447">
        <f t="shared" si="7"/>
        <v>4</v>
      </c>
      <c r="J33" s="447">
        <f t="shared" si="8"/>
        <v>30</v>
      </c>
      <c r="K33" s="447"/>
      <c r="L33" s="447">
        <f>+G33*7.25%</f>
        <v>28.999999999999996</v>
      </c>
      <c r="M33" s="443">
        <f t="shared" si="4"/>
        <v>35</v>
      </c>
      <c r="N33" s="447"/>
      <c r="O33" s="462">
        <f>G33-H33-L33</f>
        <v>359</v>
      </c>
      <c r="P33" s="447"/>
      <c r="Q33" s="463">
        <f t="shared" si="3"/>
        <v>0</v>
      </c>
      <c r="R33" s="447">
        <f>'[3]DESCUENTO NOVIEMBRE'!$R$31</f>
        <v>158</v>
      </c>
      <c r="S33" s="447">
        <f>+H33+L33+Q33+R33</f>
        <v>199</v>
      </c>
      <c r="T33" s="470">
        <f t="shared" si="5"/>
        <v>201</v>
      </c>
      <c r="U33" s="464"/>
      <c r="V33" s="467"/>
    </row>
    <row r="34" spans="3:22" ht="36.75" customHeight="1">
      <c r="C34" s="424" t="s">
        <v>752</v>
      </c>
      <c r="D34" s="485" t="s">
        <v>989</v>
      </c>
      <c r="E34" s="447">
        <v>600</v>
      </c>
      <c r="F34" s="447"/>
      <c r="G34" s="447">
        <f t="shared" si="9"/>
        <v>600</v>
      </c>
      <c r="H34" s="447">
        <f t="shared" si="10"/>
        <v>18</v>
      </c>
      <c r="I34" s="447">
        <f t="shared" si="7"/>
        <v>6</v>
      </c>
      <c r="J34" s="447">
        <f t="shared" si="8"/>
        <v>45</v>
      </c>
      <c r="K34" s="447">
        <f>+E34*7.25%</f>
        <v>43.5</v>
      </c>
      <c r="L34" s="447"/>
      <c r="M34" s="443">
        <f t="shared" si="4"/>
        <v>52.5</v>
      </c>
      <c r="N34" s="447"/>
      <c r="O34" s="462">
        <f>G34-H34-K34</f>
        <v>538.5</v>
      </c>
      <c r="P34" s="447"/>
      <c r="Q34" s="463">
        <f t="shared" si="3"/>
        <v>24.32</v>
      </c>
      <c r="R34" s="447">
        <f>'[3]DESCUENTO NOVIEMBRE'!$R$32</f>
        <v>0</v>
      </c>
      <c r="S34" s="447">
        <f>+H34+K34+Q34+R34</f>
        <v>85.82</v>
      </c>
      <c r="T34" s="470">
        <f t="shared" si="5"/>
        <v>514.18000000000006</v>
      </c>
      <c r="U34" s="464"/>
      <c r="V34" s="467"/>
    </row>
    <row r="35" spans="3:22" ht="36" customHeight="1">
      <c r="C35" s="424" t="s">
        <v>753</v>
      </c>
      <c r="D35" s="475" t="s">
        <v>750</v>
      </c>
      <c r="E35" s="447">
        <v>400</v>
      </c>
      <c r="F35" s="447"/>
      <c r="G35" s="447">
        <f t="shared" si="9"/>
        <v>400</v>
      </c>
      <c r="H35" s="447">
        <f t="shared" si="10"/>
        <v>12</v>
      </c>
      <c r="I35" s="447">
        <f t="shared" si="7"/>
        <v>4</v>
      </c>
      <c r="J35" s="447">
        <f t="shared" si="8"/>
        <v>30</v>
      </c>
      <c r="K35" s="447">
        <f>+E35*7.25%</f>
        <v>28.999999999999996</v>
      </c>
      <c r="L35" s="447"/>
      <c r="M35" s="443">
        <f>+G35*8.75%</f>
        <v>35</v>
      </c>
      <c r="N35" s="447"/>
      <c r="O35" s="462">
        <f>G35-H35-K35</f>
        <v>359</v>
      </c>
      <c r="P35" s="447"/>
      <c r="Q35" s="463">
        <f t="shared" si="3"/>
        <v>0</v>
      </c>
      <c r="R35" s="447">
        <f>'[3]DESCUENTO NOVIEMBRE'!$R$33</f>
        <v>0</v>
      </c>
      <c r="S35" s="447">
        <f>+H35+K35+Q35+R35</f>
        <v>41</v>
      </c>
      <c r="T35" s="470">
        <f t="shared" si="5"/>
        <v>359</v>
      </c>
      <c r="U35" s="464"/>
      <c r="V35" s="467"/>
    </row>
    <row r="36" spans="3:22" ht="30.75" customHeight="1">
      <c r="C36" s="476"/>
      <c r="D36" s="477"/>
      <c r="E36" s="478">
        <f>SUM(E19:E35)</f>
        <v>11087.5</v>
      </c>
      <c r="F36" s="479">
        <f t="shared" ref="F36:P36" si="11">SUM(F19:F35)</f>
        <v>0</v>
      </c>
      <c r="G36" s="478">
        <f t="shared" si="11"/>
        <v>11087.5</v>
      </c>
      <c r="H36" s="478">
        <f t="shared" si="11"/>
        <v>326.625</v>
      </c>
      <c r="I36" s="478">
        <f t="shared" si="11"/>
        <v>108.875</v>
      </c>
      <c r="J36" s="478">
        <f t="shared" si="11"/>
        <v>816.5625</v>
      </c>
      <c r="K36" s="478">
        <f t="shared" si="11"/>
        <v>512.9375</v>
      </c>
      <c r="L36" s="478">
        <f t="shared" si="11"/>
        <v>290.90625</v>
      </c>
      <c r="M36" s="478">
        <f>SUM(M19:M35)</f>
        <v>970.15625</v>
      </c>
      <c r="N36" s="478">
        <f t="shared" si="11"/>
        <v>0</v>
      </c>
      <c r="O36" s="478">
        <f>SUM(O19:O35)</f>
        <v>9957.03125</v>
      </c>
      <c r="P36" s="478">
        <f t="shared" si="11"/>
        <v>0</v>
      </c>
      <c r="Q36" s="478">
        <f>SUM(Q19:Q35)</f>
        <v>430.33</v>
      </c>
      <c r="R36" s="478">
        <f>SUM(R19:R35)</f>
        <v>2236.12</v>
      </c>
      <c r="S36" s="478">
        <f>SUM(S19:S35)-0.01</f>
        <v>3796.9087500000001</v>
      </c>
      <c r="T36" s="478">
        <f>SUM(T19:T35)+0.01</f>
        <v>7290.5912500000013</v>
      </c>
      <c r="U36" s="464"/>
      <c r="V36" s="467"/>
    </row>
    <row r="37" spans="3:22" ht="13.5" customHeight="1">
      <c r="C37" s="476"/>
      <c r="D37" s="480"/>
      <c r="E37" s="481"/>
      <c r="F37" s="482"/>
      <c r="G37" s="481"/>
      <c r="H37" s="481"/>
      <c r="I37" s="481"/>
      <c r="J37" s="481"/>
      <c r="K37" s="481"/>
      <c r="L37" s="481"/>
      <c r="M37" s="481"/>
      <c r="N37" s="481"/>
      <c r="O37" s="481"/>
      <c r="P37" s="482"/>
      <c r="Q37" s="482"/>
      <c r="R37" s="482"/>
      <c r="S37" s="482"/>
      <c r="T37" s="483"/>
      <c r="U37" s="464"/>
      <c r="V37" s="467"/>
    </row>
    <row r="38" spans="3:22" ht="35.1" customHeight="1">
      <c r="C38" s="424" t="s">
        <v>755</v>
      </c>
      <c r="D38" s="468" t="s">
        <v>754</v>
      </c>
      <c r="E38" s="447">
        <v>825</v>
      </c>
      <c r="F38" s="447"/>
      <c r="G38" s="447">
        <f t="shared" ref="G38:G45" si="12">+E38+F38</f>
        <v>825</v>
      </c>
      <c r="H38" s="447">
        <f>+E38*3%</f>
        <v>24.75</v>
      </c>
      <c r="I38" s="447">
        <f>+E38*0.01</f>
        <v>8.25</v>
      </c>
      <c r="J38" s="447">
        <f t="shared" ref="J38:J50" si="13">+E38*7.5%</f>
        <v>61.875</v>
      </c>
      <c r="K38" s="447"/>
      <c r="L38" s="447">
        <f>+E38*7.25%</f>
        <v>59.812499999999993</v>
      </c>
      <c r="M38" s="443">
        <f>+G38*8.75%</f>
        <v>72.1875</v>
      </c>
      <c r="N38" s="447"/>
      <c r="O38" s="447">
        <f>G38-H38-L38</f>
        <v>740.4375</v>
      </c>
      <c r="P38" s="447"/>
      <c r="Q38" s="463">
        <f>(ROUND(IF((O38)&lt;=472,0,IF((O38)&lt;=895.24,17.67+0.1*((O38)-472),IF((O38)&lt;=2038.1,60+0.2*((O38)-895.24),288.57+0.3*((O38)-2038.11)))),2))</f>
        <v>44.51</v>
      </c>
      <c r="R38" s="447">
        <f>'[3]DESCUENTO NOVIEMBRE'!$R$38</f>
        <v>158.63999999999999</v>
      </c>
      <c r="S38" s="447">
        <f>+H38+L38+Q38+R38</f>
        <v>287.71249999999998</v>
      </c>
      <c r="T38" s="470">
        <f>+G38-S38</f>
        <v>537.28750000000002</v>
      </c>
      <c r="U38" s="464"/>
      <c r="V38" s="467"/>
    </row>
    <row r="39" spans="3:22" ht="35.1" customHeight="1">
      <c r="C39" s="424" t="s">
        <v>757</v>
      </c>
      <c r="D39" s="484" t="s">
        <v>756</v>
      </c>
      <c r="E39" s="462">
        <v>400</v>
      </c>
      <c r="F39" s="447"/>
      <c r="G39" s="462">
        <f>SUM(E39:F39)</f>
        <v>400</v>
      </c>
      <c r="H39" s="462">
        <f>+E39*3%</f>
        <v>12</v>
      </c>
      <c r="I39" s="462">
        <f>+E39*0.01</f>
        <v>4</v>
      </c>
      <c r="J39" s="462">
        <f t="shared" si="13"/>
        <v>30</v>
      </c>
      <c r="K39" s="462"/>
      <c r="L39" s="462">
        <f>+E39*7.25%</f>
        <v>28.999999999999996</v>
      </c>
      <c r="M39" s="443">
        <f t="shared" ref="M39:M50" si="14">+G39*8.75%</f>
        <v>35</v>
      </c>
      <c r="N39" s="462"/>
      <c r="O39" s="447">
        <f>G39-H39-L39</f>
        <v>359</v>
      </c>
      <c r="P39" s="447"/>
      <c r="Q39" s="463">
        <f>(ROUND(IF((O39)&lt;=472,0,IF((O39)&lt;=895.24,17.67+0.1*((O39)-472),IF((O39)&lt;=2038.1,60+0.2*((O39)-895.24),288.57+0.3*((O39)-2038.11)))),2))</f>
        <v>0</v>
      </c>
      <c r="R39" s="447">
        <f>'[3]DESCUENTO NOVIEMBRE'!$R$39</f>
        <v>0</v>
      </c>
      <c r="S39" s="447">
        <f>+H39+L39+Q39+R39</f>
        <v>41</v>
      </c>
      <c r="T39" s="470">
        <f>+G39-S39</f>
        <v>359</v>
      </c>
      <c r="U39" s="464"/>
      <c r="V39" s="467"/>
    </row>
    <row r="40" spans="3:22" ht="35.1" customHeight="1">
      <c r="C40" s="424" t="s">
        <v>758</v>
      </c>
      <c r="D40" s="484" t="s">
        <v>1054</v>
      </c>
      <c r="E40" s="462">
        <v>600</v>
      </c>
      <c r="F40" s="447"/>
      <c r="G40" s="462">
        <v>600</v>
      </c>
      <c r="H40" s="462">
        <f>+E40*3%</f>
        <v>18</v>
      </c>
      <c r="I40" s="462">
        <f>+E40*0.01</f>
        <v>6</v>
      </c>
      <c r="J40" s="462">
        <f t="shared" si="13"/>
        <v>45</v>
      </c>
      <c r="K40" s="462">
        <f>+E40*7.25%</f>
        <v>43.5</v>
      </c>
      <c r="L40" s="462"/>
      <c r="M40" s="443">
        <f t="shared" si="14"/>
        <v>52.5</v>
      </c>
      <c r="N40" s="462"/>
      <c r="O40" s="447">
        <f>G40-H40-K40</f>
        <v>538.5</v>
      </c>
      <c r="P40" s="447"/>
      <c r="Q40" s="463">
        <f t="shared" ref="Q40:Q50" si="15">(ROUND(IF((O40)&lt;=472,0,IF((O40)&lt;=895.24,17.67+0.1*((O40)-472),IF((O40)&lt;=2038.1,60+0.2*((O40)-895.24),288.57+0.3*((O40)-2038.11)))),2))</f>
        <v>24.32</v>
      </c>
      <c r="R40" s="444">
        <f>'[3]DESCUENTO NOVIEMBRE'!$R$40</f>
        <v>0</v>
      </c>
      <c r="S40" s="447">
        <f>+H40+K40+Q40+R40</f>
        <v>85.82</v>
      </c>
      <c r="T40" s="470">
        <f>+G40-S40</f>
        <v>514.18000000000006</v>
      </c>
      <c r="U40" s="464"/>
      <c r="V40" s="467"/>
    </row>
    <row r="41" spans="3:22" s="809" customFormat="1" ht="35.1" customHeight="1">
      <c r="C41" s="424" t="s">
        <v>759</v>
      </c>
      <c r="D41" s="810" t="s">
        <v>428</v>
      </c>
      <c r="E41" s="811">
        <f>385+15</f>
        <v>400</v>
      </c>
      <c r="F41" s="812"/>
      <c r="G41" s="811">
        <f>+E41+F41</f>
        <v>400</v>
      </c>
      <c r="H41" s="811">
        <f>+E41*3%</f>
        <v>12</v>
      </c>
      <c r="I41" s="811">
        <f>+E41*1%</f>
        <v>4</v>
      </c>
      <c r="J41" s="811">
        <f t="shared" si="13"/>
        <v>30</v>
      </c>
      <c r="K41" s="811"/>
      <c r="L41" s="811">
        <f>+E41*7.25%</f>
        <v>28.999999999999996</v>
      </c>
      <c r="M41" s="813">
        <f t="shared" si="14"/>
        <v>35</v>
      </c>
      <c r="N41" s="811"/>
      <c r="O41" s="814">
        <f>G41-H41-L41</f>
        <v>359</v>
      </c>
      <c r="P41" s="812"/>
      <c r="Q41" s="815">
        <f t="shared" si="15"/>
        <v>0</v>
      </c>
      <c r="R41" s="816">
        <f>'[3]DESCUENTO NOVIEMBRE'!$R$41</f>
        <v>0</v>
      </c>
      <c r="S41" s="812">
        <f>+H41+L41+Q41+R41</f>
        <v>41</v>
      </c>
      <c r="T41" s="812">
        <f>+G41-S41</f>
        <v>359</v>
      </c>
      <c r="U41" s="817"/>
      <c r="V41" s="818"/>
    </row>
    <row r="42" spans="3:22" ht="35.1" customHeight="1">
      <c r="C42" s="424" t="s">
        <v>761</v>
      </c>
      <c r="D42" s="488" t="s">
        <v>760</v>
      </c>
      <c r="E42" s="462">
        <f>350+150</f>
        <v>500</v>
      </c>
      <c r="F42" s="447"/>
      <c r="G42" s="462">
        <f t="shared" si="12"/>
        <v>500</v>
      </c>
      <c r="H42" s="462">
        <f>+E42*3%</f>
        <v>15</v>
      </c>
      <c r="I42" s="462">
        <f>+E42*0.01</f>
        <v>5</v>
      </c>
      <c r="J42" s="462">
        <f t="shared" si="13"/>
        <v>37.5</v>
      </c>
      <c r="K42" s="462"/>
      <c r="L42" s="462">
        <f>+E42*7.25%</f>
        <v>36.25</v>
      </c>
      <c r="M42" s="443">
        <f t="shared" si="14"/>
        <v>43.75</v>
      </c>
      <c r="N42" s="462"/>
      <c r="O42" s="447">
        <f>G42-H42-L42</f>
        <v>448.75</v>
      </c>
      <c r="P42" s="447"/>
      <c r="Q42" s="463">
        <f t="shared" si="15"/>
        <v>0</v>
      </c>
      <c r="R42" s="447">
        <f>'[3]DESCUENTO NOVIEMBRE'!$R$42</f>
        <v>98.320000000000007</v>
      </c>
      <c r="S42" s="447">
        <f>+H42+L42+Q42+R42</f>
        <v>149.57</v>
      </c>
      <c r="T42" s="470">
        <f>+G42-S42</f>
        <v>350.43</v>
      </c>
      <c r="U42" s="464"/>
      <c r="V42" s="467"/>
    </row>
    <row r="43" spans="3:22" ht="35.1" customHeight="1">
      <c r="C43" s="424" t="s">
        <v>763</v>
      </c>
      <c r="D43" s="489" t="s">
        <v>762</v>
      </c>
      <c r="E43" s="462">
        <v>400</v>
      </c>
      <c r="F43" s="447"/>
      <c r="G43" s="462">
        <f>E43+F43</f>
        <v>400</v>
      </c>
      <c r="H43" s="462">
        <f>+E43*0.03</f>
        <v>12</v>
      </c>
      <c r="I43" s="462">
        <f>+E43*0.01</f>
        <v>4</v>
      </c>
      <c r="J43" s="462">
        <f t="shared" si="13"/>
        <v>30</v>
      </c>
      <c r="K43" s="462">
        <f>450*7.25/100</f>
        <v>32.625</v>
      </c>
      <c r="L43" s="462"/>
      <c r="M43" s="443">
        <f t="shared" si="14"/>
        <v>35</v>
      </c>
      <c r="N43" s="462"/>
      <c r="O43" s="447">
        <f>G43-H43-K43</f>
        <v>355.375</v>
      </c>
      <c r="P43" s="447"/>
      <c r="Q43" s="463">
        <f t="shared" si="15"/>
        <v>0</v>
      </c>
      <c r="R43" s="447">
        <f>'[3]DESCUENTO NOVIEMBRE'!$R$43</f>
        <v>117.59</v>
      </c>
      <c r="S43" s="447">
        <f>+H43+Q43+R43+K43</f>
        <v>162.215</v>
      </c>
      <c r="T43" s="447">
        <f>+G43-S43-0.01</f>
        <v>237.77500000000001</v>
      </c>
      <c r="U43" s="464"/>
      <c r="V43" s="467"/>
    </row>
    <row r="44" spans="3:22" ht="39.950000000000003" customHeight="1">
      <c r="C44" s="424" t="s">
        <v>765</v>
      </c>
      <c r="D44" s="490" t="s">
        <v>764</v>
      </c>
      <c r="E44" s="462">
        <v>400</v>
      </c>
      <c r="F44" s="447"/>
      <c r="G44" s="462">
        <f t="shared" si="12"/>
        <v>400</v>
      </c>
      <c r="H44" s="462">
        <f>E44*3%</f>
        <v>12</v>
      </c>
      <c r="I44" s="462">
        <f>E44*0.01</f>
        <v>4</v>
      </c>
      <c r="J44" s="462">
        <f t="shared" si="13"/>
        <v>30</v>
      </c>
      <c r="K44" s="462">
        <f>E44*7.25%</f>
        <v>28.999999999999996</v>
      </c>
      <c r="L44" s="462"/>
      <c r="M44" s="443">
        <f t="shared" si="14"/>
        <v>35</v>
      </c>
      <c r="N44" s="462"/>
      <c r="O44" s="447">
        <f>G44-H44-K44</f>
        <v>359</v>
      </c>
      <c r="P44" s="447"/>
      <c r="Q44" s="463">
        <f t="shared" si="15"/>
        <v>0</v>
      </c>
      <c r="R44" s="447">
        <f>'[3]DESCUENTO NOVIEMBRE'!$R$44</f>
        <v>0</v>
      </c>
      <c r="S44" s="487">
        <f>+H44+K44+Q44+R44</f>
        <v>41</v>
      </c>
      <c r="T44" s="470">
        <f t="shared" ref="T44:T50" si="16">+G44-S44</f>
        <v>359</v>
      </c>
      <c r="U44" s="464"/>
      <c r="V44" s="467"/>
    </row>
    <row r="45" spans="3:22" ht="30.75" customHeight="1">
      <c r="C45" s="424" t="s">
        <v>766</v>
      </c>
      <c r="D45" s="490" t="s">
        <v>764</v>
      </c>
      <c r="E45" s="486">
        <v>400</v>
      </c>
      <c r="F45" s="487"/>
      <c r="G45" s="486">
        <f t="shared" si="12"/>
        <v>400</v>
      </c>
      <c r="H45" s="486">
        <f t="shared" ref="H45:H50" si="17">+E45*3%</f>
        <v>12</v>
      </c>
      <c r="I45" s="486">
        <f>+E45*1%</f>
        <v>4</v>
      </c>
      <c r="J45" s="486">
        <f t="shared" si="13"/>
        <v>30</v>
      </c>
      <c r="K45" s="486"/>
      <c r="L45" s="486">
        <f>+E45*7.25%</f>
        <v>28.999999999999996</v>
      </c>
      <c r="M45" s="443">
        <f t="shared" si="14"/>
        <v>35</v>
      </c>
      <c r="N45" s="486"/>
      <c r="O45" s="447">
        <f>G45-H45-L45</f>
        <v>359</v>
      </c>
      <c r="P45" s="487"/>
      <c r="Q45" s="463">
        <f t="shared" si="15"/>
        <v>0</v>
      </c>
      <c r="R45" s="444">
        <f>'[3]DESCUENTO NOVIEMBRE'!$R$45</f>
        <v>78.31</v>
      </c>
      <c r="S45" s="487">
        <f>+H45+L45+Q45+R45</f>
        <v>119.31</v>
      </c>
      <c r="T45" s="487">
        <f t="shared" si="16"/>
        <v>280.69</v>
      </c>
      <c r="U45" s="491"/>
      <c r="V45" s="467"/>
    </row>
    <row r="46" spans="3:22" ht="39.950000000000003" customHeight="1">
      <c r="C46" s="424" t="s">
        <v>767</v>
      </c>
      <c r="D46" s="471" t="s">
        <v>987</v>
      </c>
      <c r="E46" s="447">
        <v>700</v>
      </c>
      <c r="F46" s="447"/>
      <c r="G46" s="447">
        <f>+E46+F46</f>
        <v>700</v>
      </c>
      <c r="H46" s="447">
        <f t="shared" si="17"/>
        <v>21</v>
      </c>
      <c r="I46" s="447">
        <f>+E46*0.01</f>
        <v>7</v>
      </c>
      <c r="J46" s="447">
        <f t="shared" si="13"/>
        <v>52.5</v>
      </c>
      <c r="K46" s="447"/>
      <c r="L46" s="447">
        <f>+E46*7.25%</f>
        <v>50.75</v>
      </c>
      <c r="M46" s="443">
        <f t="shared" si="14"/>
        <v>61.249999999999993</v>
      </c>
      <c r="N46" s="447"/>
      <c r="O46" s="447">
        <f>G46-H46-L46</f>
        <v>628.25</v>
      </c>
      <c r="P46" s="447"/>
      <c r="Q46" s="463">
        <f t="shared" si="15"/>
        <v>33.299999999999997</v>
      </c>
      <c r="R46" s="448">
        <f>'[3]DESCUENTO NOVIEMBRE'!$R$46</f>
        <v>79.33</v>
      </c>
      <c r="S46" s="447">
        <f>+H46+L46+Q46+R46</f>
        <v>184.38</v>
      </c>
      <c r="T46" s="470">
        <f t="shared" si="16"/>
        <v>515.62</v>
      </c>
      <c r="U46" s="464"/>
      <c r="V46" s="467"/>
    </row>
    <row r="47" spans="3:22" ht="35.1" customHeight="1">
      <c r="C47" s="424" t="s">
        <v>769</v>
      </c>
      <c r="D47" s="471" t="s">
        <v>768</v>
      </c>
      <c r="E47" s="447">
        <v>700</v>
      </c>
      <c r="F47" s="447"/>
      <c r="G47" s="447">
        <f>+E47+F47</f>
        <v>700</v>
      </c>
      <c r="H47" s="447">
        <f t="shared" si="17"/>
        <v>21</v>
      </c>
      <c r="I47" s="447">
        <f>+E47*0.01</f>
        <v>7</v>
      </c>
      <c r="J47" s="447">
        <f t="shared" si="13"/>
        <v>52.5</v>
      </c>
      <c r="K47" s="447"/>
      <c r="L47" s="447">
        <f>+E47*7.25%</f>
        <v>50.75</v>
      </c>
      <c r="M47" s="443">
        <f t="shared" si="14"/>
        <v>61.249999999999993</v>
      </c>
      <c r="N47" s="447"/>
      <c r="O47" s="447">
        <f>G47-H47-L47</f>
        <v>628.25</v>
      </c>
      <c r="P47" s="447"/>
      <c r="Q47" s="463">
        <f t="shared" si="15"/>
        <v>33.299999999999997</v>
      </c>
      <c r="R47" s="448">
        <f>'[3]DESCUENTO NOVIEMBRE'!$R$47</f>
        <v>0.68</v>
      </c>
      <c r="S47" s="447">
        <f>+H47+L47+Q47+R47</f>
        <v>105.73</v>
      </c>
      <c r="T47" s="470">
        <f t="shared" si="16"/>
        <v>594.27</v>
      </c>
      <c r="U47" s="464"/>
      <c r="V47" s="467"/>
    </row>
    <row r="48" spans="3:22" ht="35.1" customHeight="1">
      <c r="C48" s="424" t="s">
        <v>771</v>
      </c>
      <c r="D48" s="468" t="s">
        <v>770</v>
      </c>
      <c r="E48" s="447">
        <v>500</v>
      </c>
      <c r="F48" s="447"/>
      <c r="G48" s="469">
        <f>SUM(E48:F48)</f>
        <v>500</v>
      </c>
      <c r="H48" s="447">
        <f t="shared" si="17"/>
        <v>15</v>
      </c>
      <c r="I48" s="447">
        <f>+E48*0.01</f>
        <v>5</v>
      </c>
      <c r="J48" s="447">
        <f t="shared" si="13"/>
        <v>37.5</v>
      </c>
      <c r="K48" s="447"/>
      <c r="L48" s="447">
        <f>+E48*7.25%</f>
        <v>36.25</v>
      </c>
      <c r="M48" s="443">
        <f t="shared" si="14"/>
        <v>43.75</v>
      </c>
      <c r="N48" s="447"/>
      <c r="O48" s="447">
        <f>G48-H48-L48</f>
        <v>448.75</v>
      </c>
      <c r="P48" s="447"/>
      <c r="Q48" s="463">
        <f t="shared" si="15"/>
        <v>0</v>
      </c>
      <c r="R48" s="447">
        <f>'[3]DESCUENTO NOVIEMBRE'!$R$48</f>
        <v>79.56</v>
      </c>
      <c r="S48" s="447">
        <f>+H48+L48+Q48+R48</f>
        <v>130.81</v>
      </c>
      <c r="T48" s="470">
        <f t="shared" si="16"/>
        <v>369.19</v>
      </c>
      <c r="U48" s="464"/>
      <c r="V48" s="467"/>
    </row>
    <row r="49" spans="3:22" ht="35.25" customHeight="1">
      <c r="C49" s="424" t="s">
        <v>773</v>
      </c>
      <c r="D49" s="471" t="s">
        <v>772</v>
      </c>
      <c r="E49" s="426">
        <v>550</v>
      </c>
      <c r="F49" s="447"/>
      <c r="G49" s="492">
        <f>SUM(E49:F49)</f>
        <v>550</v>
      </c>
      <c r="H49" s="432">
        <f t="shared" si="17"/>
        <v>16.5</v>
      </c>
      <c r="I49" s="438">
        <f>+E49*0.01</f>
        <v>5.5</v>
      </c>
      <c r="J49" s="432">
        <f t="shared" si="13"/>
        <v>41.25</v>
      </c>
      <c r="K49" s="431">
        <f>E49*7.25/100</f>
        <v>39.875</v>
      </c>
      <c r="L49" s="431"/>
      <c r="M49" s="443">
        <f t="shared" si="14"/>
        <v>48.125</v>
      </c>
      <c r="N49" s="431"/>
      <c r="O49" s="447">
        <f>G49-H49-K49</f>
        <v>493.625</v>
      </c>
      <c r="P49" s="431"/>
      <c r="Q49" s="463">
        <f t="shared" si="15"/>
        <v>19.829999999999998</v>
      </c>
      <c r="R49" s="448">
        <f>'[3]DESCUENTO NOVIEMBRE'!$R$49</f>
        <v>0</v>
      </c>
      <c r="S49" s="432">
        <f>R49+H49+K49+Q49</f>
        <v>76.204999999999998</v>
      </c>
      <c r="T49" s="470">
        <f t="shared" si="16"/>
        <v>473.79500000000002</v>
      </c>
      <c r="U49" s="493"/>
      <c r="V49" s="494"/>
    </row>
    <row r="50" spans="3:22" ht="34.5" customHeight="1" thickBot="1">
      <c r="C50" s="424" t="s">
        <v>776</v>
      </c>
      <c r="D50" s="471" t="s">
        <v>774</v>
      </c>
      <c r="E50" s="495">
        <v>500</v>
      </c>
      <c r="F50" s="447"/>
      <c r="G50" s="495">
        <f>+E50+F50</f>
        <v>500</v>
      </c>
      <c r="H50" s="431">
        <f t="shared" si="17"/>
        <v>15</v>
      </c>
      <c r="I50" s="427">
        <f>+E50*0.01</f>
        <v>5</v>
      </c>
      <c r="J50" s="431">
        <f t="shared" si="13"/>
        <v>37.5</v>
      </c>
      <c r="K50" s="432"/>
      <c r="L50" s="432">
        <f>+E50*7.25%</f>
        <v>36.25</v>
      </c>
      <c r="M50" s="443">
        <f t="shared" si="14"/>
        <v>43.75</v>
      </c>
      <c r="N50" s="496"/>
      <c r="O50" s="447">
        <f>G50-H50-L50</f>
        <v>448.75</v>
      </c>
      <c r="P50" s="496"/>
      <c r="Q50" s="463">
        <f t="shared" si="15"/>
        <v>0</v>
      </c>
      <c r="R50" s="497">
        <f>'[3]DESCUENTO NOVIEMBRE'!$R$50</f>
        <v>0</v>
      </c>
      <c r="S50" s="431">
        <f>R50+H50+L50+Q50</f>
        <v>51.25</v>
      </c>
      <c r="T50" s="498">
        <f t="shared" si="16"/>
        <v>448.75</v>
      </c>
      <c r="U50" s="493"/>
      <c r="V50" s="494"/>
    </row>
    <row r="51" spans="3:22" ht="27.75" customHeight="1" thickBot="1">
      <c r="C51" s="1290" t="s">
        <v>775</v>
      </c>
      <c r="D51" s="1291"/>
      <c r="E51" s="499">
        <f>SUM(E38:E50)</f>
        <v>6875</v>
      </c>
      <c r="F51" s="499">
        <f t="shared" ref="F51:P51" si="18">SUM(F38:F50)</f>
        <v>0</v>
      </c>
      <c r="G51" s="499">
        <f t="shared" si="18"/>
        <v>6875</v>
      </c>
      <c r="H51" s="499">
        <f t="shared" si="18"/>
        <v>206.25</v>
      </c>
      <c r="I51" s="499">
        <f t="shared" si="18"/>
        <v>68.75</v>
      </c>
      <c r="J51" s="499">
        <f t="shared" si="18"/>
        <v>515.625</v>
      </c>
      <c r="K51" s="499">
        <f t="shared" si="18"/>
        <v>145</v>
      </c>
      <c r="L51" s="499">
        <f t="shared" si="18"/>
        <v>357.0625</v>
      </c>
      <c r="M51" s="499">
        <f t="shared" si="18"/>
        <v>601.5625</v>
      </c>
      <c r="N51" s="499">
        <f t="shared" si="18"/>
        <v>0</v>
      </c>
      <c r="O51" s="499">
        <f>SUM(O38:O50)</f>
        <v>6166.6875</v>
      </c>
      <c r="P51" s="499">
        <f t="shared" si="18"/>
        <v>0</v>
      </c>
      <c r="Q51" s="499">
        <f>SUM(Q38:Q50)</f>
        <v>155.26</v>
      </c>
      <c r="R51" s="499">
        <f>SUM(R38:R50)</f>
        <v>612.42999999999984</v>
      </c>
      <c r="S51" s="499">
        <f>SUM(S38:S50)</f>
        <v>1476.0025000000001</v>
      </c>
      <c r="T51" s="499">
        <f>SUM(T38:T50)+0.01</f>
        <v>5398.9975000000004</v>
      </c>
      <c r="U51" s="500"/>
      <c r="V51" s="501"/>
    </row>
    <row r="52" spans="3:22" ht="24.75" customHeight="1">
      <c r="C52" s="502"/>
      <c r="D52" s="503"/>
      <c r="E52" s="504">
        <f t="shared" ref="E52:R52" si="19">+E17+E36+E51</f>
        <v>25462.5</v>
      </c>
      <c r="F52" s="504">
        <f t="shared" si="19"/>
        <v>0</v>
      </c>
      <c r="G52" s="504">
        <f t="shared" si="19"/>
        <v>25462.5</v>
      </c>
      <c r="H52" s="504">
        <f t="shared" si="19"/>
        <v>667.875</v>
      </c>
      <c r="I52" s="505">
        <f t="shared" si="19"/>
        <v>222.625</v>
      </c>
      <c r="J52" s="505">
        <f t="shared" si="19"/>
        <v>1669.6875</v>
      </c>
      <c r="K52" s="504">
        <f t="shared" si="19"/>
        <v>860.9375</v>
      </c>
      <c r="L52" s="504">
        <f t="shared" si="19"/>
        <v>807.46875</v>
      </c>
      <c r="M52" s="505">
        <f t="shared" si="19"/>
        <v>2009.21875</v>
      </c>
      <c r="N52" s="505">
        <f t="shared" si="19"/>
        <v>0</v>
      </c>
      <c r="O52" s="505">
        <f t="shared" si="19"/>
        <v>20626.21875</v>
      </c>
      <c r="P52" s="505">
        <f t="shared" si="19"/>
        <v>0</v>
      </c>
      <c r="Q52" s="504">
        <f t="shared" si="19"/>
        <v>1286.83</v>
      </c>
      <c r="R52" s="505">
        <f t="shared" si="19"/>
        <v>3339.5099999999998</v>
      </c>
      <c r="S52" s="505">
        <f>+S17+S36+S51</f>
        <v>6911.3612499999999</v>
      </c>
      <c r="T52" s="504">
        <f>+T17+T36+T51</f>
        <v>18051.138750000002</v>
      </c>
      <c r="U52" s="506"/>
      <c r="V52" s="507"/>
    </row>
    <row r="53" spans="3:22" ht="37.5" customHeight="1">
      <c r="C53" s="1283" t="s">
        <v>314</v>
      </c>
      <c r="D53" s="1283"/>
      <c r="E53" s="510"/>
      <c r="F53" s="491"/>
      <c r="G53" s="510"/>
      <c r="H53" s="510"/>
      <c r="I53" s="510"/>
      <c r="J53" s="510"/>
      <c r="K53" s="491"/>
      <c r="L53" s="491"/>
      <c r="M53" s="511"/>
      <c r="N53" s="512"/>
      <c r="O53" s="512"/>
      <c r="P53" s="510"/>
      <c r="Q53" s="510"/>
      <c r="R53" s="491"/>
      <c r="S53" s="491"/>
      <c r="T53" s="510"/>
      <c r="U53" s="510"/>
    </row>
    <row r="54" spans="3:22" ht="39.950000000000003" customHeight="1">
      <c r="C54" s="513" t="s">
        <v>777</v>
      </c>
      <c r="D54" s="468" t="s">
        <v>973</v>
      </c>
      <c r="E54" s="487">
        <v>1100</v>
      </c>
      <c r="F54" s="444"/>
      <c r="G54" s="487">
        <f t="shared" ref="G54:G63" si="20">+E54+F54</f>
        <v>1100</v>
      </c>
      <c r="H54" s="432">
        <f>1000*0.03</f>
        <v>30</v>
      </c>
      <c r="I54" s="438">
        <f>1000*0.01</f>
        <v>10</v>
      </c>
      <c r="J54" s="443">
        <f>1000*7.5%</f>
        <v>75</v>
      </c>
      <c r="K54" s="443">
        <f>+E54*7.25%</f>
        <v>79.75</v>
      </c>
      <c r="L54" s="443"/>
      <c r="M54" s="443">
        <f>+E54*8.75%</f>
        <v>96.25</v>
      </c>
      <c r="N54" s="443"/>
      <c r="O54" s="443">
        <f>G54-H54-K54</f>
        <v>990.25</v>
      </c>
      <c r="P54" s="443"/>
      <c r="Q54" s="514">
        <f>(ROUND(IF((O54)&lt;=472,0,IF((O54)&lt;=895.24,17.67+0.1*((O54)-472),IF((O54)&lt;=2038.1,60+0.2*((O54)-895.24),288.57+0.3*((O54)-2038.11)))),2))</f>
        <v>79</v>
      </c>
      <c r="R54" s="444">
        <f>'[3]DESCUENTO NOVIEMBRE'!$R$58</f>
        <v>3.28</v>
      </c>
      <c r="S54" s="432">
        <f>+H54+K54+Q54+R54</f>
        <v>192.03</v>
      </c>
      <c r="T54" s="432">
        <f>+G54-S54-0.01</f>
        <v>907.96</v>
      </c>
      <c r="U54" s="440"/>
    </row>
    <row r="55" spans="3:22" s="441" customFormat="1" ht="39.950000000000003" customHeight="1">
      <c r="C55" s="975" t="s">
        <v>778</v>
      </c>
      <c r="D55" s="485" t="s">
        <v>986</v>
      </c>
      <c r="E55" s="486">
        <v>600</v>
      </c>
      <c r="F55" s="444"/>
      <c r="G55" s="486">
        <f t="shared" si="20"/>
        <v>600</v>
      </c>
      <c r="H55" s="432">
        <f>+E55*0.03</f>
        <v>18</v>
      </c>
      <c r="I55" s="438">
        <f>600*0.01</f>
        <v>6</v>
      </c>
      <c r="J55" s="443">
        <f>600*7.5%</f>
        <v>45</v>
      </c>
      <c r="K55" s="443"/>
      <c r="L55" s="443">
        <f>+E55*7.25%</f>
        <v>43.5</v>
      </c>
      <c r="M55" s="443">
        <f t="shared" ref="M55:M84" si="21">+E55*8.75%</f>
        <v>52.5</v>
      </c>
      <c r="N55" s="443"/>
      <c r="O55" s="443">
        <f t="shared" ref="O55:O62" si="22">G55-H55-L55</f>
        <v>538.5</v>
      </c>
      <c r="P55" s="443"/>
      <c r="Q55" s="514">
        <f t="shared" ref="Q55:Q84" si="23">(ROUND(IF((O55)&lt;=472,0,IF((O55)&lt;=895.24,17.67+0.1*((O55)-472),IF((O55)&lt;=2038.1,60+0.2*((O55)-895.24),288.57+0.3*((O55)-2038.11)))),2))</f>
        <v>24.32</v>
      </c>
      <c r="R55" s="444">
        <f>'[3]DESCUENTO NOVIEMBRE'!$R$59</f>
        <v>0</v>
      </c>
      <c r="S55" s="432">
        <f>+H55+L55+Q55+R55</f>
        <v>85.82</v>
      </c>
      <c r="T55" s="432">
        <f t="shared" ref="T55:T84" si="24">+G55-S55</f>
        <v>514.18000000000006</v>
      </c>
      <c r="U55" s="440"/>
    </row>
    <row r="56" spans="3:22" ht="39.950000000000003" customHeight="1">
      <c r="C56" s="975" t="s">
        <v>779</v>
      </c>
      <c r="D56" s="425" t="s">
        <v>990</v>
      </c>
      <c r="E56" s="487">
        <v>500</v>
      </c>
      <c r="F56" s="447"/>
      <c r="G56" s="487">
        <f t="shared" si="20"/>
        <v>500</v>
      </c>
      <c r="H56" s="487">
        <f t="shared" ref="H56:H63" si="25">+E56*3%</f>
        <v>15</v>
      </c>
      <c r="I56" s="487">
        <f t="shared" ref="I56:I70" si="26">+E56*1%</f>
        <v>5</v>
      </c>
      <c r="J56" s="486">
        <f t="shared" ref="J56:J64" si="27">+E56*7.5%</f>
        <v>37.5</v>
      </c>
      <c r="K56" s="487"/>
      <c r="L56" s="487">
        <f>+E56*7.25%</f>
        <v>36.25</v>
      </c>
      <c r="M56" s="443">
        <f t="shared" si="21"/>
        <v>43.75</v>
      </c>
      <c r="N56" s="487"/>
      <c r="O56" s="443">
        <f t="shared" si="22"/>
        <v>448.75</v>
      </c>
      <c r="P56" s="487"/>
      <c r="Q56" s="514">
        <f t="shared" si="23"/>
        <v>0</v>
      </c>
      <c r="R56" s="444">
        <f>'[3]DESCUENTO NOVIEMBRE'!$R$60</f>
        <v>116</v>
      </c>
      <c r="S56" s="487">
        <f>+H56+L56+Q56+R56</f>
        <v>167.25</v>
      </c>
      <c r="T56" s="487">
        <f t="shared" si="24"/>
        <v>332.75</v>
      </c>
      <c r="U56" s="491"/>
    </row>
    <row r="57" spans="3:22" ht="39.950000000000003" customHeight="1">
      <c r="C57" s="975" t="s">
        <v>781</v>
      </c>
      <c r="D57" s="425" t="s">
        <v>780</v>
      </c>
      <c r="E57" s="487">
        <v>600</v>
      </c>
      <c r="F57" s="447"/>
      <c r="G57" s="487">
        <f t="shared" si="20"/>
        <v>600</v>
      </c>
      <c r="H57" s="487">
        <f t="shared" si="25"/>
        <v>18</v>
      </c>
      <c r="I57" s="487">
        <f t="shared" si="26"/>
        <v>6</v>
      </c>
      <c r="J57" s="487">
        <f t="shared" si="27"/>
        <v>45</v>
      </c>
      <c r="K57" s="487"/>
      <c r="L57" s="487">
        <f>+E57*7.25%</f>
        <v>43.5</v>
      </c>
      <c r="M57" s="443">
        <f t="shared" si="21"/>
        <v>52.5</v>
      </c>
      <c r="N57" s="487"/>
      <c r="O57" s="443">
        <f t="shared" si="22"/>
        <v>538.5</v>
      </c>
      <c r="P57" s="487"/>
      <c r="Q57" s="514">
        <f t="shared" si="23"/>
        <v>24.32</v>
      </c>
      <c r="R57" s="444">
        <f>'[3]DESCUENTO NOVIEMBRE'!$R$61</f>
        <v>117.89999999999999</v>
      </c>
      <c r="S57" s="487">
        <f>+H57+L57+Q57+R57</f>
        <v>203.71999999999997</v>
      </c>
      <c r="T57" s="487">
        <f t="shared" si="24"/>
        <v>396.28000000000003</v>
      </c>
      <c r="U57" s="491"/>
    </row>
    <row r="58" spans="3:22" ht="39.950000000000003" customHeight="1">
      <c r="C58" s="975" t="s">
        <v>782</v>
      </c>
      <c r="D58" s="425" t="s">
        <v>1055</v>
      </c>
      <c r="E58" s="487">
        <v>500</v>
      </c>
      <c r="F58" s="447"/>
      <c r="G58" s="486">
        <f t="shared" si="20"/>
        <v>500</v>
      </c>
      <c r="H58" s="486">
        <f t="shared" si="25"/>
        <v>15</v>
      </c>
      <c r="I58" s="486">
        <f t="shared" si="26"/>
        <v>5</v>
      </c>
      <c r="J58" s="486">
        <f t="shared" si="27"/>
        <v>37.5</v>
      </c>
      <c r="K58" s="486"/>
      <c r="L58" s="486">
        <f>+E58*7.25%</f>
        <v>36.25</v>
      </c>
      <c r="M58" s="443">
        <f t="shared" si="21"/>
        <v>43.75</v>
      </c>
      <c r="N58" s="486"/>
      <c r="O58" s="446">
        <f t="shared" si="22"/>
        <v>448.75</v>
      </c>
      <c r="P58" s="486"/>
      <c r="Q58" s="514">
        <f t="shared" si="23"/>
        <v>0</v>
      </c>
      <c r="R58" s="444">
        <f>'[3]DESCUENTO NOVIEMBRE'!$R$62</f>
        <v>97.3</v>
      </c>
      <c r="S58" s="487">
        <f>+H58+L58+Q58+R58</f>
        <v>148.55000000000001</v>
      </c>
      <c r="T58" s="487">
        <f t="shared" si="24"/>
        <v>351.45</v>
      </c>
      <c r="U58" s="491"/>
    </row>
    <row r="59" spans="3:22" ht="39.950000000000003" customHeight="1">
      <c r="C59" s="975" t="s">
        <v>783</v>
      </c>
      <c r="D59" s="819" t="s">
        <v>1056</v>
      </c>
      <c r="E59" s="812">
        <v>500</v>
      </c>
      <c r="F59" s="814"/>
      <c r="G59" s="811">
        <f t="shared" si="20"/>
        <v>500</v>
      </c>
      <c r="H59" s="811">
        <f t="shared" si="25"/>
        <v>15</v>
      </c>
      <c r="I59" s="811">
        <f t="shared" si="26"/>
        <v>5</v>
      </c>
      <c r="J59" s="811">
        <f t="shared" si="27"/>
        <v>37.5</v>
      </c>
      <c r="K59" s="811"/>
      <c r="L59" s="811">
        <f>+E59*7.25%</f>
        <v>36.25</v>
      </c>
      <c r="M59" s="813">
        <f t="shared" si="21"/>
        <v>43.75</v>
      </c>
      <c r="N59" s="811"/>
      <c r="O59" s="820">
        <f t="shared" si="22"/>
        <v>448.75</v>
      </c>
      <c r="P59" s="811"/>
      <c r="Q59" s="811">
        <f t="shared" si="23"/>
        <v>0</v>
      </c>
      <c r="R59" s="821">
        <f>'[3]DESCUENTO NOVIEMBRE'!$R$63</f>
        <v>1.38</v>
      </c>
      <c r="S59" s="812">
        <f>+H59+L59+Q59+R59</f>
        <v>52.63</v>
      </c>
      <c r="T59" s="812">
        <f t="shared" si="24"/>
        <v>447.37</v>
      </c>
      <c r="U59" s="822"/>
    </row>
    <row r="60" spans="3:22" ht="39.950000000000003" customHeight="1">
      <c r="C60" s="975" t="s">
        <v>785</v>
      </c>
      <c r="D60" s="515" t="s">
        <v>784</v>
      </c>
      <c r="E60" s="487">
        <v>400</v>
      </c>
      <c r="F60" s="487"/>
      <c r="G60" s="486">
        <f t="shared" si="20"/>
        <v>400</v>
      </c>
      <c r="H60" s="486">
        <f t="shared" si="25"/>
        <v>12</v>
      </c>
      <c r="I60" s="486">
        <f t="shared" si="26"/>
        <v>4</v>
      </c>
      <c r="J60" s="486">
        <f t="shared" si="27"/>
        <v>30</v>
      </c>
      <c r="K60" s="486"/>
      <c r="L60" s="486"/>
      <c r="M60" s="443">
        <f t="shared" si="21"/>
        <v>35</v>
      </c>
      <c r="N60" s="486"/>
      <c r="O60" s="446">
        <f t="shared" si="22"/>
        <v>388</v>
      </c>
      <c r="P60" s="486"/>
      <c r="Q60" s="514">
        <f t="shared" si="23"/>
        <v>0</v>
      </c>
      <c r="R60" s="487">
        <f>'[3]DESCUENTO NOVIEMBRE'!$R$64</f>
        <v>0</v>
      </c>
      <c r="S60" s="487">
        <f>+H60+K60+Q60+R60</f>
        <v>12</v>
      </c>
      <c r="T60" s="487">
        <f t="shared" si="24"/>
        <v>388</v>
      </c>
      <c r="U60" s="491"/>
    </row>
    <row r="61" spans="3:22" s="441" customFormat="1" ht="39.950000000000003" customHeight="1">
      <c r="C61" s="975" t="s">
        <v>786</v>
      </c>
      <c r="D61" s="515" t="s">
        <v>784</v>
      </c>
      <c r="E61" s="487">
        <v>400</v>
      </c>
      <c r="F61" s="487"/>
      <c r="G61" s="486">
        <f t="shared" si="20"/>
        <v>400</v>
      </c>
      <c r="H61" s="486">
        <f t="shared" si="25"/>
        <v>12</v>
      </c>
      <c r="I61" s="486">
        <f t="shared" si="26"/>
        <v>4</v>
      </c>
      <c r="J61" s="486">
        <f t="shared" si="27"/>
        <v>30</v>
      </c>
      <c r="K61" s="486"/>
      <c r="L61" s="486">
        <f>+E61*7.25%</f>
        <v>28.999999999999996</v>
      </c>
      <c r="M61" s="443">
        <f t="shared" si="21"/>
        <v>35</v>
      </c>
      <c r="N61" s="486"/>
      <c r="O61" s="446">
        <f t="shared" si="22"/>
        <v>359</v>
      </c>
      <c r="P61" s="486"/>
      <c r="Q61" s="514">
        <f t="shared" si="23"/>
        <v>0</v>
      </c>
      <c r="R61" s="444">
        <f>'[3]DESCUENTO NOVIEMBRE'!$R$65</f>
        <v>72</v>
      </c>
      <c r="S61" s="487">
        <f>+H61+L61+Q61+R61</f>
        <v>113</v>
      </c>
      <c r="T61" s="487">
        <f t="shared" si="24"/>
        <v>287</v>
      </c>
      <c r="U61" s="440"/>
    </row>
    <row r="62" spans="3:22" s="441" customFormat="1" ht="39.950000000000003" customHeight="1">
      <c r="C62" s="975" t="s">
        <v>788</v>
      </c>
      <c r="D62" s="471" t="s">
        <v>787</v>
      </c>
      <c r="E62" s="487">
        <v>400</v>
      </c>
      <c r="F62" s="487"/>
      <c r="G62" s="486">
        <f t="shared" si="20"/>
        <v>400</v>
      </c>
      <c r="H62" s="486">
        <f t="shared" si="25"/>
        <v>12</v>
      </c>
      <c r="I62" s="486">
        <f t="shared" si="26"/>
        <v>4</v>
      </c>
      <c r="J62" s="486">
        <f t="shared" si="27"/>
        <v>30</v>
      </c>
      <c r="K62" s="486"/>
      <c r="L62" s="486">
        <f>+E62*7.25%</f>
        <v>28.999999999999996</v>
      </c>
      <c r="M62" s="443">
        <f t="shared" si="21"/>
        <v>35</v>
      </c>
      <c r="N62" s="486"/>
      <c r="O62" s="446">
        <f t="shared" si="22"/>
        <v>359</v>
      </c>
      <c r="P62" s="486"/>
      <c r="Q62" s="514">
        <f t="shared" si="23"/>
        <v>0</v>
      </c>
      <c r="R62" s="444">
        <f>'[3]DESCUENTO NOVIEMBRE'!$R$66</f>
        <v>70.53</v>
      </c>
      <c r="S62" s="487">
        <f>+H62+L62+Q62+R62</f>
        <v>111.53</v>
      </c>
      <c r="T62" s="487">
        <f t="shared" si="24"/>
        <v>288.47000000000003</v>
      </c>
      <c r="U62" s="440"/>
    </row>
    <row r="63" spans="3:22" s="441" customFormat="1" ht="39.950000000000003" customHeight="1">
      <c r="C63" s="975" t="s">
        <v>789</v>
      </c>
      <c r="D63" s="515" t="s">
        <v>787</v>
      </c>
      <c r="E63" s="487">
        <v>400</v>
      </c>
      <c r="F63" s="487"/>
      <c r="G63" s="486">
        <f t="shared" si="20"/>
        <v>400</v>
      </c>
      <c r="H63" s="486">
        <f t="shared" si="25"/>
        <v>12</v>
      </c>
      <c r="I63" s="486">
        <f t="shared" si="26"/>
        <v>4</v>
      </c>
      <c r="J63" s="486">
        <f t="shared" si="27"/>
        <v>30</v>
      </c>
      <c r="K63" s="486"/>
      <c r="L63" s="486">
        <v>0</v>
      </c>
      <c r="M63" s="443">
        <f t="shared" si="21"/>
        <v>35</v>
      </c>
      <c r="N63" s="516">
        <f>+E63*6%</f>
        <v>24</v>
      </c>
      <c r="O63" s="446">
        <f>G63-H63-N63</f>
        <v>364</v>
      </c>
      <c r="P63" s="516">
        <f>SUM(N63)</f>
        <v>24</v>
      </c>
      <c r="Q63" s="514">
        <f>(ROUND(IF((O63)&lt;=472,0,IF((O63)&lt;=895.24,17.67+0.1*((O63)-472),IF((O63)&lt;=2038.1,60+0.2*((O63)-895.24),288.57+0.3*((O63)-2038.11)))),2))</f>
        <v>0</v>
      </c>
      <c r="R63" s="444">
        <f>'[3]DESCUENTO NOVIEMBRE'!$R$67</f>
        <v>0</v>
      </c>
      <c r="S63" s="487">
        <f>+H63+N63+Q63+R63</f>
        <v>36</v>
      </c>
      <c r="T63" s="487">
        <f t="shared" si="24"/>
        <v>364</v>
      </c>
      <c r="U63" s="440"/>
    </row>
    <row r="64" spans="3:22" s="441" customFormat="1" ht="39.950000000000003" customHeight="1">
      <c r="C64" s="975" t="s">
        <v>790</v>
      </c>
      <c r="D64" s="515" t="s">
        <v>784</v>
      </c>
      <c r="E64" s="487">
        <v>400</v>
      </c>
      <c r="F64" s="487"/>
      <c r="G64" s="487">
        <f>+E64+F64</f>
        <v>400</v>
      </c>
      <c r="H64" s="487">
        <f t="shared" ref="H64:H70" si="28">+E64*3%</f>
        <v>12</v>
      </c>
      <c r="I64" s="487">
        <f>+E64*1%</f>
        <v>4</v>
      </c>
      <c r="J64" s="487">
        <f t="shared" si="27"/>
        <v>30</v>
      </c>
      <c r="K64" s="487"/>
      <c r="L64" s="487">
        <f>G64*7.25%</f>
        <v>28.999999999999996</v>
      </c>
      <c r="M64" s="443">
        <f t="shared" si="21"/>
        <v>35</v>
      </c>
      <c r="N64" s="487"/>
      <c r="O64" s="443">
        <f>G64-H64-L64</f>
        <v>359</v>
      </c>
      <c r="P64" s="487"/>
      <c r="Q64" s="487">
        <f t="shared" si="23"/>
        <v>0</v>
      </c>
      <c r="R64" s="444">
        <f>'[3]DESCUENTO NOVIEMBRE'!$R$68</f>
        <v>50</v>
      </c>
      <c r="S64" s="487">
        <f>+H64+L64+Q64+R64</f>
        <v>91</v>
      </c>
      <c r="T64" s="487">
        <f t="shared" si="24"/>
        <v>309</v>
      </c>
      <c r="U64" s="440"/>
    </row>
    <row r="65" spans="3:21" s="441" customFormat="1" ht="39.950000000000003" customHeight="1">
      <c r="C65" s="975" t="s">
        <v>791</v>
      </c>
      <c r="D65" s="515" t="s">
        <v>784</v>
      </c>
      <c r="E65" s="487">
        <v>400</v>
      </c>
      <c r="F65" s="487"/>
      <c r="G65" s="487">
        <f>+E65+F65</f>
        <v>400</v>
      </c>
      <c r="H65" s="487">
        <f t="shared" si="28"/>
        <v>12</v>
      </c>
      <c r="I65" s="487">
        <f>+E65*1%</f>
        <v>4</v>
      </c>
      <c r="J65" s="487">
        <f t="shared" ref="J65:J70" si="29">+E65*7.5%</f>
        <v>30</v>
      </c>
      <c r="K65" s="487"/>
      <c r="L65" s="487">
        <f>G65*7.25%</f>
        <v>28.999999999999996</v>
      </c>
      <c r="M65" s="443">
        <f>+E65*8.75%</f>
        <v>35</v>
      </c>
      <c r="N65" s="487"/>
      <c r="O65" s="443">
        <f>G65-H65-L65</f>
        <v>359</v>
      </c>
      <c r="P65" s="487"/>
      <c r="Q65" s="487">
        <f>(ROUND(IF((O65)&lt;=472,0,IF((O65)&lt;=895.24,17.67+0.1*((O65)-472),IF((O65)&lt;=2038.1,60+0.2*((O65)-895.24),288.57+0.3*((O65)-2038.11)))),2))</f>
        <v>0</v>
      </c>
      <c r="R65" s="444">
        <f>'[3]DESCUENTO NOVIEMBRE'!$R$68</f>
        <v>50</v>
      </c>
      <c r="S65" s="487">
        <f>+H65+L65+Q65+R65</f>
        <v>91</v>
      </c>
      <c r="T65" s="487">
        <f>+G65-S65</f>
        <v>309</v>
      </c>
      <c r="U65" s="440"/>
    </row>
    <row r="66" spans="3:21" s="441" customFormat="1" ht="39.950000000000003" customHeight="1">
      <c r="C66" s="975" t="s">
        <v>793</v>
      </c>
      <c r="D66" s="471" t="s">
        <v>792</v>
      </c>
      <c r="E66" s="487">
        <v>700</v>
      </c>
      <c r="F66" s="447"/>
      <c r="G66" s="486">
        <f>SUM(E66:F66)</f>
        <v>700</v>
      </c>
      <c r="H66" s="486">
        <f t="shared" si="28"/>
        <v>21</v>
      </c>
      <c r="I66" s="486">
        <f t="shared" si="26"/>
        <v>7</v>
      </c>
      <c r="J66" s="486">
        <f t="shared" si="29"/>
        <v>52.5</v>
      </c>
      <c r="K66" s="486">
        <f>+E66*7.25%</f>
        <v>50.75</v>
      </c>
      <c r="L66" s="486"/>
      <c r="M66" s="443">
        <f t="shared" si="21"/>
        <v>61.249999999999993</v>
      </c>
      <c r="N66" s="486"/>
      <c r="O66" s="446">
        <f>G66-H66-K66</f>
        <v>628.25</v>
      </c>
      <c r="P66" s="486"/>
      <c r="Q66" s="514">
        <f t="shared" si="23"/>
        <v>33.299999999999997</v>
      </c>
      <c r="R66" s="487">
        <f>'[3]DESCUENTO NOVIEMBRE'!$R$70</f>
        <v>0</v>
      </c>
      <c r="S66" s="487">
        <f>+H66+K66+Q66+R66</f>
        <v>105.05</v>
      </c>
      <c r="T66" s="487">
        <f t="shared" si="24"/>
        <v>594.95000000000005</v>
      </c>
      <c r="U66" s="440"/>
    </row>
    <row r="67" spans="3:21" s="441" customFormat="1" ht="39.950000000000003" customHeight="1">
      <c r="C67" s="975" t="s">
        <v>794</v>
      </c>
      <c r="D67" s="471" t="s">
        <v>991</v>
      </c>
      <c r="E67" s="447">
        <v>600</v>
      </c>
      <c r="F67" s="447"/>
      <c r="G67" s="447">
        <f>+E67+F67</f>
        <v>600</v>
      </c>
      <c r="H67" s="447">
        <f t="shared" si="28"/>
        <v>18</v>
      </c>
      <c r="I67" s="447">
        <f>+E67*0.01</f>
        <v>6</v>
      </c>
      <c r="J67" s="447">
        <f t="shared" si="29"/>
        <v>45</v>
      </c>
      <c r="K67" s="447"/>
      <c r="L67" s="447">
        <f>+E67*7.25%</f>
        <v>43.5</v>
      </c>
      <c r="M67" s="443">
        <f t="shared" si="21"/>
        <v>52.5</v>
      </c>
      <c r="N67" s="447"/>
      <c r="O67" s="443">
        <f>G67-H67-L67</f>
        <v>538.5</v>
      </c>
      <c r="P67" s="447"/>
      <c r="Q67" s="487">
        <f t="shared" si="23"/>
        <v>24.32</v>
      </c>
      <c r="R67" s="444">
        <f>'[3]DESCUENTO NOVIEMBRE'!$R$71</f>
        <v>0.88</v>
      </c>
      <c r="S67" s="487">
        <f>+H67+L67+Q67+R67</f>
        <v>86.699999999999989</v>
      </c>
      <c r="T67" s="473">
        <f t="shared" si="24"/>
        <v>513.29999999999995</v>
      </c>
      <c r="U67" s="440"/>
    </row>
    <row r="68" spans="3:21" s="441" customFormat="1" ht="39.950000000000003" customHeight="1">
      <c r="C68" s="975" t="s">
        <v>796</v>
      </c>
      <c r="D68" s="471" t="s">
        <v>795</v>
      </c>
      <c r="E68" s="447">
        <v>400</v>
      </c>
      <c r="F68" s="447"/>
      <c r="G68" s="462">
        <f>+E68+F68</f>
        <v>400</v>
      </c>
      <c r="H68" s="462">
        <f t="shared" si="28"/>
        <v>12</v>
      </c>
      <c r="I68" s="462">
        <f>+E68*0.01</f>
        <v>4</v>
      </c>
      <c r="J68" s="462">
        <f t="shared" si="29"/>
        <v>30</v>
      </c>
      <c r="K68" s="462"/>
      <c r="L68" s="462">
        <f>+E68*7.25%</f>
        <v>28.999999999999996</v>
      </c>
      <c r="M68" s="443">
        <f t="shared" si="21"/>
        <v>35</v>
      </c>
      <c r="N68" s="462"/>
      <c r="O68" s="446">
        <f>G68-H68-L68</f>
        <v>359</v>
      </c>
      <c r="P68" s="462"/>
      <c r="Q68" s="514">
        <f t="shared" si="23"/>
        <v>0</v>
      </c>
      <c r="R68" s="444">
        <f>'[3]DESCUENTO NOVIEMBRE'!$R$72</f>
        <v>0</v>
      </c>
      <c r="S68" s="447">
        <f>+H68+L68+Q68+R68</f>
        <v>41</v>
      </c>
      <c r="T68" s="470">
        <f t="shared" si="24"/>
        <v>359</v>
      </c>
      <c r="U68" s="440"/>
    </row>
    <row r="69" spans="3:21" ht="39.950000000000003" customHeight="1">
      <c r="C69" s="975" t="s">
        <v>798</v>
      </c>
      <c r="D69" s="471" t="s">
        <v>797</v>
      </c>
      <c r="E69" s="487">
        <v>400</v>
      </c>
      <c r="F69" s="487"/>
      <c r="G69" s="486">
        <v>400</v>
      </c>
      <c r="H69" s="486">
        <f t="shared" si="28"/>
        <v>12</v>
      </c>
      <c r="I69" s="486">
        <f>+E69*1%</f>
        <v>4</v>
      </c>
      <c r="J69" s="486">
        <f t="shared" si="29"/>
        <v>30</v>
      </c>
      <c r="K69" s="486">
        <f>+E69*7.25%</f>
        <v>28.999999999999996</v>
      </c>
      <c r="L69" s="486"/>
      <c r="M69" s="443">
        <f t="shared" si="21"/>
        <v>35</v>
      </c>
      <c r="N69" s="486"/>
      <c r="O69" s="446">
        <f>G69-H69-K69</f>
        <v>359</v>
      </c>
      <c r="P69" s="486"/>
      <c r="Q69" s="514">
        <f t="shared" si="23"/>
        <v>0</v>
      </c>
      <c r="R69" s="487">
        <f>'[3]DESCUENTO NOVIEMBRE'!$R$73</f>
        <v>77.260000000000005</v>
      </c>
      <c r="S69" s="487">
        <f>+H69+K69+Q69+R69</f>
        <v>118.26</v>
      </c>
      <c r="T69" s="487">
        <f t="shared" si="24"/>
        <v>281.74</v>
      </c>
      <c r="U69" s="491"/>
    </row>
    <row r="70" spans="3:21" s="441" customFormat="1" ht="39.950000000000003" customHeight="1">
      <c r="C70" s="975" t="s">
        <v>800</v>
      </c>
      <c r="D70" s="490" t="s">
        <v>799</v>
      </c>
      <c r="E70" s="486">
        <v>400</v>
      </c>
      <c r="F70" s="487"/>
      <c r="G70" s="486">
        <f>+E70+F70</f>
        <v>400</v>
      </c>
      <c r="H70" s="486">
        <f t="shared" si="28"/>
        <v>12</v>
      </c>
      <c r="I70" s="486">
        <f t="shared" si="26"/>
        <v>4</v>
      </c>
      <c r="J70" s="486">
        <f t="shared" si="29"/>
        <v>30</v>
      </c>
      <c r="K70" s="486">
        <f>+E70*7.25%</f>
        <v>28.999999999999996</v>
      </c>
      <c r="L70" s="486"/>
      <c r="M70" s="443">
        <f t="shared" si="21"/>
        <v>35</v>
      </c>
      <c r="N70" s="486"/>
      <c r="O70" s="446">
        <f>G70-H70-K70</f>
        <v>359</v>
      </c>
      <c r="P70" s="486"/>
      <c r="Q70" s="514">
        <f t="shared" si="23"/>
        <v>0</v>
      </c>
      <c r="R70" s="487">
        <f>'[3]DESCUENTO NOVIEMBRE'!$R$74</f>
        <v>129</v>
      </c>
      <c r="S70" s="487">
        <f>+H70+K70+Q70+R70</f>
        <v>170</v>
      </c>
      <c r="T70" s="487">
        <f t="shared" si="24"/>
        <v>230</v>
      </c>
      <c r="U70" s="440"/>
    </row>
    <row r="71" spans="3:21" s="441" customFormat="1" ht="39.950000000000003" customHeight="1">
      <c r="C71" s="975" t="s">
        <v>801</v>
      </c>
      <c r="D71" s="490" t="s">
        <v>1057</v>
      </c>
      <c r="E71" s="486">
        <v>500</v>
      </c>
      <c r="F71" s="487"/>
      <c r="G71" s="486">
        <f>SUM(E71:F71)</f>
        <v>500</v>
      </c>
      <c r="H71" s="486">
        <f>G71*3%</f>
        <v>15</v>
      </c>
      <c r="I71" s="486">
        <f>G71*1%</f>
        <v>5</v>
      </c>
      <c r="J71" s="486">
        <f>G71*7.5%</f>
        <v>37.5</v>
      </c>
      <c r="K71" s="486"/>
      <c r="L71" s="486">
        <f>G71*7.25%</f>
        <v>36.25</v>
      </c>
      <c r="M71" s="443">
        <f t="shared" si="21"/>
        <v>43.75</v>
      </c>
      <c r="N71" s="486"/>
      <c r="O71" s="446">
        <f>G71-H71-L71</f>
        <v>448.75</v>
      </c>
      <c r="P71" s="486"/>
      <c r="Q71" s="514">
        <f>(ROUND(IF((O71)&lt;=472,0,IF((O71)&lt;=895.24,17.67+0.1*((O71)-472),IF((O71)&lt;=2038.1,60+0.2*((O71)-895.24),288.57+0.3*((O71)-2038.11)))),2))</f>
        <v>0</v>
      </c>
      <c r="R71" s="487">
        <f>'[3]DESCUENTO NOVIEMBRE'!$R$75</f>
        <v>79.25</v>
      </c>
      <c r="S71" s="487">
        <f>+H71+L71+Q71+R71</f>
        <v>130.5</v>
      </c>
      <c r="T71" s="487">
        <f t="shared" si="24"/>
        <v>369.5</v>
      </c>
      <c r="U71" s="440"/>
    </row>
    <row r="72" spans="3:21" s="441" customFormat="1" ht="39.950000000000003" customHeight="1">
      <c r="C72" s="975" t="s">
        <v>1050</v>
      </c>
      <c r="D72" s="490" t="s">
        <v>795</v>
      </c>
      <c r="E72" s="486">
        <v>400</v>
      </c>
      <c r="F72" s="487"/>
      <c r="G72" s="486">
        <v>400</v>
      </c>
      <c r="H72" s="486">
        <f>+E72*3%</f>
        <v>12</v>
      </c>
      <c r="I72" s="486">
        <f t="shared" ref="I72" si="30">+E72*1%</f>
        <v>4</v>
      </c>
      <c r="J72" s="486">
        <f>+E72*7.5%</f>
        <v>30</v>
      </c>
      <c r="K72" s="486">
        <f>+E72*7.25%</f>
        <v>28.999999999999996</v>
      </c>
      <c r="L72" s="486"/>
      <c r="M72" s="443">
        <f t="shared" ref="M72" si="31">+E72*8.75%</f>
        <v>35</v>
      </c>
      <c r="N72" s="486"/>
      <c r="O72" s="446">
        <f>G72-H72-K72</f>
        <v>359</v>
      </c>
      <c r="P72" s="486"/>
      <c r="Q72" s="514">
        <f t="shared" ref="Q72" si="32">(ROUND(IF((O72)&lt;=472,0,IF((O72)&lt;=895.24,17.67+0.1*((O72)-472),IF((O72)&lt;=2038.1,60+0.2*((O72)-895.24),288.57+0.3*((O72)-2038.11)))),2))</f>
        <v>0</v>
      </c>
      <c r="R72" s="487"/>
      <c r="S72" s="487"/>
      <c r="T72" s="487"/>
      <c r="U72" s="440"/>
    </row>
    <row r="73" spans="3:21" s="441" customFormat="1" ht="48" customHeight="1">
      <c r="C73" s="975" t="s">
        <v>802</v>
      </c>
      <c r="D73" s="490" t="s">
        <v>1058</v>
      </c>
      <c r="E73" s="486">
        <v>400</v>
      </c>
      <c r="F73" s="487"/>
      <c r="G73" s="486">
        <f>E73</f>
        <v>400</v>
      </c>
      <c r="H73" s="486">
        <f>+E73*3%</f>
        <v>12</v>
      </c>
      <c r="I73" s="486">
        <f>+E73*1%</f>
        <v>4</v>
      </c>
      <c r="J73" s="486">
        <f>+E73*7.5%</f>
        <v>30</v>
      </c>
      <c r="K73" s="486"/>
      <c r="L73" s="486">
        <f>+E73*7.25%</f>
        <v>28.999999999999996</v>
      </c>
      <c r="M73" s="443">
        <f t="shared" si="21"/>
        <v>35</v>
      </c>
      <c r="N73" s="486"/>
      <c r="O73" s="446">
        <f>G73-H73-L73</f>
        <v>359</v>
      </c>
      <c r="P73" s="486"/>
      <c r="Q73" s="514">
        <f t="shared" si="23"/>
        <v>0</v>
      </c>
      <c r="R73" s="444">
        <f>'[3]DESCUENTO NOVIEMBRE'!$R$77</f>
        <v>0</v>
      </c>
      <c r="S73" s="487">
        <f>+H73+L73+Q73+R73</f>
        <v>41</v>
      </c>
      <c r="T73" s="487">
        <f t="shared" si="24"/>
        <v>359</v>
      </c>
      <c r="U73" s="440"/>
    </row>
    <row r="74" spans="3:21" s="441" customFormat="1" ht="39.950000000000003" customHeight="1">
      <c r="C74" s="975" t="s">
        <v>804</v>
      </c>
      <c r="D74" s="490" t="s">
        <v>803</v>
      </c>
      <c r="E74" s="486">
        <v>500</v>
      </c>
      <c r="F74" s="447"/>
      <c r="G74" s="486">
        <v>500</v>
      </c>
      <c r="H74" s="486">
        <f>+E74*3%</f>
        <v>15</v>
      </c>
      <c r="I74" s="486">
        <f>+E74*1%</f>
        <v>5</v>
      </c>
      <c r="J74" s="486">
        <f>+E74*7.5%</f>
        <v>37.5</v>
      </c>
      <c r="K74" s="486"/>
      <c r="L74" s="486">
        <f>+E74*7.25%</f>
        <v>36.25</v>
      </c>
      <c r="M74" s="443">
        <f t="shared" si="21"/>
        <v>43.75</v>
      </c>
      <c r="N74" s="486"/>
      <c r="O74" s="446">
        <f>G74-H74-L74</f>
        <v>448.75</v>
      </c>
      <c r="P74" s="486"/>
      <c r="Q74" s="514">
        <f t="shared" si="23"/>
        <v>0</v>
      </c>
      <c r="R74" s="444">
        <f>'[3]DESCUENTO NOVIEMBRE'!$R$78</f>
        <v>82.339999999999989</v>
      </c>
      <c r="S74" s="487">
        <f>+H74+L74+Q74+R74</f>
        <v>133.58999999999997</v>
      </c>
      <c r="T74" s="487">
        <f t="shared" si="24"/>
        <v>366.41</v>
      </c>
      <c r="U74" s="440"/>
    </row>
    <row r="75" spans="3:21" s="441" customFormat="1" ht="39.950000000000003" customHeight="1">
      <c r="C75" s="975" t="s">
        <v>805</v>
      </c>
      <c r="D75" s="518" t="s">
        <v>1059</v>
      </c>
      <c r="E75" s="486">
        <v>500</v>
      </c>
      <c r="F75" s="447"/>
      <c r="G75" s="486">
        <v>500</v>
      </c>
      <c r="H75" s="486">
        <f>+E75*3%</f>
        <v>15</v>
      </c>
      <c r="I75" s="486">
        <f>+E75*1%</f>
        <v>5</v>
      </c>
      <c r="J75" s="486">
        <f>+E75*7.5%</f>
        <v>37.5</v>
      </c>
      <c r="K75" s="486"/>
      <c r="L75" s="486">
        <f>+E75*7.25%</f>
        <v>36.25</v>
      </c>
      <c r="M75" s="443">
        <f>+E75*8.75%</f>
        <v>43.75</v>
      </c>
      <c r="N75" s="486"/>
      <c r="O75" s="446">
        <f>G75-H75-L75</f>
        <v>448.75</v>
      </c>
      <c r="P75" s="486"/>
      <c r="Q75" s="514">
        <f>(ROUND(IF((O75)&lt;=472,0,IF((O75)&lt;=895.24,17.67+0.1*((O75)-472),IF((O75)&lt;=2038.1,60+0.2*((O75)-895.24),288.57+0.3*((O75)-2038.11)))),2))</f>
        <v>0</v>
      </c>
      <c r="R75" s="444">
        <f>'[3]DESCUENTO NOVIEMBRE'!$R$78</f>
        <v>82.339999999999989</v>
      </c>
      <c r="S75" s="487">
        <f>+H75+L75+Q75+R75</f>
        <v>133.58999999999997</v>
      </c>
      <c r="T75" s="487">
        <f>+G75-S75</f>
        <v>366.41</v>
      </c>
      <c r="U75" s="440"/>
    </row>
    <row r="76" spans="3:21" s="441" customFormat="1" ht="39.950000000000003" customHeight="1">
      <c r="C76" s="975" t="s">
        <v>807</v>
      </c>
      <c r="D76" s="490" t="s">
        <v>436</v>
      </c>
      <c r="E76" s="486">
        <v>550</v>
      </c>
      <c r="F76" s="444"/>
      <c r="G76" s="486">
        <f>+E76+F76</f>
        <v>550</v>
      </c>
      <c r="H76" s="486">
        <f>+E76*3%</f>
        <v>16.5</v>
      </c>
      <c r="I76" s="486">
        <f>+E76*1%</f>
        <v>5.5</v>
      </c>
      <c r="J76" s="486">
        <f>+E76*7.5%</f>
        <v>41.25</v>
      </c>
      <c r="K76" s="486"/>
      <c r="L76" s="486">
        <f>+E76*7.25%</f>
        <v>39.875</v>
      </c>
      <c r="M76" s="443">
        <f t="shared" si="21"/>
        <v>48.125</v>
      </c>
      <c r="N76" s="486"/>
      <c r="O76" s="446">
        <f>G76-H76-L76</f>
        <v>493.625</v>
      </c>
      <c r="P76" s="486"/>
      <c r="Q76" s="514">
        <f t="shared" si="23"/>
        <v>19.829999999999998</v>
      </c>
      <c r="R76" s="444">
        <f>'[3]DESCUENTO NOVIEMBRE'!$R$79</f>
        <v>0</v>
      </c>
      <c r="S76" s="487">
        <f>+H76+L76+Q76+R76</f>
        <v>76.204999999999998</v>
      </c>
      <c r="T76" s="487">
        <f t="shared" si="24"/>
        <v>473.79500000000002</v>
      </c>
      <c r="U76" s="440"/>
    </row>
    <row r="77" spans="3:21" s="441" customFormat="1" ht="39.950000000000003" customHeight="1">
      <c r="C77" s="975" t="s">
        <v>808</v>
      </c>
      <c r="D77" s="517" t="s">
        <v>806</v>
      </c>
      <c r="E77" s="516">
        <v>500</v>
      </c>
      <c r="F77" s="495">
        <v>16.66</v>
      </c>
      <c r="G77" s="516">
        <f>+E77+F77</f>
        <v>516.66</v>
      </c>
      <c r="H77" s="516">
        <f>G77*3%</f>
        <v>15.499799999999999</v>
      </c>
      <c r="I77" s="486">
        <f>+G77*1%</f>
        <v>5.1665999999999999</v>
      </c>
      <c r="J77" s="516">
        <f>G77*7.5%</f>
        <v>38.749499999999998</v>
      </c>
      <c r="K77" s="516"/>
      <c r="L77" s="516"/>
      <c r="M77" s="443">
        <f t="shared" si="21"/>
        <v>43.75</v>
      </c>
      <c r="N77" s="516">
        <f>G77*6%</f>
        <v>30.999599999999997</v>
      </c>
      <c r="O77" s="446">
        <f>G77-H77-N77</f>
        <v>470.16059999999999</v>
      </c>
      <c r="P77" s="516">
        <f>G77*6%</f>
        <v>30.999599999999997</v>
      </c>
      <c r="Q77" s="514">
        <f t="shared" si="23"/>
        <v>0</v>
      </c>
      <c r="R77" s="444">
        <f>'[3]DESCUENTO NOVIEMBRE'!$R$80</f>
        <v>0</v>
      </c>
      <c r="S77" s="495">
        <f>+H77+N77+R77+Q77</f>
        <v>46.499399999999994</v>
      </c>
      <c r="T77" s="495">
        <f>+G77-S77</f>
        <v>470.16059999999999</v>
      </c>
      <c r="U77" s="440"/>
    </row>
    <row r="78" spans="3:21" s="441" customFormat="1" ht="39.950000000000003" customHeight="1">
      <c r="C78" s="975" t="s">
        <v>809</v>
      </c>
      <c r="D78" s="518" t="s">
        <v>992</v>
      </c>
      <c r="E78" s="516">
        <v>400</v>
      </c>
      <c r="F78" s="495">
        <v>13.33</v>
      </c>
      <c r="G78" s="516">
        <f>E78+F78</f>
        <v>413.33</v>
      </c>
      <c r="H78" s="516"/>
      <c r="I78" s="516">
        <v>0</v>
      </c>
      <c r="J78" s="516">
        <v>0</v>
      </c>
      <c r="K78" s="516">
        <v>0</v>
      </c>
      <c r="L78" s="516"/>
      <c r="M78" s="443">
        <f t="shared" si="21"/>
        <v>35</v>
      </c>
      <c r="N78" s="516"/>
      <c r="O78" s="446">
        <f>G78-H78-L78</f>
        <v>413.33</v>
      </c>
      <c r="P78" s="516"/>
      <c r="Q78" s="514">
        <f t="shared" si="23"/>
        <v>0</v>
      </c>
      <c r="R78" s="495">
        <f>'[3]DESCUENTO NOVIEMBRE'!$R$81</f>
        <v>0</v>
      </c>
      <c r="S78" s="495">
        <f>+H78+K78+R78+Q78</f>
        <v>0</v>
      </c>
      <c r="T78" s="495">
        <f t="shared" si="24"/>
        <v>413.33</v>
      </c>
      <c r="U78" s="440"/>
    </row>
    <row r="79" spans="3:21" s="441" customFormat="1" ht="39.950000000000003" customHeight="1">
      <c r="C79" s="975" t="s">
        <v>811</v>
      </c>
      <c r="D79" s="518" t="s">
        <v>992</v>
      </c>
      <c r="E79" s="516">
        <v>400</v>
      </c>
      <c r="F79" s="495">
        <v>13.33</v>
      </c>
      <c r="G79" s="516">
        <f>E79+F79</f>
        <v>413.33</v>
      </c>
      <c r="H79" s="516">
        <f>G79*3%</f>
        <v>12.399899999999999</v>
      </c>
      <c r="I79" s="516">
        <f>G79*0.01</f>
        <v>4.1333000000000002</v>
      </c>
      <c r="J79" s="516">
        <f>G79*7.5%</f>
        <v>30.999749999999999</v>
      </c>
      <c r="K79" s="516">
        <f>G79*7.25%</f>
        <v>29.966424999999997</v>
      </c>
      <c r="L79" s="516"/>
      <c r="M79" s="443">
        <f t="shared" si="21"/>
        <v>35</v>
      </c>
      <c r="N79" s="516"/>
      <c r="O79" s="446">
        <f>G79-H79-K79</f>
        <v>370.96367499999997</v>
      </c>
      <c r="P79" s="516"/>
      <c r="Q79" s="514">
        <f t="shared" si="23"/>
        <v>0</v>
      </c>
      <c r="R79" s="444">
        <f>'[3]DESCUENTO NOVIEMBRE'!$R$82</f>
        <v>74.53</v>
      </c>
      <c r="S79" s="495">
        <f>+H79+K79+R79+Q79</f>
        <v>116.89632499999999</v>
      </c>
      <c r="T79" s="495">
        <f>+G79-S79</f>
        <v>296.43367499999999</v>
      </c>
      <c r="U79" s="440"/>
    </row>
    <row r="80" spans="3:21" s="441" customFormat="1" ht="39.950000000000003" customHeight="1">
      <c r="C80" s="975" t="s">
        <v>812</v>
      </c>
      <c r="D80" s="518" t="s">
        <v>992</v>
      </c>
      <c r="E80" s="516">
        <v>400</v>
      </c>
      <c r="F80" s="495">
        <v>26.66</v>
      </c>
      <c r="G80" s="516">
        <f>SUM(E80:F80)</f>
        <v>426.66</v>
      </c>
      <c r="H80" s="516">
        <f>G80*3%</f>
        <v>12.799799999999999</v>
      </c>
      <c r="I80" s="516">
        <f>G80*0.01</f>
        <v>4.2666000000000004</v>
      </c>
      <c r="J80" s="516">
        <f>G80*7.5%</f>
        <v>31.999500000000001</v>
      </c>
      <c r="K80" s="516">
        <f>G80*7.25%</f>
        <v>30.932849999999998</v>
      </c>
      <c r="L80" s="516"/>
      <c r="M80" s="443">
        <f t="shared" si="21"/>
        <v>35</v>
      </c>
      <c r="N80" s="516"/>
      <c r="O80" s="446">
        <f>G80-H80-K80</f>
        <v>382.92735000000005</v>
      </c>
      <c r="P80" s="516"/>
      <c r="Q80" s="514">
        <f t="shared" si="23"/>
        <v>0</v>
      </c>
      <c r="R80" s="444">
        <f>'[3]DESCUENTO NOVIEMBRE'!$R$83</f>
        <v>0</v>
      </c>
      <c r="S80" s="495">
        <f>+H80+K80+R80+Q80</f>
        <v>43.73265</v>
      </c>
      <c r="T80" s="495">
        <f t="shared" si="24"/>
        <v>382.92735000000005</v>
      </c>
      <c r="U80" s="440"/>
    </row>
    <row r="81" spans="3:21" s="441" customFormat="1" ht="39.950000000000003" customHeight="1">
      <c r="C81" s="975" t="s">
        <v>813</v>
      </c>
      <c r="D81" s="518" t="s">
        <v>992</v>
      </c>
      <c r="E81" s="516">
        <v>400</v>
      </c>
      <c r="F81" s="495">
        <v>26.66</v>
      </c>
      <c r="G81" s="516">
        <f>+E81+F81</f>
        <v>426.66</v>
      </c>
      <c r="H81" s="516">
        <f>G81*3%</f>
        <v>12.799799999999999</v>
      </c>
      <c r="I81" s="516">
        <f>G81*0.01</f>
        <v>4.2666000000000004</v>
      </c>
      <c r="J81" s="516">
        <f>G81*7.5%</f>
        <v>31.999500000000001</v>
      </c>
      <c r="K81" s="516">
        <f>G81*7.25%</f>
        <v>30.932849999999998</v>
      </c>
      <c r="L81" s="516"/>
      <c r="M81" s="443">
        <f t="shared" si="21"/>
        <v>35</v>
      </c>
      <c r="N81" s="516"/>
      <c r="O81" s="446">
        <f>G81-H81-K81</f>
        <v>382.92735000000005</v>
      </c>
      <c r="P81" s="516"/>
      <c r="Q81" s="514">
        <f t="shared" si="23"/>
        <v>0</v>
      </c>
      <c r="R81" s="444">
        <f>'[3]DESCUENTO NOVIEMBRE'!$R$84</f>
        <v>51</v>
      </c>
      <c r="S81" s="495">
        <f>+H81+K81+R81+Q81</f>
        <v>94.732650000000007</v>
      </c>
      <c r="T81" s="495">
        <f t="shared" si="24"/>
        <v>331.92735000000005</v>
      </c>
      <c r="U81" s="440"/>
    </row>
    <row r="82" spans="3:21" s="441" customFormat="1" ht="39.950000000000003" customHeight="1">
      <c r="C82" s="975" t="s">
        <v>1051</v>
      </c>
      <c r="D82" s="519" t="s">
        <v>810</v>
      </c>
      <c r="E82" s="495">
        <v>400</v>
      </c>
      <c r="F82" s="495">
        <v>26.66</v>
      </c>
      <c r="G82" s="495">
        <f>E82+F82</f>
        <v>426.66</v>
      </c>
      <c r="H82" s="516">
        <f>G82*3%</f>
        <v>12.799799999999999</v>
      </c>
      <c r="I82" s="516">
        <f>G82*0.01</f>
        <v>4.2666000000000004</v>
      </c>
      <c r="J82" s="516">
        <f>G82*7.5%</f>
        <v>31.999500000000001</v>
      </c>
      <c r="K82" s="495"/>
      <c r="L82" s="495">
        <f>G82*7.25%</f>
        <v>30.932849999999998</v>
      </c>
      <c r="M82" s="443">
        <f>+E82*8.75%</f>
        <v>35</v>
      </c>
      <c r="N82" s="495"/>
      <c r="O82" s="443">
        <f>G82-H82-L82</f>
        <v>382.92735000000005</v>
      </c>
      <c r="P82" s="495"/>
      <c r="Q82" s="487">
        <f>(ROUND(IF((O82)&lt;=472,0,IF((O82)&lt;=895.24,17.67+0.1*((O82)-472),IF((O82)&lt;=2038.1,60+0.2*((O82)-895.24),288.57+0.3*((O82)-2038.11)))),2))</f>
        <v>0</v>
      </c>
      <c r="R82" s="444">
        <f>'[3]DESCUENTO NOVIEMBRE'!$R$85</f>
        <v>0</v>
      </c>
      <c r="S82" s="495">
        <f>+H82+L82+R82-Q82</f>
        <v>43.73265</v>
      </c>
      <c r="T82" s="495">
        <f>+G82-S82</f>
        <v>382.92735000000005</v>
      </c>
      <c r="U82" s="520"/>
    </row>
    <row r="83" spans="3:21" s="521" customFormat="1" ht="39.950000000000003" customHeight="1">
      <c r="C83" s="975" t="s">
        <v>1052</v>
      </c>
      <c r="D83" s="519" t="s">
        <v>810</v>
      </c>
      <c r="E83" s="495">
        <v>400</v>
      </c>
      <c r="F83" s="495">
        <v>26.66</v>
      </c>
      <c r="G83" s="495">
        <f>E83+F83</f>
        <v>426.66</v>
      </c>
      <c r="H83" s="516">
        <f>G83*3%</f>
        <v>12.799799999999999</v>
      </c>
      <c r="I83" s="516">
        <f>G83*0.01</f>
        <v>4.2666000000000004</v>
      </c>
      <c r="J83" s="516">
        <f>G83*7.5%</f>
        <v>31.999500000000001</v>
      </c>
      <c r="K83" s="495"/>
      <c r="L83" s="495">
        <f>G83*7.25%</f>
        <v>30.932849999999998</v>
      </c>
      <c r="M83" s="443">
        <f t="shared" si="21"/>
        <v>35</v>
      </c>
      <c r="N83" s="495"/>
      <c r="O83" s="443">
        <f>G83-H83-L83</f>
        <v>382.92735000000005</v>
      </c>
      <c r="P83" s="495"/>
      <c r="Q83" s="487">
        <f t="shared" si="23"/>
        <v>0</v>
      </c>
      <c r="R83" s="444">
        <f>'[3]DESCUENTO NOVIEMBRE'!$R$85</f>
        <v>0</v>
      </c>
      <c r="S83" s="495">
        <f>+H83+L83+R83-Q83</f>
        <v>43.73265</v>
      </c>
      <c r="T83" s="495">
        <f t="shared" si="24"/>
        <v>382.92735000000005</v>
      </c>
      <c r="U83" s="520"/>
    </row>
    <row r="84" spans="3:21" s="441" customFormat="1" ht="39.950000000000003" customHeight="1">
      <c r="C84" s="975" t="s">
        <v>1053</v>
      </c>
      <c r="D84" s="522" t="s">
        <v>814</v>
      </c>
      <c r="E84" s="523">
        <v>400</v>
      </c>
      <c r="F84" s="524"/>
      <c r="G84" s="516">
        <f>E84+F84</f>
        <v>400</v>
      </c>
      <c r="H84" s="516">
        <f>400*3%</f>
        <v>12</v>
      </c>
      <c r="I84" s="516">
        <f>400*0.01</f>
        <v>4</v>
      </c>
      <c r="J84" s="516">
        <f>+E84*7.5%</f>
        <v>30</v>
      </c>
      <c r="K84" s="523"/>
      <c r="L84" s="523">
        <f>+E84*7.25%</f>
        <v>28.999999999999996</v>
      </c>
      <c r="M84" s="443">
        <f t="shared" si="21"/>
        <v>35</v>
      </c>
      <c r="N84" s="523"/>
      <c r="O84" s="446">
        <f>G84-H84-L84</f>
        <v>359</v>
      </c>
      <c r="P84" s="523"/>
      <c r="Q84" s="514">
        <f t="shared" si="23"/>
        <v>0</v>
      </c>
      <c r="R84" s="525">
        <f>'[3]DESCUENTO NOVIEMBRE'!$R$86</f>
        <v>76.22</v>
      </c>
      <c r="S84" s="524">
        <f>+H84+L84+R84</f>
        <v>117.22</v>
      </c>
      <c r="T84" s="524">
        <f t="shared" si="24"/>
        <v>282.77999999999997</v>
      </c>
      <c r="U84" s="440"/>
    </row>
    <row r="85" spans="3:21" s="441" customFormat="1" ht="39.950000000000003" customHeight="1">
      <c r="C85" s="975" t="s">
        <v>1182</v>
      </c>
      <c r="D85" s="522" t="s">
        <v>450</v>
      </c>
      <c r="E85" s="516">
        <v>500</v>
      </c>
      <c r="F85" s="495">
        <v>0</v>
      </c>
      <c r="G85" s="516">
        <f>+E85+F85</f>
        <v>500</v>
      </c>
      <c r="H85" s="516">
        <f>G85*3%</f>
        <v>15</v>
      </c>
      <c r="I85" s="486">
        <f>+G85*1%</f>
        <v>5</v>
      </c>
      <c r="J85" s="516">
        <f>G85*7.5%</f>
        <v>37.5</v>
      </c>
      <c r="K85" s="516"/>
      <c r="L85" s="523">
        <f>+E85*7.25%</f>
        <v>36.25</v>
      </c>
      <c r="M85" s="443">
        <f>+E85*8.75%</f>
        <v>43.75</v>
      </c>
      <c r="N85" s="516">
        <v>0</v>
      </c>
      <c r="O85" s="446">
        <f>G85-H85-L85</f>
        <v>448.75</v>
      </c>
      <c r="P85" s="516">
        <v>0</v>
      </c>
      <c r="Q85" s="514">
        <f t="shared" ref="Q85" si="33">(ROUND(IF((O85)&lt;=472,0,IF((O85)&lt;=895.24,17.67+0.1*((O85)-472),IF((O85)&lt;=2038.1,60+0.2*((O85)-895.24),288.57+0.3*((O85)-2038.11)))),2))</f>
        <v>0</v>
      </c>
      <c r="R85" s="444">
        <f>'[3]DESCUENTO NOVIEMBRE'!$R$80</f>
        <v>0</v>
      </c>
      <c r="S85" s="495">
        <f>+H85+N85+R85+Q85</f>
        <v>15</v>
      </c>
      <c r="T85" s="495">
        <f>+G85-S85</f>
        <v>485</v>
      </c>
      <c r="U85" s="440"/>
    </row>
    <row r="86" spans="3:21" s="441" customFormat="1" ht="35.1" customHeight="1">
      <c r="C86" s="476"/>
      <c r="D86" s="480"/>
      <c r="E86" s="526">
        <f>SUM(E54:E85)</f>
        <v>15350</v>
      </c>
      <c r="F86" s="526">
        <f>SUM(F54:F85)</f>
        <v>149.96</v>
      </c>
      <c r="G86" s="527">
        <f>SUM(G54:G85)</f>
        <v>15499.96</v>
      </c>
      <c r="H86" s="528">
        <f t="shared" ref="H86:S86" si="34">SUM(H54:H84)</f>
        <v>434.59890000000001</v>
      </c>
      <c r="I86" s="526">
        <f t="shared" si="34"/>
        <v>144.86630000000005</v>
      </c>
      <c r="J86" s="526">
        <f t="shared" si="34"/>
        <v>1086.4972499999999</v>
      </c>
      <c r="K86" s="528">
        <f t="shared" si="34"/>
        <v>309.33212499999996</v>
      </c>
      <c r="L86" s="528">
        <f t="shared" si="34"/>
        <v>652.74070000000006</v>
      </c>
      <c r="M86" s="526">
        <f t="shared" si="34"/>
        <v>1299.375</v>
      </c>
      <c r="N86" s="528">
        <f t="shared" si="34"/>
        <v>54.999600000000001</v>
      </c>
      <c r="O86" s="528">
        <f t="shared" si="34"/>
        <v>13548.288675</v>
      </c>
      <c r="P86" s="526">
        <f t="shared" si="34"/>
        <v>54.999600000000001</v>
      </c>
      <c r="Q86" s="528">
        <f t="shared" si="34"/>
        <v>205.08999999999997</v>
      </c>
      <c r="R86" s="526">
        <f t="shared" si="34"/>
        <v>1231.21</v>
      </c>
      <c r="S86" s="526">
        <f t="shared" si="34"/>
        <v>2846.971325</v>
      </c>
      <c r="T86" s="528">
        <f>SUM(T54:T84)+0.01</f>
        <v>11752.988675000001</v>
      </c>
      <c r="U86" s="440"/>
    </row>
    <row r="87" spans="3:21" ht="18" customHeight="1">
      <c r="C87" s="530"/>
      <c r="D87" s="529"/>
      <c r="G87" s="508"/>
      <c r="H87" s="508"/>
      <c r="I87" s="509"/>
      <c r="J87" s="509"/>
      <c r="K87" s="509"/>
      <c r="N87" s="508"/>
      <c r="O87" s="508"/>
      <c r="P87" s="508"/>
      <c r="Q87" s="508"/>
      <c r="R87" s="509"/>
      <c r="S87" s="531"/>
      <c r="T87" s="531"/>
    </row>
    <row r="88" spans="3:21" ht="18" customHeight="1">
      <c r="C88" s="530"/>
      <c r="D88" s="529"/>
      <c r="G88" s="508"/>
      <c r="H88" s="508"/>
      <c r="I88" s="509"/>
      <c r="J88" s="509"/>
      <c r="K88" s="509"/>
      <c r="N88" s="508"/>
      <c r="O88" s="508"/>
      <c r="P88" s="508"/>
      <c r="Q88" s="508"/>
      <c r="R88" s="509"/>
      <c r="S88" s="531"/>
      <c r="T88" s="531"/>
    </row>
    <row r="89" spans="3:21" ht="18" customHeight="1">
      <c r="C89" s="530"/>
      <c r="D89" s="529"/>
      <c r="G89" s="508"/>
      <c r="H89" s="508"/>
      <c r="I89" s="509"/>
      <c r="J89" s="509"/>
      <c r="K89" s="509"/>
      <c r="N89" s="508"/>
      <c r="O89" s="508"/>
      <c r="P89" s="508"/>
      <c r="Q89" s="508"/>
      <c r="R89" s="509"/>
      <c r="S89" s="531"/>
      <c r="T89" s="531"/>
    </row>
    <row r="90" spans="3:21" ht="18" customHeight="1">
      <c r="C90" s="530"/>
      <c r="D90" s="529"/>
      <c r="G90" s="508"/>
      <c r="H90" s="508"/>
      <c r="I90" s="509"/>
      <c r="J90" s="509"/>
      <c r="K90" s="509"/>
      <c r="N90" s="508"/>
      <c r="O90" s="508"/>
      <c r="P90" s="508"/>
      <c r="Q90" s="508"/>
      <c r="R90" s="509"/>
      <c r="S90" s="531"/>
      <c r="T90" s="531"/>
    </row>
    <row r="91" spans="3:21" ht="18" customHeight="1">
      <c r="C91" s="530"/>
      <c r="D91" s="529"/>
      <c r="G91" s="508"/>
      <c r="H91" s="508"/>
      <c r="I91" s="509"/>
      <c r="J91" s="509"/>
      <c r="K91" s="509"/>
      <c r="N91" s="508"/>
      <c r="O91" s="508"/>
      <c r="P91" s="508"/>
      <c r="Q91" s="508"/>
      <c r="R91" s="509"/>
      <c r="S91" s="531"/>
      <c r="T91" s="531"/>
    </row>
    <row r="92" spans="3:21" ht="18" customHeight="1">
      <c r="C92" s="530"/>
      <c r="D92" s="529"/>
      <c r="G92" s="508"/>
      <c r="H92" s="508"/>
      <c r="I92" s="509"/>
      <c r="J92" s="509"/>
      <c r="K92" s="509"/>
      <c r="N92" s="508"/>
      <c r="O92" s="508"/>
      <c r="P92" s="508"/>
      <c r="Q92" s="508"/>
      <c r="R92" s="509"/>
      <c r="S92" s="531"/>
      <c r="T92" s="531"/>
    </row>
    <row r="93" spans="3:21" ht="18" customHeight="1">
      <c r="C93" s="530"/>
      <c r="D93" s="529"/>
      <c r="G93" s="508"/>
      <c r="H93" s="508"/>
      <c r="I93" s="509"/>
      <c r="J93" s="509"/>
      <c r="K93" s="509"/>
      <c r="N93" s="508"/>
      <c r="O93" s="508"/>
      <c r="P93" s="508"/>
      <c r="Q93" s="508"/>
      <c r="R93" s="509"/>
      <c r="S93" s="531"/>
      <c r="T93" s="531"/>
    </row>
    <row r="94" spans="3:21" ht="18" customHeight="1">
      <c r="C94" s="530"/>
      <c r="D94" s="529"/>
      <c r="G94" s="508"/>
      <c r="H94" s="508"/>
      <c r="I94" s="509"/>
      <c r="J94" s="509"/>
      <c r="K94" s="509"/>
      <c r="N94" s="508"/>
      <c r="O94" s="508"/>
      <c r="P94" s="508"/>
      <c r="Q94" s="508"/>
      <c r="R94" s="509"/>
      <c r="S94" s="531"/>
      <c r="T94" s="531"/>
    </row>
    <row r="95" spans="3:21" ht="18" customHeight="1">
      <c r="C95" s="530"/>
      <c r="D95" s="529"/>
      <c r="G95" s="508"/>
      <c r="H95" s="508"/>
      <c r="I95" s="509"/>
      <c r="J95" s="509"/>
      <c r="K95" s="509"/>
      <c r="N95" s="508"/>
      <c r="O95" s="508"/>
      <c r="P95" s="508"/>
      <c r="Q95" s="508"/>
      <c r="R95" s="509"/>
      <c r="S95" s="531"/>
      <c r="T95" s="531"/>
    </row>
    <row r="96" spans="3:21" ht="18" customHeight="1">
      <c r="C96" s="530"/>
      <c r="D96" s="529"/>
      <c r="G96" s="508"/>
      <c r="H96" s="508"/>
      <c r="I96" s="509"/>
      <c r="J96" s="509"/>
      <c r="K96" s="509"/>
      <c r="N96" s="508"/>
      <c r="O96" s="508"/>
      <c r="P96" s="508"/>
      <c r="Q96" s="508"/>
      <c r="R96" s="509"/>
      <c r="S96" s="531"/>
      <c r="T96" s="531"/>
    </row>
    <row r="97" spans="3:20" ht="18" customHeight="1">
      <c r="C97" s="530"/>
      <c r="D97" s="529"/>
      <c r="G97" s="508"/>
      <c r="H97" s="508"/>
      <c r="I97" s="509"/>
      <c r="J97" s="509"/>
      <c r="K97" s="509"/>
      <c r="N97" s="508"/>
      <c r="O97" s="508"/>
      <c r="P97" s="508"/>
      <c r="Q97" s="508"/>
      <c r="R97" s="509"/>
      <c r="S97" s="531"/>
      <c r="T97" s="531"/>
    </row>
    <row r="98" spans="3:20" ht="18" customHeight="1">
      <c r="C98" s="530"/>
      <c r="D98" s="529"/>
      <c r="G98" s="508"/>
      <c r="H98" s="508"/>
      <c r="I98" s="509"/>
      <c r="J98" s="509"/>
      <c r="K98" s="509"/>
      <c r="N98" s="508"/>
      <c r="O98" s="508"/>
      <c r="P98" s="508"/>
      <c r="Q98" s="508"/>
      <c r="R98" s="509"/>
      <c r="S98" s="531"/>
      <c r="T98" s="531"/>
    </row>
    <row r="99" spans="3:20" ht="18" customHeight="1">
      <c r="C99" s="530"/>
      <c r="D99" s="529"/>
      <c r="G99" s="508"/>
      <c r="H99" s="508"/>
      <c r="I99" s="509"/>
      <c r="J99" s="509"/>
      <c r="K99" s="509"/>
      <c r="N99" s="508"/>
      <c r="O99" s="508"/>
      <c r="P99" s="508"/>
      <c r="Q99" s="508"/>
      <c r="R99" s="509"/>
      <c r="S99" s="531"/>
      <c r="T99" s="531"/>
    </row>
    <row r="100" spans="3:20" ht="18" customHeight="1">
      <c r="C100" s="530"/>
      <c r="D100" s="529"/>
      <c r="G100" s="508"/>
      <c r="H100" s="508"/>
      <c r="I100" s="509"/>
      <c r="J100" s="509"/>
      <c r="K100" s="509"/>
      <c r="N100" s="508"/>
      <c r="O100" s="508"/>
      <c r="P100" s="508"/>
      <c r="Q100" s="508"/>
      <c r="R100" s="509"/>
      <c r="S100" s="531"/>
      <c r="T100" s="531"/>
    </row>
    <row r="101" spans="3:20" ht="18" customHeight="1">
      <c r="C101" s="530"/>
      <c r="D101" s="529"/>
      <c r="G101" s="508"/>
      <c r="H101" s="508"/>
      <c r="I101" s="509"/>
      <c r="J101" s="509"/>
      <c r="K101" s="509"/>
      <c r="N101" s="508"/>
      <c r="O101" s="508"/>
      <c r="P101" s="508"/>
      <c r="Q101" s="508"/>
      <c r="R101" s="509"/>
      <c r="S101" s="531"/>
      <c r="T101" s="531"/>
    </row>
  </sheetData>
  <mergeCells count="26">
    <mergeCell ref="C53:D53"/>
    <mergeCell ref="T7:T8"/>
    <mergeCell ref="U7:U8"/>
    <mergeCell ref="C9:U9"/>
    <mergeCell ref="C17:D17"/>
    <mergeCell ref="C51:D51"/>
    <mergeCell ref="N7:N8"/>
    <mergeCell ref="O7:O8"/>
    <mergeCell ref="P7:P8"/>
    <mergeCell ref="Q7:Q8"/>
    <mergeCell ref="R7:R8"/>
    <mergeCell ref="S7:S8"/>
    <mergeCell ref="G7:G8"/>
    <mergeCell ref="H7:H8"/>
    <mergeCell ref="I7:I8"/>
    <mergeCell ref="J7:J8"/>
    <mergeCell ref="C1:U1"/>
    <mergeCell ref="C2:U2"/>
    <mergeCell ref="C3:U3"/>
    <mergeCell ref="E5:F5"/>
    <mergeCell ref="K7:L7"/>
    <mergeCell ref="M7:M8"/>
    <mergeCell ref="C7:C8"/>
    <mergeCell ref="D7:D8"/>
    <mergeCell ref="E7:E8"/>
    <mergeCell ref="F7:F8"/>
  </mergeCells>
  <phoneticPr fontId="107" type="noConversion"/>
  <pageMargins left="0.9055118110236221" right="0.31496062992125984" top="0.74803149606299213" bottom="0.74803149606299213" header="0.31496062992125984" footer="0.31496062992125984"/>
  <pageSetup paperSize="5" scale="75" orientation="landscape" r:id="rId1"/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O137"/>
  <sheetViews>
    <sheetView topLeftCell="A16" workbookViewId="0">
      <selection activeCell="I121" sqref="I121"/>
    </sheetView>
  </sheetViews>
  <sheetFormatPr baseColWidth="10" defaultColWidth="11.42578125" defaultRowHeight="12.75"/>
  <cols>
    <col min="1" max="1" width="7" style="36" customWidth="1"/>
    <col min="2" max="2" width="17" style="36" customWidth="1"/>
    <col min="3" max="5" width="15.140625" style="36" customWidth="1"/>
    <col min="6" max="6" width="15.5703125" style="36" customWidth="1"/>
    <col min="7" max="7" width="11.42578125" style="36" customWidth="1"/>
    <col min="8" max="9" width="12.85546875" style="36" customWidth="1"/>
    <col min="10" max="10" width="13.7109375" style="36" customWidth="1"/>
    <col min="11" max="11" width="15.140625" style="36" customWidth="1"/>
    <col min="12" max="12" width="12" style="36" customWidth="1"/>
    <col min="13" max="14" width="15.140625" style="36" customWidth="1"/>
    <col min="15" max="15" width="15" style="36" customWidth="1"/>
    <col min="16" max="16384" width="11.42578125" style="36"/>
  </cols>
  <sheetData>
    <row r="1" spans="1:15" ht="14.25">
      <c r="A1" s="1182"/>
      <c r="B1" s="1182"/>
      <c r="C1" s="1182"/>
      <c r="D1" s="1182"/>
      <c r="E1" s="1182"/>
      <c r="F1" s="1182"/>
      <c r="G1" s="1182"/>
      <c r="H1" s="1182"/>
      <c r="I1" s="1182"/>
      <c r="J1" s="1182"/>
      <c r="K1" s="1182"/>
      <c r="L1" s="1182"/>
      <c r="M1" s="1182"/>
      <c r="N1" s="1182"/>
      <c r="O1" s="1182"/>
    </row>
    <row r="2" spans="1:15">
      <c r="A2" s="1026" t="s">
        <v>327</v>
      </c>
      <c r="B2" s="1026"/>
      <c r="C2" s="1026"/>
      <c r="D2" s="1026"/>
      <c r="E2" s="1026"/>
      <c r="F2" s="1026"/>
      <c r="G2" s="1026"/>
      <c r="H2" s="1026"/>
      <c r="I2" s="1026"/>
      <c r="J2" s="1026"/>
      <c r="K2" s="1026"/>
      <c r="L2" s="1026"/>
      <c r="M2" s="1026"/>
      <c r="N2" s="1026"/>
      <c r="O2" s="1026"/>
    </row>
    <row r="3" spans="1:15" ht="13.5" thickBot="1">
      <c r="A3" s="1207" t="s">
        <v>329</v>
      </c>
      <c r="B3" s="1207"/>
      <c r="C3" s="1207"/>
      <c r="D3" s="1207"/>
      <c r="E3" s="1207"/>
      <c r="F3" s="1207"/>
      <c r="G3" s="1207"/>
      <c r="H3" s="1207"/>
      <c r="I3" s="1207"/>
      <c r="J3" s="1207"/>
      <c r="K3" s="1207"/>
      <c r="L3" s="1207"/>
      <c r="M3" s="1207"/>
      <c r="N3" s="1207"/>
      <c r="O3" s="1207"/>
    </row>
    <row r="4" spans="1:15" ht="13.5" thickBot="1">
      <c r="A4" s="1262" t="s">
        <v>221</v>
      </c>
      <c r="B4" s="1265" t="s">
        <v>477</v>
      </c>
      <c r="C4" s="1266"/>
      <c r="D4" s="1267"/>
      <c r="E4" s="1267"/>
      <c r="F4" s="1267"/>
      <c r="G4" s="1268"/>
      <c r="H4" s="1307" t="s">
        <v>222</v>
      </c>
      <c r="I4" s="1308"/>
      <c r="J4" s="1309"/>
      <c r="K4" s="103"/>
      <c r="L4" s="103"/>
      <c r="M4" s="102" t="s">
        <v>225</v>
      </c>
      <c r="N4" s="102" t="s">
        <v>225</v>
      </c>
      <c r="O4" s="1259"/>
    </row>
    <row r="5" spans="1:15" ht="26.25" thickBot="1">
      <c r="A5" s="1263"/>
      <c r="B5" s="1265"/>
      <c r="C5" s="1303" t="s">
        <v>478</v>
      </c>
      <c r="D5" s="133" t="s">
        <v>497</v>
      </c>
      <c r="E5" s="133" t="s">
        <v>498</v>
      </c>
      <c r="F5" s="104" t="s">
        <v>479</v>
      </c>
      <c r="G5" s="104" t="s">
        <v>480</v>
      </c>
      <c r="H5" s="1305" t="s">
        <v>229</v>
      </c>
      <c r="I5" s="1305" t="s">
        <v>251</v>
      </c>
      <c r="J5" s="105" t="s">
        <v>223</v>
      </c>
      <c r="K5" s="140" t="s">
        <v>343</v>
      </c>
      <c r="L5" s="106" t="s">
        <v>225</v>
      </c>
      <c r="M5" s="106" t="s">
        <v>343</v>
      </c>
      <c r="N5" s="107" t="s">
        <v>481</v>
      </c>
      <c r="O5" s="1260"/>
    </row>
    <row r="6" spans="1:15" ht="13.5" thickBot="1">
      <c r="A6" s="1264"/>
      <c r="B6" s="1265"/>
      <c r="C6" s="1304"/>
      <c r="D6" s="109"/>
      <c r="E6" s="109"/>
      <c r="F6" s="108"/>
      <c r="G6" s="108"/>
      <c r="H6" s="1306"/>
      <c r="I6" s="1306"/>
      <c r="J6" s="109" t="s">
        <v>482</v>
      </c>
      <c r="K6" s="109"/>
      <c r="L6" s="108" t="s">
        <v>482</v>
      </c>
      <c r="M6" s="108"/>
      <c r="N6" s="108"/>
      <c r="O6" s="1261"/>
    </row>
    <row r="7" spans="1:15">
      <c r="A7" s="58">
        <v>1</v>
      </c>
      <c r="B7" s="110" t="s">
        <v>77</v>
      </c>
      <c r="C7" s="111">
        <v>2500</v>
      </c>
      <c r="D7" s="111"/>
      <c r="E7" s="111"/>
      <c r="F7" s="95">
        <v>200</v>
      </c>
      <c r="G7" s="95">
        <f t="shared" ref="G7:G70" si="0">+C7</f>
        <v>2500</v>
      </c>
      <c r="H7" s="112"/>
      <c r="I7" s="112"/>
      <c r="J7" s="112"/>
      <c r="K7" s="113"/>
      <c r="L7" s="114"/>
      <c r="M7" s="114"/>
      <c r="N7" s="114">
        <f t="shared" ref="N7:N12" si="1">+C7*12</f>
        <v>30000</v>
      </c>
      <c r="O7" s="59">
        <f t="shared" ref="O7:O12" si="2">+F7+G7+L7+M7+N7</f>
        <v>32700</v>
      </c>
    </row>
    <row r="8" spans="1:15">
      <c r="A8" s="58">
        <v>2</v>
      </c>
      <c r="B8" s="37" t="s">
        <v>77</v>
      </c>
      <c r="C8" s="111">
        <v>440</v>
      </c>
      <c r="D8" s="111"/>
      <c r="E8" s="111"/>
      <c r="F8" s="95">
        <v>200</v>
      </c>
      <c r="G8" s="95">
        <f t="shared" si="0"/>
        <v>440</v>
      </c>
      <c r="H8" s="112">
        <v>33</v>
      </c>
      <c r="I8" s="112">
        <v>4.4000000000000004</v>
      </c>
      <c r="J8" s="112">
        <f>SUM(H8:I8)</f>
        <v>37.4</v>
      </c>
      <c r="K8" s="113">
        <v>34.1</v>
      </c>
      <c r="L8" s="114">
        <f t="shared" ref="L8:M12" si="3">+J8*12</f>
        <v>448.79999999999995</v>
      </c>
      <c r="M8" s="114">
        <f t="shared" si="3"/>
        <v>409.20000000000005</v>
      </c>
      <c r="N8" s="114">
        <f t="shared" si="1"/>
        <v>5280</v>
      </c>
      <c r="O8" s="59">
        <f t="shared" si="2"/>
        <v>6778</v>
      </c>
    </row>
    <row r="9" spans="1:15">
      <c r="A9" s="58">
        <v>3</v>
      </c>
      <c r="B9" s="37" t="s">
        <v>77</v>
      </c>
      <c r="C9" s="111">
        <v>1800</v>
      </c>
      <c r="D9" s="111"/>
      <c r="E9" s="111"/>
      <c r="F9" s="95">
        <v>200</v>
      </c>
      <c r="G9" s="95">
        <f t="shared" si="0"/>
        <v>1800</v>
      </c>
      <c r="H9" s="112">
        <v>75</v>
      </c>
      <c r="I9" s="112"/>
      <c r="J9" s="112">
        <f>SUM(H9:I9)</f>
        <v>75</v>
      </c>
      <c r="K9" s="113"/>
      <c r="L9" s="114">
        <f t="shared" si="3"/>
        <v>900</v>
      </c>
      <c r="M9" s="114">
        <f t="shared" si="3"/>
        <v>0</v>
      </c>
      <c r="N9" s="114">
        <f t="shared" si="1"/>
        <v>21600</v>
      </c>
      <c r="O9" s="59">
        <f t="shared" si="2"/>
        <v>24500</v>
      </c>
    </row>
    <row r="10" spans="1:15">
      <c r="A10" s="58">
        <v>4</v>
      </c>
      <c r="B10" s="37" t="s">
        <v>77</v>
      </c>
      <c r="C10" s="111">
        <v>813.05</v>
      </c>
      <c r="D10" s="111"/>
      <c r="E10" s="111"/>
      <c r="F10" s="95">
        <v>200</v>
      </c>
      <c r="G10" s="95">
        <f t="shared" si="0"/>
        <v>813.05</v>
      </c>
      <c r="H10" s="112">
        <v>60.98</v>
      </c>
      <c r="I10" s="112">
        <v>8.1300000000000008</v>
      </c>
      <c r="J10" s="112">
        <f>SUM(H10:I10)</f>
        <v>69.11</v>
      </c>
      <c r="K10" s="113">
        <v>63.01</v>
      </c>
      <c r="L10" s="114">
        <f t="shared" si="3"/>
        <v>829.31999999999994</v>
      </c>
      <c r="M10" s="114">
        <f t="shared" si="3"/>
        <v>756.12</v>
      </c>
      <c r="N10" s="114">
        <f t="shared" si="1"/>
        <v>9756.5999999999985</v>
      </c>
      <c r="O10" s="59">
        <f t="shared" si="2"/>
        <v>12355.089999999998</v>
      </c>
    </row>
    <row r="11" spans="1:15">
      <c r="A11" s="58">
        <v>5</v>
      </c>
      <c r="B11" s="37" t="s">
        <v>77</v>
      </c>
      <c r="C11" s="111">
        <v>484</v>
      </c>
      <c r="D11" s="139">
        <v>66</v>
      </c>
      <c r="E11" s="111">
        <f>+C11+D11</f>
        <v>550</v>
      </c>
      <c r="F11" s="95">
        <v>200</v>
      </c>
      <c r="G11" s="95">
        <f t="shared" si="0"/>
        <v>484</v>
      </c>
      <c r="H11" s="112">
        <f>+E11*7.5%</f>
        <v>41.25</v>
      </c>
      <c r="I11" s="112">
        <f>+E11*1%</f>
        <v>5.5</v>
      </c>
      <c r="J11" s="112">
        <f>SUM(H11:I11)</f>
        <v>46.75</v>
      </c>
      <c r="K11" s="113">
        <f>+E11*7.75%</f>
        <v>42.625</v>
      </c>
      <c r="L11" s="114">
        <f t="shared" si="3"/>
        <v>561</v>
      </c>
      <c r="M11" s="114">
        <f t="shared" si="3"/>
        <v>511.5</v>
      </c>
      <c r="N11" s="114">
        <f t="shared" si="1"/>
        <v>5808</v>
      </c>
      <c r="O11" s="59">
        <f t="shared" si="2"/>
        <v>7564.5</v>
      </c>
    </row>
    <row r="12" spans="1:15">
      <c r="A12" s="58">
        <v>6</v>
      </c>
      <c r="B12" s="37" t="s">
        <v>77</v>
      </c>
      <c r="C12" s="111">
        <v>1500</v>
      </c>
      <c r="D12" s="111"/>
      <c r="E12" s="111"/>
      <c r="F12" s="95">
        <v>200</v>
      </c>
      <c r="G12" s="95">
        <f t="shared" si="0"/>
        <v>1500</v>
      </c>
      <c r="H12" s="112">
        <v>75</v>
      </c>
      <c r="I12" s="112">
        <v>10</v>
      </c>
      <c r="J12" s="112">
        <f>SUM(H12:I12)</f>
        <v>85</v>
      </c>
      <c r="K12" s="113">
        <v>116.25</v>
      </c>
      <c r="L12" s="114">
        <f t="shared" si="3"/>
        <v>1020</v>
      </c>
      <c r="M12" s="114">
        <f t="shared" si="3"/>
        <v>1395</v>
      </c>
      <c r="N12" s="114">
        <f t="shared" si="1"/>
        <v>18000</v>
      </c>
      <c r="O12" s="59">
        <f t="shared" si="2"/>
        <v>22115</v>
      </c>
    </row>
    <row r="13" spans="1:15">
      <c r="A13" s="115"/>
      <c r="B13" s="116"/>
      <c r="C13" s="117">
        <f>SUM(C7:C12)</f>
        <v>7537.05</v>
      </c>
      <c r="D13" s="117">
        <f>SUM(D7:D12)</f>
        <v>66</v>
      </c>
      <c r="E13" s="117">
        <f>SUM(E7:E12)</f>
        <v>550</v>
      </c>
      <c r="F13" s="117">
        <f t="shared" ref="F13:O13" si="4">SUM(F7:F12)</f>
        <v>1200</v>
      </c>
      <c r="G13" s="117">
        <f t="shared" si="4"/>
        <v>7537.05</v>
      </c>
      <c r="H13" s="117">
        <f t="shared" si="4"/>
        <v>285.23</v>
      </c>
      <c r="I13" s="117">
        <f t="shared" si="4"/>
        <v>28.03</v>
      </c>
      <c r="J13" s="117">
        <f t="shared" si="4"/>
        <v>313.26</v>
      </c>
      <c r="K13" s="117">
        <f t="shared" si="4"/>
        <v>255.98500000000001</v>
      </c>
      <c r="L13" s="117">
        <f t="shared" si="4"/>
        <v>3759.12</v>
      </c>
      <c r="M13" s="117">
        <f t="shared" si="4"/>
        <v>3071.82</v>
      </c>
      <c r="N13" s="117">
        <f t="shared" si="4"/>
        <v>90444.6</v>
      </c>
      <c r="O13" s="117">
        <f t="shared" si="4"/>
        <v>106012.59</v>
      </c>
    </row>
    <row r="14" spans="1:15">
      <c r="A14" s="58"/>
      <c r="B14" s="37"/>
      <c r="C14" s="118"/>
      <c r="D14" s="118"/>
      <c r="E14" s="118"/>
      <c r="F14" s="118"/>
      <c r="G14" s="118"/>
      <c r="H14" s="119"/>
      <c r="I14" s="119"/>
      <c r="J14" s="119"/>
      <c r="K14" s="118"/>
      <c r="L14" s="119"/>
      <c r="M14" s="119"/>
      <c r="N14" s="119"/>
      <c r="O14" s="119"/>
    </row>
    <row r="15" spans="1:15">
      <c r="A15" s="58">
        <v>1</v>
      </c>
      <c r="B15" s="120" t="s">
        <v>77</v>
      </c>
      <c r="C15" s="62">
        <v>880</v>
      </c>
      <c r="D15" s="62"/>
      <c r="E15" s="62"/>
      <c r="F15" s="95"/>
      <c r="G15" s="121"/>
      <c r="H15" s="122"/>
      <c r="I15" s="123"/>
      <c r="J15" s="122"/>
      <c r="K15" s="122"/>
      <c r="L15" s="114">
        <f>+K15*12</f>
        <v>0</v>
      </c>
      <c r="M15" s="114">
        <f t="shared" ref="M15:M26" si="5">+K15*12</f>
        <v>0</v>
      </c>
      <c r="N15" s="114">
        <f t="shared" ref="N15:N26" si="6">+C15*12</f>
        <v>10560</v>
      </c>
      <c r="O15" s="59">
        <f t="shared" ref="O15:O26" si="7">+F15+G15+L15+M15+N15</f>
        <v>10560</v>
      </c>
    </row>
    <row r="16" spans="1:15">
      <c r="A16" s="58">
        <v>2</v>
      </c>
      <c r="B16" s="120" t="s">
        <v>77</v>
      </c>
      <c r="C16" s="62">
        <v>880</v>
      </c>
      <c r="D16" s="62"/>
      <c r="E16" s="62"/>
      <c r="F16" s="95"/>
      <c r="G16" s="121"/>
      <c r="H16" s="122"/>
      <c r="I16" s="123"/>
      <c r="J16" s="122"/>
      <c r="K16" s="122"/>
      <c r="L16" s="114">
        <f>+K16*12</f>
        <v>0</v>
      </c>
      <c r="M16" s="114">
        <f t="shared" si="5"/>
        <v>0</v>
      </c>
      <c r="N16" s="114">
        <f t="shared" si="6"/>
        <v>10560</v>
      </c>
      <c r="O16" s="59">
        <f t="shared" si="7"/>
        <v>10560</v>
      </c>
    </row>
    <row r="17" spans="1:15">
      <c r="A17" s="58">
        <v>3</v>
      </c>
      <c r="B17" s="120" t="s">
        <v>77</v>
      </c>
      <c r="C17" s="62">
        <v>880</v>
      </c>
      <c r="D17" s="62"/>
      <c r="E17" s="62"/>
      <c r="F17" s="95"/>
      <c r="G17" s="121"/>
      <c r="H17" s="122">
        <v>66</v>
      </c>
      <c r="I17" s="123">
        <v>8.8000000000000007</v>
      </c>
      <c r="J17" s="122">
        <f>SUM(H17:I17)</f>
        <v>74.8</v>
      </c>
      <c r="K17" s="122">
        <v>68.2</v>
      </c>
      <c r="L17" s="114">
        <f t="shared" ref="L17:L26" si="8">+J17*12</f>
        <v>897.59999999999991</v>
      </c>
      <c r="M17" s="114">
        <f t="shared" si="5"/>
        <v>818.40000000000009</v>
      </c>
      <c r="N17" s="114">
        <f t="shared" si="6"/>
        <v>10560</v>
      </c>
      <c r="O17" s="59">
        <f t="shared" si="7"/>
        <v>12276</v>
      </c>
    </row>
    <row r="18" spans="1:15">
      <c r="A18" s="58">
        <v>4</v>
      </c>
      <c r="B18" s="120" t="s">
        <v>77</v>
      </c>
      <c r="C18" s="62">
        <v>880</v>
      </c>
      <c r="D18" s="62"/>
      <c r="E18" s="62"/>
      <c r="F18" s="95"/>
      <c r="G18" s="121"/>
      <c r="H18" s="122">
        <v>66</v>
      </c>
      <c r="I18" s="123">
        <v>8.8000000000000007</v>
      </c>
      <c r="J18" s="122">
        <f t="shared" ref="J18:J26" si="9">SUM(H18:I18)</f>
        <v>74.8</v>
      </c>
      <c r="K18" s="122">
        <v>68.2</v>
      </c>
      <c r="L18" s="114">
        <f t="shared" si="8"/>
        <v>897.59999999999991</v>
      </c>
      <c r="M18" s="114">
        <f t="shared" si="5"/>
        <v>818.40000000000009</v>
      </c>
      <c r="N18" s="114">
        <f t="shared" si="6"/>
        <v>10560</v>
      </c>
      <c r="O18" s="59">
        <f t="shared" si="7"/>
        <v>12276</v>
      </c>
    </row>
    <row r="19" spans="1:15">
      <c r="A19" s="58">
        <v>5</v>
      </c>
      <c r="B19" s="120" t="s">
        <v>77</v>
      </c>
      <c r="C19" s="62">
        <v>880</v>
      </c>
      <c r="D19" s="62"/>
      <c r="E19" s="62"/>
      <c r="F19" s="95"/>
      <c r="G19" s="121"/>
      <c r="H19" s="122"/>
      <c r="I19" s="123"/>
      <c r="J19" s="122">
        <f t="shared" si="9"/>
        <v>0</v>
      </c>
      <c r="K19" s="122"/>
      <c r="L19" s="114">
        <f t="shared" si="8"/>
        <v>0</v>
      </c>
      <c r="M19" s="114">
        <f t="shared" si="5"/>
        <v>0</v>
      </c>
      <c r="N19" s="114">
        <f t="shared" si="6"/>
        <v>10560</v>
      </c>
      <c r="O19" s="59">
        <f t="shared" si="7"/>
        <v>10560</v>
      </c>
    </row>
    <row r="20" spans="1:15">
      <c r="A20" s="58">
        <v>6</v>
      </c>
      <c r="B20" s="120" t="s">
        <v>77</v>
      </c>
      <c r="C20" s="62">
        <v>880</v>
      </c>
      <c r="D20" s="62"/>
      <c r="E20" s="62"/>
      <c r="F20" s="95"/>
      <c r="G20" s="121"/>
      <c r="H20" s="122"/>
      <c r="I20" s="123"/>
      <c r="J20" s="122">
        <f t="shared" si="9"/>
        <v>0</v>
      </c>
      <c r="K20" s="122"/>
      <c r="L20" s="114">
        <f t="shared" si="8"/>
        <v>0</v>
      </c>
      <c r="M20" s="114">
        <f t="shared" si="5"/>
        <v>0</v>
      </c>
      <c r="N20" s="114">
        <f t="shared" si="6"/>
        <v>10560</v>
      </c>
      <c r="O20" s="59">
        <f t="shared" si="7"/>
        <v>10560</v>
      </c>
    </row>
    <row r="21" spans="1:15">
      <c r="A21" s="58">
        <v>7</v>
      </c>
      <c r="B21" s="120" t="s">
        <v>77</v>
      </c>
      <c r="C21" s="62">
        <v>880</v>
      </c>
      <c r="D21" s="62"/>
      <c r="E21" s="62"/>
      <c r="F21" s="95"/>
      <c r="G21" s="121"/>
      <c r="H21" s="122">
        <v>66</v>
      </c>
      <c r="I21" s="123">
        <v>8.8000000000000007</v>
      </c>
      <c r="J21" s="122">
        <f t="shared" si="9"/>
        <v>74.8</v>
      </c>
      <c r="K21" s="122">
        <v>68.2</v>
      </c>
      <c r="L21" s="114">
        <f t="shared" si="8"/>
        <v>897.59999999999991</v>
      </c>
      <c r="M21" s="114">
        <f t="shared" si="5"/>
        <v>818.40000000000009</v>
      </c>
      <c r="N21" s="114">
        <f t="shared" si="6"/>
        <v>10560</v>
      </c>
      <c r="O21" s="59">
        <f t="shared" si="7"/>
        <v>12276</v>
      </c>
    </row>
    <row r="22" spans="1:15">
      <c r="A22" s="58">
        <v>8</v>
      </c>
      <c r="B22" s="120" t="s">
        <v>77</v>
      </c>
      <c r="C22" s="62">
        <v>880</v>
      </c>
      <c r="D22" s="62"/>
      <c r="E22" s="62"/>
      <c r="F22" s="95"/>
      <c r="G22" s="121"/>
      <c r="H22" s="122">
        <v>66</v>
      </c>
      <c r="I22" s="123">
        <v>8.8000000000000007</v>
      </c>
      <c r="J22" s="122">
        <f t="shared" si="9"/>
        <v>74.8</v>
      </c>
      <c r="K22" s="122">
        <v>68.2</v>
      </c>
      <c r="L22" s="114">
        <f t="shared" si="8"/>
        <v>897.59999999999991</v>
      </c>
      <c r="M22" s="114">
        <f t="shared" si="5"/>
        <v>818.40000000000009</v>
      </c>
      <c r="N22" s="114">
        <f t="shared" si="6"/>
        <v>10560</v>
      </c>
      <c r="O22" s="59">
        <f t="shared" si="7"/>
        <v>12276</v>
      </c>
    </row>
    <row r="23" spans="1:15">
      <c r="A23" s="58">
        <v>9</v>
      </c>
      <c r="B23" s="120" t="s">
        <v>77</v>
      </c>
      <c r="C23" s="62">
        <v>880</v>
      </c>
      <c r="D23" s="62"/>
      <c r="E23" s="62"/>
      <c r="F23" s="95"/>
      <c r="G23" s="121"/>
      <c r="H23" s="122">
        <v>66</v>
      </c>
      <c r="I23" s="123">
        <v>8.8000000000000007</v>
      </c>
      <c r="J23" s="122">
        <f t="shared" si="9"/>
        <v>74.8</v>
      </c>
      <c r="K23" s="122">
        <v>68.2</v>
      </c>
      <c r="L23" s="114">
        <f t="shared" si="8"/>
        <v>897.59999999999991</v>
      </c>
      <c r="M23" s="114">
        <f t="shared" si="5"/>
        <v>818.40000000000009</v>
      </c>
      <c r="N23" s="114">
        <f t="shared" si="6"/>
        <v>10560</v>
      </c>
      <c r="O23" s="59">
        <f t="shared" si="7"/>
        <v>12276</v>
      </c>
    </row>
    <row r="24" spans="1:15">
      <c r="A24" s="58">
        <v>10</v>
      </c>
      <c r="B24" s="120" t="s">
        <v>77</v>
      </c>
      <c r="C24" s="62">
        <v>880</v>
      </c>
      <c r="D24" s="62"/>
      <c r="E24" s="62"/>
      <c r="F24" s="95"/>
      <c r="G24" s="121"/>
      <c r="H24" s="122">
        <v>66</v>
      </c>
      <c r="I24" s="123">
        <v>8.8000000000000007</v>
      </c>
      <c r="J24" s="122">
        <f t="shared" si="9"/>
        <v>74.8</v>
      </c>
      <c r="K24" s="122">
        <v>68.2</v>
      </c>
      <c r="L24" s="114">
        <f t="shared" si="8"/>
        <v>897.59999999999991</v>
      </c>
      <c r="M24" s="114">
        <f t="shared" si="5"/>
        <v>818.40000000000009</v>
      </c>
      <c r="N24" s="114">
        <f t="shared" si="6"/>
        <v>10560</v>
      </c>
      <c r="O24" s="59">
        <f t="shared" si="7"/>
        <v>12276</v>
      </c>
    </row>
    <row r="25" spans="1:15">
      <c r="A25" s="58">
        <v>11</v>
      </c>
      <c r="B25" s="120" t="s">
        <v>77</v>
      </c>
      <c r="C25" s="62">
        <v>880</v>
      </c>
      <c r="D25" s="62"/>
      <c r="E25" s="62"/>
      <c r="F25" s="95"/>
      <c r="G25" s="121"/>
      <c r="H25" s="122">
        <v>66</v>
      </c>
      <c r="I25" s="123">
        <v>8.8000000000000007</v>
      </c>
      <c r="J25" s="122">
        <f t="shared" si="9"/>
        <v>74.8</v>
      </c>
      <c r="K25" s="122">
        <v>68.2</v>
      </c>
      <c r="L25" s="114">
        <f t="shared" si="8"/>
        <v>897.59999999999991</v>
      </c>
      <c r="M25" s="114">
        <f t="shared" si="5"/>
        <v>818.40000000000009</v>
      </c>
      <c r="N25" s="114">
        <f t="shared" si="6"/>
        <v>10560</v>
      </c>
      <c r="O25" s="59">
        <f t="shared" si="7"/>
        <v>12276</v>
      </c>
    </row>
    <row r="26" spans="1:15" ht="13.5" thickBot="1">
      <c r="A26" s="58">
        <v>12</v>
      </c>
      <c r="B26" s="120" t="s">
        <v>77</v>
      </c>
      <c r="C26" s="62">
        <v>880</v>
      </c>
      <c r="D26" s="62"/>
      <c r="E26" s="62"/>
      <c r="F26" s="95"/>
      <c r="G26" s="121"/>
      <c r="H26" s="122">
        <v>66</v>
      </c>
      <c r="I26" s="123">
        <v>8.8000000000000007</v>
      </c>
      <c r="J26" s="122">
        <f t="shared" si="9"/>
        <v>74.8</v>
      </c>
      <c r="K26" s="122">
        <v>68.2</v>
      </c>
      <c r="L26" s="114">
        <f t="shared" si="8"/>
        <v>897.59999999999991</v>
      </c>
      <c r="M26" s="114">
        <f t="shared" si="5"/>
        <v>818.40000000000009</v>
      </c>
      <c r="N26" s="114">
        <f t="shared" si="6"/>
        <v>10560</v>
      </c>
      <c r="O26" s="59">
        <f t="shared" si="7"/>
        <v>12276</v>
      </c>
    </row>
    <row r="27" spans="1:15" ht="13.5" thickBot="1">
      <c r="A27" s="124"/>
      <c r="B27" s="125"/>
      <c r="C27" s="126">
        <f>SUM(C15:C26)</f>
        <v>10560</v>
      </c>
      <c r="D27" s="126">
        <f>SUM(D15:D26)</f>
        <v>0</v>
      </c>
      <c r="E27" s="126">
        <f>SUM(E15:E26)</f>
        <v>0</v>
      </c>
      <c r="F27" s="126">
        <f t="shared" ref="F27:O27" si="10">SUM(F15:F26)</f>
        <v>0</v>
      </c>
      <c r="G27" s="126">
        <f t="shared" si="10"/>
        <v>0</v>
      </c>
      <c r="H27" s="126">
        <f t="shared" si="10"/>
        <v>528</v>
      </c>
      <c r="I27" s="126">
        <f t="shared" si="10"/>
        <v>70.399999999999991</v>
      </c>
      <c r="J27" s="126">
        <f t="shared" si="10"/>
        <v>598.4</v>
      </c>
      <c r="K27" s="126">
        <f t="shared" si="10"/>
        <v>545.6</v>
      </c>
      <c r="L27" s="126">
        <f t="shared" si="10"/>
        <v>7180.8000000000011</v>
      </c>
      <c r="M27" s="126">
        <f t="shared" si="10"/>
        <v>6547.2000000000007</v>
      </c>
      <c r="N27" s="126">
        <f t="shared" si="10"/>
        <v>126720</v>
      </c>
      <c r="O27" s="126">
        <f t="shared" si="10"/>
        <v>140448</v>
      </c>
    </row>
    <row r="28" spans="1:15">
      <c r="A28" s="115"/>
      <c r="B28" s="116"/>
      <c r="C28" s="117">
        <f>+C13+C27</f>
        <v>18097.05</v>
      </c>
      <c r="D28" s="117">
        <f>+D13+D27</f>
        <v>66</v>
      </c>
      <c r="E28" s="117">
        <f>+E13+E27</f>
        <v>550</v>
      </c>
      <c r="F28" s="117">
        <f t="shared" ref="F28:O28" si="11">+F13+F27</f>
        <v>1200</v>
      </c>
      <c r="G28" s="117">
        <f t="shared" si="11"/>
        <v>7537.05</v>
      </c>
      <c r="H28" s="117">
        <f t="shared" si="11"/>
        <v>813.23</v>
      </c>
      <c r="I28" s="117">
        <f t="shared" si="11"/>
        <v>98.429999999999993</v>
      </c>
      <c r="J28" s="117">
        <f t="shared" si="11"/>
        <v>911.66</v>
      </c>
      <c r="K28" s="117">
        <f t="shared" si="11"/>
        <v>801.58500000000004</v>
      </c>
      <c r="L28" s="117">
        <f t="shared" si="11"/>
        <v>10939.920000000002</v>
      </c>
      <c r="M28" s="117">
        <f t="shared" si="11"/>
        <v>9619.02</v>
      </c>
      <c r="N28" s="117">
        <f t="shared" si="11"/>
        <v>217164.6</v>
      </c>
      <c r="O28" s="117">
        <f t="shared" si="11"/>
        <v>246460.59</v>
      </c>
    </row>
    <row r="29" spans="1:15">
      <c r="A29" s="58"/>
      <c r="B29" s="37"/>
      <c r="C29" s="111"/>
      <c r="D29" s="111"/>
      <c r="E29" s="111"/>
      <c r="F29" s="95"/>
      <c r="G29" s="95">
        <f t="shared" si="0"/>
        <v>0</v>
      </c>
      <c r="H29" s="112"/>
      <c r="I29" s="112"/>
      <c r="J29" s="112"/>
      <c r="K29" s="113"/>
      <c r="L29" s="114"/>
      <c r="M29" s="114"/>
      <c r="N29" s="114"/>
      <c r="O29" s="59"/>
    </row>
    <row r="30" spans="1:15">
      <c r="A30" s="58">
        <v>7</v>
      </c>
      <c r="B30" s="37" t="s">
        <v>325</v>
      </c>
      <c r="C30" s="111">
        <v>1000</v>
      </c>
      <c r="D30" s="111"/>
      <c r="E30" s="111"/>
      <c r="F30" s="95">
        <v>200</v>
      </c>
      <c r="G30" s="95">
        <f t="shared" si="0"/>
        <v>1000</v>
      </c>
      <c r="H30" s="112">
        <v>75</v>
      </c>
      <c r="I30" s="112">
        <v>10</v>
      </c>
      <c r="J30" s="112">
        <f t="shared" ref="J30:J38" si="12">SUM(H30:I30)</f>
        <v>85</v>
      </c>
      <c r="K30" s="113">
        <v>77.5</v>
      </c>
      <c r="L30" s="114">
        <f t="shared" ref="L30:M38" si="13">+J30*12</f>
        <v>1020</v>
      </c>
      <c r="M30" s="114">
        <f t="shared" si="13"/>
        <v>930</v>
      </c>
      <c r="N30" s="114">
        <f t="shared" ref="N30:N38" si="14">+C30*12</f>
        <v>12000</v>
      </c>
      <c r="O30" s="59">
        <f t="shared" ref="O30:O38" si="15">+F30+G30+L30+M30+N30</f>
        <v>15150</v>
      </c>
    </row>
    <row r="31" spans="1:15">
      <c r="A31" s="58">
        <v>8</v>
      </c>
      <c r="B31" s="37" t="s">
        <v>325</v>
      </c>
      <c r="C31" s="111">
        <v>825</v>
      </c>
      <c r="D31" s="111"/>
      <c r="E31" s="111"/>
      <c r="F31" s="95">
        <v>200</v>
      </c>
      <c r="G31" s="95">
        <f t="shared" si="0"/>
        <v>825</v>
      </c>
      <c r="H31" s="112">
        <v>61.88</v>
      </c>
      <c r="I31" s="112">
        <v>8.25</v>
      </c>
      <c r="J31" s="112">
        <f t="shared" si="12"/>
        <v>70.13</v>
      </c>
      <c r="K31" s="113">
        <v>63.94</v>
      </c>
      <c r="L31" s="114">
        <f t="shared" si="13"/>
        <v>841.56</v>
      </c>
      <c r="M31" s="114">
        <f t="shared" si="13"/>
        <v>767.28</v>
      </c>
      <c r="N31" s="114">
        <f t="shared" si="14"/>
        <v>9900</v>
      </c>
      <c r="O31" s="59">
        <f t="shared" si="15"/>
        <v>12533.84</v>
      </c>
    </row>
    <row r="32" spans="1:15">
      <c r="A32" s="58">
        <v>9</v>
      </c>
      <c r="B32" s="37" t="s">
        <v>325</v>
      </c>
      <c r="C32" s="111">
        <v>310</v>
      </c>
      <c r="D32" s="139">
        <v>90</v>
      </c>
      <c r="E32" s="111">
        <f>SUM(C32:D32)</f>
        <v>400</v>
      </c>
      <c r="F32" s="95">
        <v>200</v>
      </c>
      <c r="G32" s="95">
        <f t="shared" si="0"/>
        <v>310</v>
      </c>
      <c r="H32" s="112">
        <f>+E32*7.5%</f>
        <v>30</v>
      </c>
      <c r="I32" s="112">
        <f>+E32*1%</f>
        <v>4</v>
      </c>
      <c r="J32" s="112">
        <f t="shared" si="12"/>
        <v>34</v>
      </c>
      <c r="K32" s="113">
        <f>+E32*7.75%</f>
        <v>31</v>
      </c>
      <c r="L32" s="114">
        <f t="shared" si="13"/>
        <v>408</v>
      </c>
      <c r="M32" s="114">
        <f t="shared" si="13"/>
        <v>372</v>
      </c>
      <c r="N32" s="114">
        <f t="shared" si="14"/>
        <v>3720</v>
      </c>
      <c r="O32" s="59">
        <f t="shared" si="15"/>
        <v>5010</v>
      </c>
    </row>
    <row r="33" spans="1:15">
      <c r="A33" s="58">
        <v>10</v>
      </c>
      <c r="B33" s="37" t="s">
        <v>325</v>
      </c>
      <c r="C33" s="111">
        <v>770</v>
      </c>
      <c r="D33" s="111"/>
      <c r="E33" s="111"/>
      <c r="F33" s="95">
        <v>200</v>
      </c>
      <c r="G33" s="95">
        <f t="shared" si="0"/>
        <v>770</v>
      </c>
      <c r="H33" s="112">
        <v>57.75</v>
      </c>
      <c r="I33" s="112">
        <v>7.7</v>
      </c>
      <c r="J33" s="112">
        <f t="shared" si="12"/>
        <v>65.45</v>
      </c>
      <c r="K33" s="113">
        <v>59.68</v>
      </c>
      <c r="L33" s="114">
        <f t="shared" si="13"/>
        <v>785.40000000000009</v>
      </c>
      <c r="M33" s="114">
        <f t="shared" si="13"/>
        <v>716.16</v>
      </c>
      <c r="N33" s="114">
        <f t="shared" si="14"/>
        <v>9240</v>
      </c>
      <c r="O33" s="59">
        <f t="shared" si="15"/>
        <v>11711.56</v>
      </c>
    </row>
    <row r="34" spans="1:15">
      <c r="A34" s="58">
        <v>11</v>
      </c>
      <c r="B34" s="37" t="s">
        <v>325</v>
      </c>
      <c r="C34" s="111">
        <v>400</v>
      </c>
      <c r="D34" s="111"/>
      <c r="E34" s="111"/>
      <c r="F34" s="95">
        <v>200</v>
      </c>
      <c r="G34" s="95">
        <f t="shared" si="0"/>
        <v>400</v>
      </c>
      <c r="H34" s="112">
        <v>30</v>
      </c>
      <c r="I34" s="112">
        <v>4</v>
      </c>
      <c r="J34" s="112">
        <f t="shared" si="12"/>
        <v>34</v>
      </c>
      <c r="K34" s="113">
        <v>31</v>
      </c>
      <c r="L34" s="114">
        <f t="shared" si="13"/>
        <v>408</v>
      </c>
      <c r="M34" s="114">
        <f t="shared" si="13"/>
        <v>372</v>
      </c>
      <c r="N34" s="114">
        <f t="shared" si="14"/>
        <v>4800</v>
      </c>
      <c r="O34" s="59">
        <f t="shared" si="15"/>
        <v>6180</v>
      </c>
    </row>
    <row r="35" spans="1:15">
      <c r="A35" s="58">
        <v>12</v>
      </c>
      <c r="B35" s="37" t="s">
        <v>325</v>
      </c>
      <c r="C35" s="111">
        <v>400</v>
      </c>
      <c r="D35" s="111"/>
      <c r="E35" s="111"/>
      <c r="F35" s="95">
        <v>200</v>
      </c>
      <c r="G35" s="95">
        <f t="shared" si="0"/>
        <v>400</v>
      </c>
      <c r="H35" s="112">
        <v>30</v>
      </c>
      <c r="I35" s="112">
        <v>4</v>
      </c>
      <c r="J35" s="112">
        <f t="shared" si="12"/>
        <v>34</v>
      </c>
      <c r="K35" s="113">
        <v>31</v>
      </c>
      <c r="L35" s="114">
        <f t="shared" si="13"/>
        <v>408</v>
      </c>
      <c r="M35" s="114">
        <f t="shared" si="13"/>
        <v>372</v>
      </c>
      <c r="N35" s="114">
        <f t="shared" si="14"/>
        <v>4800</v>
      </c>
      <c r="O35" s="59">
        <f t="shared" si="15"/>
        <v>6180</v>
      </c>
    </row>
    <row r="36" spans="1:15">
      <c r="A36" s="58">
        <v>13</v>
      </c>
      <c r="B36" s="37" t="s">
        <v>325</v>
      </c>
      <c r="C36" s="111">
        <v>500</v>
      </c>
      <c r="D36" s="111"/>
      <c r="E36" s="111"/>
      <c r="F36" s="95">
        <v>200</v>
      </c>
      <c r="G36" s="95">
        <f t="shared" si="0"/>
        <v>500</v>
      </c>
      <c r="H36" s="112">
        <v>37.5</v>
      </c>
      <c r="I36" s="112">
        <v>5</v>
      </c>
      <c r="J36" s="112">
        <f t="shared" si="12"/>
        <v>42.5</v>
      </c>
      <c r="K36" s="113">
        <v>38.75</v>
      </c>
      <c r="L36" s="114">
        <f t="shared" si="13"/>
        <v>510</v>
      </c>
      <c r="M36" s="114">
        <f t="shared" si="13"/>
        <v>465</v>
      </c>
      <c r="N36" s="114">
        <f t="shared" si="14"/>
        <v>6000</v>
      </c>
      <c r="O36" s="59">
        <f t="shared" si="15"/>
        <v>7675</v>
      </c>
    </row>
    <row r="37" spans="1:15">
      <c r="A37" s="58">
        <v>14</v>
      </c>
      <c r="B37" s="37" t="s">
        <v>325</v>
      </c>
      <c r="C37" s="111">
        <v>1034</v>
      </c>
      <c r="D37" s="111"/>
      <c r="E37" s="111"/>
      <c r="F37" s="95">
        <v>200</v>
      </c>
      <c r="G37" s="95">
        <f t="shared" si="0"/>
        <v>1034</v>
      </c>
      <c r="H37" s="112">
        <v>75</v>
      </c>
      <c r="I37" s="112">
        <v>10.34</v>
      </c>
      <c r="J37" s="112">
        <f t="shared" si="12"/>
        <v>85.34</v>
      </c>
      <c r="K37" s="113">
        <v>77.5</v>
      </c>
      <c r="L37" s="114">
        <f t="shared" si="13"/>
        <v>1024.08</v>
      </c>
      <c r="M37" s="114">
        <f t="shared" si="13"/>
        <v>930</v>
      </c>
      <c r="N37" s="114">
        <f t="shared" si="14"/>
        <v>12408</v>
      </c>
      <c r="O37" s="59">
        <f t="shared" si="15"/>
        <v>15596.08</v>
      </c>
    </row>
    <row r="38" spans="1:15">
      <c r="A38" s="58">
        <v>15</v>
      </c>
      <c r="B38" s="37" t="s">
        <v>325</v>
      </c>
      <c r="C38" s="111">
        <v>310</v>
      </c>
      <c r="D38" s="139">
        <v>65</v>
      </c>
      <c r="E38" s="111">
        <f>SUM(C38:D38)</f>
        <v>375</v>
      </c>
      <c r="F38" s="95">
        <v>200</v>
      </c>
      <c r="G38" s="95">
        <f t="shared" si="0"/>
        <v>310</v>
      </c>
      <c r="H38" s="112">
        <f>+E38*7.5%</f>
        <v>28.125</v>
      </c>
      <c r="I38" s="112">
        <f>+E38*1%</f>
        <v>3.75</v>
      </c>
      <c r="J38" s="141">
        <f t="shared" si="12"/>
        <v>31.875</v>
      </c>
      <c r="K38" s="113">
        <f>+E38*7.75%</f>
        <v>29.0625</v>
      </c>
      <c r="L38" s="114">
        <f t="shared" si="13"/>
        <v>382.5</v>
      </c>
      <c r="M38" s="114">
        <f t="shared" si="13"/>
        <v>348.75</v>
      </c>
      <c r="N38" s="114">
        <f t="shared" si="14"/>
        <v>3720</v>
      </c>
      <c r="O38" s="59">
        <f t="shared" si="15"/>
        <v>4961.25</v>
      </c>
    </row>
    <row r="39" spans="1:15">
      <c r="A39" s="115"/>
      <c r="B39" s="116"/>
      <c r="C39" s="117">
        <f>SUM(C30:C38)</f>
        <v>5549</v>
      </c>
      <c r="D39" s="117">
        <f>SUM(D30:D38)</f>
        <v>155</v>
      </c>
      <c r="E39" s="117">
        <f>SUM(E30:E38)</f>
        <v>775</v>
      </c>
      <c r="F39" s="117">
        <f t="shared" ref="F39:O39" si="16">SUM(F30:F38)</f>
        <v>1800</v>
      </c>
      <c r="G39" s="117">
        <f t="shared" si="16"/>
        <v>5549</v>
      </c>
      <c r="H39" s="117">
        <f t="shared" si="16"/>
        <v>425.255</v>
      </c>
      <c r="I39" s="117">
        <f t="shared" si="16"/>
        <v>57.040000000000006</v>
      </c>
      <c r="J39" s="117">
        <f t="shared" si="16"/>
        <v>482.29499999999996</v>
      </c>
      <c r="K39" s="117">
        <f t="shared" si="16"/>
        <v>439.4325</v>
      </c>
      <c r="L39" s="117">
        <f t="shared" si="16"/>
        <v>5787.54</v>
      </c>
      <c r="M39" s="117">
        <f t="shared" si="16"/>
        <v>5273.19</v>
      </c>
      <c r="N39" s="117">
        <f t="shared" si="16"/>
        <v>66588</v>
      </c>
      <c r="O39" s="117">
        <f t="shared" si="16"/>
        <v>84997.73</v>
      </c>
    </row>
    <row r="40" spans="1:15">
      <c r="A40" s="58"/>
      <c r="B40" s="37"/>
      <c r="C40" s="111"/>
      <c r="D40" s="111"/>
      <c r="E40" s="111"/>
      <c r="F40" s="95"/>
      <c r="G40" s="95"/>
      <c r="H40" s="112"/>
      <c r="I40" s="112"/>
      <c r="J40" s="112"/>
      <c r="K40" s="113"/>
      <c r="L40" s="114"/>
      <c r="M40" s="114"/>
      <c r="N40" s="114"/>
      <c r="O40" s="59"/>
    </row>
    <row r="41" spans="1:15">
      <c r="A41" s="58">
        <v>16</v>
      </c>
      <c r="B41" s="98" t="s">
        <v>193</v>
      </c>
      <c r="C41" s="111">
        <v>825</v>
      </c>
      <c r="D41" s="111"/>
      <c r="E41" s="111"/>
      <c r="F41" s="95">
        <v>200</v>
      </c>
      <c r="G41" s="95">
        <f t="shared" si="0"/>
        <v>825</v>
      </c>
      <c r="H41" s="112">
        <v>61.88</v>
      </c>
      <c r="I41" s="112">
        <v>8.25</v>
      </c>
      <c r="J41" s="112">
        <f t="shared" ref="J41:J84" si="17">SUM(H41:I41)</f>
        <v>70.13</v>
      </c>
      <c r="K41" s="113">
        <v>63.94</v>
      </c>
      <c r="L41" s="114">
        <f t="shared" ref="L41:M84" si="18">+J41*12</f>
        <v>841.56</v>
      </c>
      <c r="M41" s="114">
        <f t="shared" si="18"/>
        <v>767.28</v>
      </c>
      <c r="N41" s="114">
        <f t="shared" ref="N41:N84" si="19">+C41*12</f>
        <v>9900</v>
      </c>
      <c r="O41" s="59">
        <f t="shared" ref="O41:O84" si="20">+F41+G41+L41+M41+N41</f>
        <v>12533.84</v>
      </c>
    </row>
    <row r="42" spans="1:15">
      <c r="A42" s="58">
        <v>17</v>
      </c>
      <c r="B42" s="37" t="s">
        <v>193</v>
      </c>
      <c r="C42" s="111">
        <v>687.5</v>
      </c>
      <c r="D42" s="111"/>
      <c r="E42" s="111"/>
      <c r="F42" s="95">
        <v>200</v>
      </c>
      <c r="G42" s="95">
        <f t="shared" si="0"/>
        <v>687.5</v>
      </c>
      <c r="H42" s="112">
        <v>51.56</v>
      </c>
      <c r="I42" s="112">
        <v>6.88</v>
      </c>
      <c r="J42" s="112">
        <f t="shared" si="17"/>
        <v>58.440000000000005</v>
      </c>
      <c r="K42" s="113">
        <v>53.28</v>
      </c>
      <c r="L42" s="114">
        <f t="shared" si="18"/>
        <v>701.28000000000009</v>
      </c>
      <c r="M42" s="114">
        <f t="shared" si="18"/>
        <v>639.36</v>
      </c>
      <c r="N42" s="114">
        <f t="shared" si="19"/>
        <v>8250</v>
      </c>
      <c r="O42" s="59">
        <f t="shared" si="20"/>
        <v>10478.14</v>
      </c>
    </row>
    <row r="43" spans="1:15">
      <c r="A43" s="58">
        <v>18</v>
      </c>
      <c r="B43" s="37" t="s">
        <v>193</v>
      </c>
      <c r="C43" s="111">
        <v>385</v>
      </c>
      <c r="D43" s="139">
        <v>15</v>
      </c>
      <c r="E43" s="111">
        <f>SUM(C43:D43)</f>
        <v>400</v>
      </c>
      <c r="F43" s="95">
        <v>200</v>
      </c>
      <c r="G43" s="95">
        <f t="shared" si="0"/>
        <v>385</v>
      </c>
      <c r="H43" s="112">
        <f>+E43*7.5%</f>
        <v>30</v>
      </c>
      <c r="I43" s="112">
        <f>+E43*1%</f>
        <v>4</v>
      </c>
      <c r="J43" s="141">
        <f t="shared" si="17"/>
        <v>34</v>
      </c>
      <c r="K43" s="113">
        <f>+E43*7.75%</f>
        <v>31</v>
      </c>
      <c r="L43" s="114">
        <f t="shared" si="18"/>
        <v>408</v>
      </c>
      <c r="M43" s="114">
        <f t="shared" si="18"/>
        <v>372</v>
      </c>
      <c r="N43" s="114">
        <f t="shared" si="19"/>
        <v>4620</v>
      </c>
      <c r="O43" s="59">
        <f t="shared" si="20"/>
        <v>5985</v>
      </c>
    </row>
    <row r="44" spans="1:15">
      <c r="A44" s="58">
        <v>19</v>
      </c>
      <c r="B44" s="37" t="s">
        <v>193</v>
      </c>
      <c r="C44" s="111">
        <v>310</v>
      </c>
      <c r="D44" s="139">
        <v>90</v>
      </c>
      <c r="E44" s="111">
        <f>SUM(C44:D44)</f>
        <v>400</v>
      </c>
      <c r="F44" s="95">
        <v>200</v>
      </c>
      <c r="G44" s="95">
        <f t="shared" si="0"/>
        <v>310</v>
      </c>
      <c r="H44" s="112">
        <f>+E44*7.5%</f>
        <v>30</v>
      </c>
      <c r="I44" s="112">
        <f>+E44*1%</f>
        <v>4</v>
      </c>
      <c r="J44" s="141">
        <f t="shared" si="17"/>
        <v>34</v>
      </c>
      <c r="K44" s="113">
        <f>+E44*7.75%</f>
        <v>31</v>
      </c>
      <c r="L44" s="114">
        <f t="shared" si="18"/>
        <v>408</v>
      </c>
      <c r="M44" s="114">
        <f t="shared" si="18"/>
        <v>372</v>
      </c>
      <c r="N44" s="114">
        <f t="shared" si="19"/>
        <v>3720</v>
      </c>
      <c r="O44" s="59">
        <f t="shared" si="20"/>
        <v>5010</v>
      </c>
    </row>
    <row r="45" spans="1:15">
      <c r="A45" s="58">
        <v>20</v>
      </c>
      <c r="B45" s="37" t="s">
        <v>193</v>
      </c>
      <c r="C45" s="111">
        <v>385</v>
      </c>
      <c r="D45" s="139">
        <v>15</v>
      </c>
      <c r="E45" s="111">
        <f>SUM(C45:D45)</f>
        <v>400</v>
      </c>
      <c r="F45" s="95">
        <v>200</v>
      </c>
      <c r="G45" s="95">
        <f t="shared" si="0"/>
        <v>385</v>
      </c>
      <c r="H45" s="112">
        <f>+E45*7.5%</f>
        <v>30</v>
      </c>
      <c r="I45" s="112">
        <f>+E45*1%</f>
        <v>4</v>
      </c>
      <c r="J45" s="141">
        <f t="shared" si="17"/>
        <v>34</v>
      </c>
      <c r="K45" s="113">
        <f>+E45*7.75%</f>
        <v>31</v>
      </c>
      <c r="L45" s="114">
        <f t="shared" si="18"/>
        <v>408</v>
      </c>
      <c r="M45" s="114">
        <f t="shared" si="18"/>
        <v>372</v>
      </c>
      <c r="N45" s="114">
        <f t="shared" si="19"/>
        <v>4620</v>
      </c>
      <c r="O45" s="59">
        <f t="shared" si="20"/>
        <v>5985</v>
      </c>
    </row>
    <row r="46" spans="1:15">
      <c r="A46" s="58">
        <v>21</v>
      </c>
      <c r="B46" s="37" t="s">
        <v>193</v>
      </c>
      <c r="C46" s="111">
        <v>449.19</v>
      </c>
      <c r="D46" s="111"/>
      <c r="E46" s="111"/>
      <c r="F46" s="95">
        <v>200</v>
      </c>
      <c r="G46" s="95">
        <f t="shared" si="0"/>
        <v>449.19</v>
      </c>
      <c r="H46" s="112">
        <v>33.69</v>
      </c>
      <c r="I46" s="112">
        <v>4.49</v>
      </c>
      <c r="J46" s="112">
        <f t="shared" si="17"/>
        <v>38.18</v>
      </c>
      <c r="K46" s="113">
        <v>34.81</v>
      </c>
      <c r="L46" s="114">
        <f t="shared" si="18"/>
        <v>458.15999999999997</v>
      </c>
      <c r="M46" s="114">
        <f t="shared" si="18"/>
        <v>417.72</v>
      </c>
      <c r="N46" s="114">
        <f t="shared" si="19"/>
        <v>5390.28</v>
      </c>
      <c r="O46" s="59">
        <f t="shared" si="20"/>
        <v>6915.3499999999995</v>
      </c>
    </row>
    <row r="47" spans="1:15">
      <c r="A47" s="58">
        <v>22</v>
      </c>
      <c r="B47" s="37" t="s">
        <v>193</v>
      </c>
      <c r="C47" s="111">
        <v>936</v>
      </c>
      <c r="D47" s="111"/>
      <c r="E47" s="111"/>
      <c r="F47" s="95">
        <v>200</v>
      </c>
      <c r="G47" s="95">
        <f t="shared" si="0"/>
        <v>936</v>
      </c>
      <c r="H47" s="112">
        <v>70.2</v>
      </c>
      <c r="I47" s="112">
        <v>9.36</v>
      </c>
      <c r="J47" s="112">
        <f t="shared" si="17"/>
        <v>79.56</v>
      </c>
      <c r="K47" s="113">
        <v>72.540000000000006</v>
      </c>
      <c r="L47" s="114">
        <f t="shared" si="18"/>
        <v>954.72</v>
      </c>
      <c r="M47" s="114">
        <f t="shared" si="18"/>
        <v>870.48</v>
      </c>
      <c r="N47" s="114">
        <f t="shared" si="19"/>
        <v>11232</v>
      </c>
      <c r="O47" s="59">
        <f t="shared" si="20"/>
        <v>14193.2</v>
      </c>
    </row>
    <row r="48" spans="1:15">
      <c r="A48" s="58">
        <v>23</v>
      </c>
      <c r="B48" s="37" t="s">
        <v>193</v>
      </c>
      <c r="C48" s="111">
        <v>343.98</v>
      </c>
      <c r="D48" s="139">
        <v>56.02</v>
      </c>
      <c r="E48" s="111">
        <f>SUM(C48:D48)</f>
        <v>400</v>
      </c>
      <c r="F48" s="95">
        <v>200</v>
      </c>
      <c r="G48" s="95">
        <f t="shared" si="0"/>
        <v>343.98</v>
      </c>
      <c r="H48" s="112">
        <f>+E48*7.5%</f>
        <v>30</v>
      </c>
      <c r="I48" s="112">
        <f>+E48*1%</f>
        <v>4</v>
      </c>
      <c r="J48" s="112">
        <f t="shared" si="17"/>
        <v>34</v>
      </c>
      <c r="K48" s="113">
        <f>+E48*7.75%</f>
        <v>31</v>
      </c>
      <c r="L48" s="114">
        <f t="shared" si="18"/>
        <v>408</v>
      </c>
      <c r="M48" s="114">
        <f t="shared" si="18"/>
        <v>372</v>
      </c>
      <c r="N48" s="114">
        <f t="shared" si="19"/>
        <v>4127.76</v>
      </c>
      <c r="O48" s="59">
        <f t="shared" si="20"/>
        <v>5451.74</v>
      </c>
    </row>
    <row r="49" spans="1:15">
      <c r="A49" s="58">
        <v>24</v>
      </c>
      <c r="B49" s="37" t="s">
        <v>193</v>
      </c>
      <c r="C49" s="111">
        <v>417.1</v>
      </c>
      <c r="D49" s="111"/>
      <c r="E49" s="111"/>
      <c r="F49" s="95">
        <v>200</v>
      </c>
      <c r="G49" s="95">
        <f t="shared" si="0"/>
        <v>417.1</v>
      </c>
      <c r="H49" s="112">
        <v>31.28</v>
      </c>
      <c r="I49" s="112">
        <v>4.17</v>
      </c>
      <c r="J49" s="112">
        <f t="shared" si="17"/>
        <v>35.450000000000003</v>
      </c>
      <c r="K49" s="113">
        <v>32.33</v>
      </c>
      <c r="L49" s="114">
        <f t="shared" si="18"/>
        <v>425.40000000000003</v>
      </c>
      <c r="M49" s="114">
        <f t="shared" si="18"/>
        <v>387.96</v>
      </c>
      <c r="N49" s="114">
        <f t="shared" si="19"/>
        <v>5005.2000000000007</v>
      </c>
      <c r="O49" s="59">
        <f t="shared" si="20"/>
        <v>6435.6600000000008</v>
      </c>
    </row>
    <row r="50" spans="1:15">
      <c r="A50" s="58">
        <v>25</v>
      </c>
      <c r="B50" s="37" t="s">
        <v>193</v>
      </c>
      <c r="C50" s="111">
        <v>687.5</v>
      </c>
      <c r="D50" s="111"/>
      <c r="E50" s="111"/>
      <c r="F50" s="95">
        <v>200</v>
      </c>
      <c r="G50" s="95">
        <f t="shared" si="0"/>
        <v>687.5</v>
      </c>
      <c r="H50" s="112">
        <v>51.56</v>
      </c>
      <c r="I50" s="112">
        <v>6.88</v>
      </c>
      <c r="J50" s="112">
        <f t="shared" si="17"/>
        <v>58.440000000000005</v>
      </c>
      <c r="K50" s="113">
        <v>53.28</v>
      </c>
      <c r="L50" s="114">
        <f t="shared" si="18"/>
        <v>701.28000000000009</v>
      </c>
      <c r="M50" s="114">
        <f t="shared" si="18"/>
        <v>639.36</v>
      </c>
      <c r="N50" s="114">
        <f t="shared" si="19"/>
        <v>8250</v>
      </c>
      <c r="O50" s="59">
        <f t="shared" si="20"/>
        <v>10478.14</v>
      </c>
    </row>
    <row r="51" spans="1:15">
      <c r="A51" s="58">
        <v>26</v>
      </c>
      <c r="B51" s="37" t="s">
        <v>193</v>
      </c>
      <c r="C51" s="111">
        <v>333.33</v>
      </c>
      <c r="D51" s="139">
        <v>66.67</v>
      </c>
      <c r="E51" s="111">
        <f>SUM(C51:D51)</f>
        <v>400</v>
      </c>
      <c r="F51" s="95">
        <v>200</v>
      </c>
      <c r="G51" s="95">
        <f t="shared" si="0"/>
        <v>333.33</v>
      </c>
      <c r="H51" s="112">
        <f>+E51*7.5%</f>
        <v>30</v>
      </c>
      <c r="I51" s="112">
        <f>+E51*1%</f>
        <v>4</v>
      </c>
      <c r="J51" s="112">
        <f t="shared" si="17"/>
        <v>34</v>
      </c>
      <c r="K51" s="113">
        <f>+E51*7.75%</f>
        <v>31</v>
      </c>
      <c r="L51" s="114">
        <f t="shared" si="18"/>
        <v>408</v>
      </c>
      <c r="M51" s="114">
        <f t="shared" si="18"/>
        <v>372</v>
      </c>
      <c r="N51" s="114">
        <f t="shared" si="19"/>
        <v>3999.96</v>
      </c>
      <c r="O51" s="59">
        <f t="shared" si="20"/>
        <v>5313.29</v>
      </c>
    </row>
    <row r="52" spans="1:15">
      <c r="A52" s="58">
        <v>27</v>
      </c>
      <c r="B52" s="37" t="s">
        <v>193</v>
      </c>
      <c r="C52" s="111">
        <v>483.62</v>
      </c>
      <c r="D52" s="111"/>
      <c r="E52" s="111"/>
      <c r="F52" s="95">
        <v>200</v>
      </c>
      <c r="G52" s="95">
        <f t="shared" si="0"/>
        <v>483.62</v>
      </c>
      <c r="H52" s="112">
        <v>36.270000000000003</v>
      </c>
      <c r="I52" s="112">
        <v>4.84</v>
      </c>
      <c r="J52" s="112">
        <f t="shared" si="17"/>
        <v>41.11</v>
      </c>
      <c r="K52" s="113">
        <v>37.479999999999997</v>
      </c>
      <c r="L52" s="114">
        <f t="shared" si="18"/>
        <v>493.32</v>
      </c>
      <c r="M52" s="114">
        <f t="shared" si="18"/>
        <v>449.76</v>
      </c>
      <c r="N52" s="114">
        <f t="shared" si="19"/>
        <v>5803.4400000000005</v>
      </c>
      <c r="O52" s="59">
        <f t="shared" si="20"/>
        <v>7430.14</v>
      </c>
    </row>
    <row r="53" spans="1:15">
      <c r="A53" s="58">
        <v>28</v>
      </c>
      <c r="B53" s="37" t="s">
        <v>193</v>
      </c>
      <c r="C53" s="111">
        <v>330</v>
      </c>
      <c r="D53" s="139">
        <v>30</v>
      </c>
      <c r="E53" s="111">
        <f>SUM(C53:D53)</f>
        <v>360</v>
      </c>
      <c r="F53" s="95">
        <v>200</v>
      </c>
      <c r="G53" s="95">
        <f t="shared" si="0"/>
        <v>330</v>
      </c>
      <c r="H53" s="112">
        <f>+E53*7.5%</f>
        <v>27</v>
      </c>
      <c r="I53" s="112">
        <f>+E53*1%</f>
        <v>3.6</v>
      </c>
      <c r="J53" s="112">
        <f t="shared" si="17"/>
        <v>30.6</v>
      </c>
      <c r="K53" s="113">
        <f>+E53*7.75%</f>
        <v>27.9</v>
      </c>
      <c r="L53" s="114">
        <f t="shared" si="18"/>
        <v>367.20000000000005</v>
      </c>
      <c r="M53" s="114">
        <f t="shared" si="18"/>
        <v>334.79999999999995</v>
      </c>
      <c r="N53" s="114">
        <f t="shared" si="19"/>
        <v>3960</v>
      </c>
      <c r="O53" s="59">
        <f t="shared" si="20"/>
        <v>5192</v>
      </c>
    </row>
    <row r="54" spans="1:15">
      <c r="A54" s="58">
        <v>29</v>
      </c>
      <c r="B54" s="37" t="s">
        <v>193</v>
      </c>
      <c r="C54" s="111">
        <v>700</v>
      </c>
      <c r="D54" s="111"/>
      <c r="E54" s="111"/>
      <c r="F54" s="95">
        <v>200</v>
      </c>
      <c r="G54" s="95">
        <f t="shared" si="0"/>
        <v>700</v>
      </c>
      <c r="H54" s="112">
        <v>52.5</v>
      </c>
      <c r="I54" s="112">
        <v>7</v>
      </c>
      <c r="J54" s="112">
        <f t="shared" si="17"/>
        <v>59.5</v>
      </c>
      <c r="K54" s="113">
        <v>54.25</v>
      </c>
      <c r="L54" s="114">
        <f t="shared" si="18"/>
        <v>714</v>
      </c>
      <c r="M54" s="114">
        <f t="shared" si="18"/>
        <v>651</v>
      </c>
      <c r="N54" s="114">
        <f t="shared" si="19"/>
        <v>8400</v>
      </c>
      <c r="O54" s="59">
        <f t="shared" si="20"/>
        <v>10665</v>
      </c>
    </row>
    <row r="55" spans="1:15">
      <c r="A55" s="58">
        <v>30</v>
      </c>
      <c r="B55" s="37" t="s">
        <v>193</v>
      </c>
      <c r="C55" s="111">
        <v>550</v>
      </c>
      <c r="D55" s="111"/>
      <c r="E55" s="111"/>
      <c r="F55" s="95">
        <v>200</v>
      </c>
      <c r="G55" s="95">
        <f t="shared" si="0"/>
        <v>550</v>
      </c>
      <c r="H55" s="112">
        <v>41.25</v>
      </c>
      <c r="I55" s="112">
        <v>5.5</v>
      </c>
      <c r="J55" s="112">
        <f t="shared" si="17"/>
        <v>46.75</v>
      </c>
      <c r="K55" s="113">
        <v>42.63</v>
      </c>
      <c r="L55" s="114">
        <f t="shared" si="18"/>
        <v>561</v>
      </c>
      <c r="M55" s="114">
        <f t="shared" si="18"/>
        <v>511.56000000000006</v>
      </c>
      <c r="N55" s="114">
        <f t="shared" si="19"/>
        <v>6600</v>
      </c>
      <c r="O55" s="59">
        <f t="shared" si="20"/>
        <v>8422.56</v>
      </c>
    </row>
    <row r="56" spans="1:15">
      <c r="A56" s="58">
        <v>31</v>
      </c>
      <c r="B56" s="37" t="s">
        <v>193</v>
      </c>
      <c r="C56" s="111">
        <v>594</v>
      </c>
      <c r="D56" s="111"/>
      <c r="E56" s="111"/>
      <c r="F56" s="95">
        <v>200</v>
      </c>
      <c r="G56" s="95">
        <f t="shared" si="0"/>
        <v>594</v>
      </c>
      <c r="H56" s="112">
        <v>44.55</v>
      </c>
      <c r="I56" s="112">
        <v>5.94</v>
      </c>
      <c r="J56" s="112">
        <f t="shared" si="17"/>
        <v>50.489999999999995</v>
      </c>
      <c r="K56" s="113">
        <v>46.04</v>
      </c>
      <c r="L56" s="114">
        <f t="shared" si="18"/>
        <v>605.87999999999988</v>
      </c>
      <c r="M56" s="114">
        <f t="shared" si="18"/>
        <v>552.48</v>
      </c>
      <c r="N56" s="114">
        <f t="shared" si="19"/>
        <v>7128</v>
      </c>
      <c r="O56" s="59">
        <f t="shared" si="20"/>
        <v>9080.36</v>
      </c>
    </row>
    <row r="57" spans="1:15">
      <c r="A57" s="58">
        <v>32</v>
      </c>
      <c r="B57" s="37" t="s">
        <v>193</v>
      </c>
      <c r="C57" s="111">
        <v>400</v>
      </c>
      <c r="D57" s="111"/>
      <c r="E57" s="111"/>
      <c r="F57" s="95">
        <v>200</v>
      </c>
      <c r="G57" s="95">
        <f t="shared" si="0"/>
        <v>400</v>
      </c>
      <c r="H57" s="112">
        <v>30</v>
      </c>
      <c r="I57" s="112">
        <v>4</v>
      </c>
      <c r="J57" s="112">
        <f t="shared" si="17"/>
        <v>34</v>
      </c>
      <c r="K57" s="113">
        <v>31</v>
      </c>
      <c r="L57" s="114">
        <f t="shared" si="18"/>
        <v>408</v>
      </c>
      <c r="M57" s="114">
        <f t="shared" si="18"/>
        <v>372</v>
      </c>
      <c r="N57" s="114">
        <f t="shared" si="19"/>
        <v>4800</v>
      </c>
      <c r="O57" s="59">
        <f t="shared" si="20"/>
        <v>6180</v>
      </c>
    </row>
    <row r="58" spans="1:15">
      <c r="A58" s="58">
        <v>33</v>
      </c>
      <c r="B58" s="37" t="s">
        <v>193</v>
      </c>
      <c r="C58" s="111">
        <v>1034</v>
      </c>
      <c r="D58" s="111"/>
      <c r="E58" s="111"/>
      <c r="F58" s="95">
        <v>200</v>
      </c>
      <c r="G58" s="95">
        <f t="shared" si="0"/>
        <v>1034</v>
      </c>
      <c r="H58" s="112">
        <v>75</v>
      </c>
      <c r="I58" s="112">
        <v>10</v>
      </c>
      <c r="J58" s="112">
        <f t="shared" si="17"/>
        <v>85</v>
      </c>
      <c r="K58" s="113">
        <v>77.5</v>
      </c>
      <c r="L58" s="114">
        <f t="shared" si="18"/>
        <v>1020</v>
      </c>
      <c r="M58" s="114">
        <f t="shared" si="18"/>
        <v>930</v>
      </c>
      <c r="N58" s="114">
        <f t="shared" si="19"/>
        <v>12408</v>
      </c>
      <c r="O58" s="59">
        <f t="shared" si="20"/>
        <v>15592</v>
      </c>
    </row>
    <row r="59" spans="1:15">
      <c r="A59" s="58">
        <v>34</v>
      </c>
      <c r="B59" s="37" t="s">
        <v>193</v>
      </c>
      <c r="C59" s="111">
        <v>385</v>
      </c>
      <c r="D59" s="139">
        <v>15</v>
      </c>
      <c r="E59" s="111">
        <f>SUM(C59:D59)</f>
        <v>400</v>
      </c>
      <c r="F59" s="95">
        <v>200</v>
      </c>
      <c r="G59" s="95">
        <f t="shared" si="0"/>
        <v>385</v>
      </c>
      <c r="H59" s="112">
        <f>+E59*7.5%</f>
        <v>30</v>
      </c>
      <c r="I59" s="112">
        <f>+E59*1%</f>
        <v>4</v>
      </c>
      <c r="J59" s="112">
        <f t="shared" si="17"/>
        <v>34</v>
      </c>
      <c r="K59" s="113">
        <f>+E59*7.75%</f>
        <v>31</v>
      </c>
      <c r="L59" s="114">
        <f t="shared" si="18"/>
        <v>408</v>
      </c>
      <c r="M59" s="114">
        <f t="shared" si="18"/>
        <v>372</v>
      </c>
      <c r="N59" s="114">
        <f t="shared" si="19"/>
        <v>4620</v>
      </c>
      <c r="O59" s="59">
        <f t="shared" si="20"/>
        <v>5985</v>
      </c>
    </row>
    <row r="60" spans="1:15">
      <c r="A60" s="58">
        <v>35</v>
      </c>
      <c r="B60" s="37" t="s">
        <v>193</v>
      </c>
      <c r="C60" s="111">
        <v>385</v>
      </c>
      <c r="D60" s="139">
        <v>15</v>
      </c>
      <c r="E60" s="111">
        <f>SUM(C60:D60)</f>
        <v>400</v>
      </c>
      <c r="F60" s="95">
        <v>200</v>
      </c>
      <c r="G60" s="95">
        <f t="shared" si="0"/>
        <v>385</v>
      </c>
      <c r="H60" s="112">
        <f>+E60*7.5%</f>
        <v>30</v>
      </c>
      <c r="I60" s="112">
        <f>+E60*1%</f>
        <v>4</v>
      </c>
      <c r="J60" s="112">
        <f t="shared" si="17"/>
        <v>34</v>
      </c>
      <c r="K60" s="113">
        <f>+E60*7.75%</f>
        <v>31</v>
      </c>
      <c r="L60" s="114">
        <f t="shared" si="18"/>
        <v>408</v>
      </c>
      <c r="M60" s="114">
        <f t="shared" si="18"/>
        <v>372</v>
      </c>
      <c r="N60" s="114">
        <f t="shared" si="19"/>
        <v>4620</v>
      </c>
      <c r="O60" s="59">
        <f t="shared" si="20"/>
        <v>5985</v>
      </c>
    </row>
    <row r="61" spans="1:15">
      <c r="A61" s="58">
        <v>36</v>
      </c>
      <c r="B61" s="37" t="s">
        <v>193</v>
      </c>
      <c r="C61" s="111">
        <v>500</v>
      </c>
      <c r="D61" s="111"/>
      <c r="E61" s="111"/>
      <c r="F61" s="95">
        <v>200</v>
      </c>
      <c r="G61" s="95">
        <f t="shared" si="0"/>
        <v>500</v>
      </c>
      <c r="H61" s="112">
        <v>37.5</v>
      </c>
      <c r="I61" s="112">
        <v>5</v>
      </c>
      <c r="J61" s="112">
        <f t="shared" si="17"/>
        <v>42.5</v>
      </c>
      <c r="K61" s="113">
        <v>38.75</v>
      </c>
      <c r="L61" s="114">
        <f t="shared" si="18"/>
        <v>510</v>
      </c>
      <c r="M61" s="114">
        <f t="shared" si="18"/>
        <v>465</v>
      </c>
      <c r="N61" s="114">
        <f t="shared" si="19"/>
        <v>6000</v>
      </c>
      <c r="O61" s="59">
        <f t="shared" si="20"/>
        <v>7675</v>
      </c>
    </row>
    <row r="62" spans="1:15">
      <c r="A62" s="58">
        <v>37</v>
      </c>
      <c r="B62" s="37" t="s">
        <v>193</v>
      </c>
      <c r="C62" s="111">
        <v>440</v>
      </c>
      <c r="D62" s="111"/>
      <c r="E62" s="111"/>
      <c r="F62" s="95">
        <v>200</v>
      </c>
      <c r="G62" s="95">
        <f t="shared" si="0"/>
        <v>440</v>
      </c>
      <c r="H62" s="112">
        <v>33</v>
      </c>
      <c r="I62" s="112">
        <v>4.4000000000000004</v>
      </c>
      <c r="J62" s="112">
        <f t="shared" si="17"/>
        <v>37.4</v>
      </c>
      <c r="K62" s="113"/>
      <c r="L62" s="114">
        <f t="shared" si="18"/>
        <v>448.79999999999995</v>
      </c>
      <c r="M62" s="114">
        <f t="shared" si="18"/>
        <v>0</v>
      </c>
      <c r="N62" s="114">
        <f t="shared" si="19"/>
        <v>5280</v>
      </c>
      <c r="O62" s="59">
        <f t="shared" si="20"/>
        <v>6368.8</v>
      </c>
    </row>
    <row r="63" spans="1:15">
      <c r="A63" s="58">
        <v>38</v>
      </c>
      <c r="B63" s="37" t="s">
        <v>193</v>
      </c>
      <c r="C63" s="111">
        <v>330</v>
      </c>
      <c r="D63" s="139">
        <v>45</v>
      </c>
      <c r="E63" s="111">
        <f t="shared" ref="E63:E74" si="21">SUM(C63:D63)</f>
        <v>375</v>
      </c>
      <c r="F63" s="95">
        <v>200</v>
      </c>
      <c r="G63" s="95">
        <f t="shared" si="0"/>
        <v>330</v>
      </c>
      <c r="H63" s="112">
        <f t="shared" ref="H63:H74" si="22">+E63*7.5%</f>
        <v>28.125</v>
      </c>
      <c r="I63" s="112">
        <f t="shared" ref="I63:I74" si="23">+E63*1%</f>
        <v>3.75</v>
      </c>
      <c r="J63" s="112">
        <f t="shared" si="17"/>
        <v>31.875</v>
      </c>
      <c r="K63" s="113">
        <v>25.58</v>
      </c>
      <c r="L63" s="114">
        <f t="shared" si="18"/>
        <v>382.5</v>
      </c>
      <c r="M63" s="114">
        <f t="shared" si="18"/>
        <v>306.95999999999998</v>
      </c>
      <c r="N63" s="114">
        <f t="shared" si="19"/>
        <v>3960</v>
      </c>
      <c r="O63" s="59">
        <f t="shared" si="20"/>
        <v>5179.46</v>
      </c>
    </row>
    <row r="64" spans="1:15">
      <c r="A64" s="58">
        <v>39</v>
      </c>
      <c r="B64" s="37" t="s">
        <v>193</v>
      </c>
      <c r="C64" s="111">
        <v>330</v>
      </c>
      <c r="D64" s="139">
        <v>45</v>
      </c>
      <c r="E64" s="111">
        <f t="shared" si="21"/>
        <v>375</v>
      </c>
      <c r="F64" s="95">
        <v>200</v>
      </c>
      <c r="G64" s="95">
        <f t="shared" si="0"/>
        <v>330</v>
      </c>
      <c r="H64" s="112">
        <f t="shared" si="22"/>
        <v>28.125</v>
      </c>
      <c r="I64" s="112">
        <f t="shared" si="23"/>
        <v>3.75</v>
      </c>
      <c r="J64" s="112">
        <f t="shared" si="17"/>
        <v>31.875</v>
      </c>
      <c r="K64" s="113">
        <f>+E64*7.75%</f>
        <v>29.0625</v>
      </c>
      <c r="L64" s="114">
        <f t="shared" si="18"/>
        <v>382.5</v>
      </c>
      <c r="M64" s="114">
        <f t="shared" si="18"/>
        <v>348.75</v>
      </c>
      <c r="N64" s="114">
        <f t="shared" si="19"/>
        <v>3960</v>
      </c>
      <c r="O64" s="59">
        <f t="shared" si="20"/>
        <v>5221.25</v>
      </c>
    </row>
    <row r="65" spans="1:15">
      <c r="A65" s="58">
        <v>40</v>
      </c>
      <c r="B65" s="37" t="s">
        <v>193</v>
      </c>
      <c r="C65" s="111">
        <v>330</v>
      </c>
      <c r="D65" s="139">
        <v>45</v>
      </c>
      <c r="E65" s="111">
        <f t="shared" si="21"/>
        <v>375</v>
      </c>
      <c r="F65" s="95">
        <v>200</v>
      </c>
      <c r="G65" s="95">
        <f t="shared" si="0"/>
        <v>330</v>
      </c>
      <c r="H65" s="112">
        <f t="shared" si="22"/>
        <v>28.125</v>
      </c>
      <c r="I65" s="112">
        <f t="shared" si="23"/>
        <v>3.75</v>
      </c>
      <c r="J65" s="112">
        <f t="shared" si="17"/>
        <v>31.875</v>
      </c>
      <c r="K65" s="113">
        <f t="shared" ref="K65:K74" si="24">+E65*7.75%</f>
        <v>29.0625</v>
      </c>
      <c r="L65" s="114">
        <f t="shared" si="18"/>
        <v>382.5</v>
      </c>
      <c r="M65" s="114">
        <f t="shared" si="18"/>
        <v>348.75</v>
      </c>
      <c r="N65" s="114">
        <f t="shared" si="19"/>
        <v>3960</v>
      </c>
      <c r="O65" s="59">
        <f t="shared" si="20"/>
        <v>5221.25</v>
      </c>
    </row>
    <row r="66" spans="1:15">
      <c r="A66" s="58">
        <v>41</v>
      </c>
      <c r="B66" s="37" t="s">
        <v>193</v>
      </c>
      <c r="C66" s="111">
        <v>330</v>
      </c>
      <c r="D66" s="139">
        <v>45</v>
      </c>
      <c r="E66" s="111">
        <f t="shared" si="21"/>
        <v>375</v>
      </c>
      <c r="F66" s="95">
        <v>200</v>
      </c>
      <c r="G66" s="95">
        <f t="shared" si="0"/>
        <v>330</v>
      </c>
      <c r="H66" s="112">
        <f t="shared" si="22"/>
        <v>28.125</v>
      </c>
      <c r="I66" s="112">
        <f t="shared" si="23"/>
        <v>3.75</v>
      </c>
      <c r="J66" s="112">
        <f t="shared" si="17"/>
        <v>31.875</v>
      </c>
      <c r="K66" s="113">
        <f t="shared" si="24"/>
        <v>29.0625</v>
      </c>
      <c r="L66" s="114">
        <f t="shared" si="18"/>
        <v>382.5</v>
      </c>
      <c r="M66" s="114">
        <f t="shared" si="18"/>
        <v>348.75</v>
      </c>
      <c r="N66" s="114">
        <f t="shared" si="19"/>
        <v>3960</v>
      </c>
      <c r="O66" s="59">
        <f t="shared" si="20"/>
        <v>5221.25</v>
      </c>
    </row>
    <row r="67" spans="1:15">
      <c r="A67" s="58">
        <v>42</v>
      </c>
      <c r="B67" s="37" t="s">
        <v>193</v>
      </c>
      <c r="C67" s="111">
        <v>330</v>
      </c>
      <c r="D67" s="139">
        <v>45</v>
      </c>
      <c r="E67" s="111">
        <f t="shared" si="21"/>
        <v>375</v>
      </c>
      <c r="F67" s="95">
        <v>200</v>
      </c>
      <c r="G67" s="95">
        <f t="shared" si="0"/>
        <v>330</v>
      </c>
      <c r="H67" s="112">
        <f t="shared" si="22"/>
        <v>28.125</v>
      </c>
      <c r="I67" s="112">
        <f t="shared" si="23"/>
        <v>3.75</v>
      </c>
      <c r="J67" s="112">
        <f t="shared" si="17"/>
        <v>31.875</v>
      </c>
      <c r="K67" s="113">
        <f t="shared" si="24"/>
        <v>29.0625</v>
      </c>
      <c r="L67" s="114">
        <f t="shared" si="18"/>
        <v>382.5</v>
      </c>
      <c r="M67" s="114">
        <f t="shared" si="18"/>
        <v>348.75</v>
      </c>
      <c r="N67" s="114">
        <f t="shared" si="19"/>
        <v>3960</v>
      </c>
      <c r="O67" s="59">
        <f t="shared" si="20"/>
        <v>5221.25</v>
      </c>
    </row>
    <row r="68" spans="1:15">
      <c r="A68" s="58">
        <v>43</v>
      </c>
      <c r="B68" s="37" t="s">
        <v>193</v>
      </c>
      <c r="C68" s="111">
        <v>350</v>
      </c>
      <c r="D68" s="139">
        <v>70</v>
      </c>
      <c r="E68" s="111">
        <f t="shared" si="21"/>
        <v>420</v>
      </c>
      <c r="F68" s="95">
        <v>200</v>
      </c>
      <c r="G68" s="95">
        <f t="shared" si="0"/>
        <v>350</v>
      </c>
      <c r="H68" s="112">
        <f t="shared" si="22"/>
        <v>31.5</v>
      </c>
      <c r="I68" s="112">
        <f t="shared" si="23"/>
        <v>4.2</v>
      </c>
      <c r="J68" s="112">
        <f t="shared" si="17"/>
        <v>35.700000000000003</v>
      </c>
      <c r="K68" s="113">
        <f t="shared" si="24"/>
        <v>32.549999999999997</v>
      </c>
      <c r="L68" s="114">
        <f t="shared" si="18"/>
        <v>428.40000000000003</v>
      </c>
      <c r="M68" s="114">
        <f t="shared" si="18"/>
        <v>390.59999999999997</v>
      </c>
      <c r="N68" s="114">
        <f t="shared" si="19"/>
        <v>4200</v>
      </c>
      <c r="O68" s="59">
        <f t="shared" si="20"/>
        <v>5569</v>
      </c>
    </row>
    <row r="69" spans="1:15">
      <c r="A69" s="58">
        <v>44</v>
      </c>
      <c r="B69" s="37" t="s">
        <v>193</v>
      </c>
      <c r="C69" s="111">
        <v>310</v>
      </c>
      <c r="D69" s="139">
        <v>40</v>
      </c>
      <c r="E69" s="111">
        <f t="shared" si="21"/>
        <v>350</v>
      </c>
      <c r="F69" s="95">
        <v>200</v>
      </c>
      <c r="G69" s="95">
        <f t="shared" si="0"/>
        <v>310</v>
      </c>
      <c r="H69" s="112">
        <f t="shared" si="22"/>
        <v>26.25</v>
      </c>
      <c r="I69" s="112">
        <f t="shared" si="23"/>
        <v>3.5</v>
      </c>
      <c r="J69" s="112">
        <f t="shared" si="17"/>
        <v>29.75</v>
      </c>
      <c r="K69" s="113">
        <f t="shared" si="24"/>
        <v>27.125</v>
      </c>
      <c r="L69" s="114">
        <f t="shared" si="18"/>
        <v>357</v>
      </c>
      <c r="M69" s="114">
        <f t="shared" si="18"/>
        <v>325.5</v>
      </c>
      <c r="N69" s="114">
        <f t="shared" si="19"/>
        <v>3720</v>
      </c>
      <c r="O69" s="59">
        <f t="shared" si="20"/>
        <v>4912.5</v>
      </c>
    </row>
    <row r="70" spans="1:15">
      <c r="A70" s="58">
        <v>45</v>
      </c>
      <c r="B70" s="37" t="s">
        <v>193</v>
      </c>
      <c r="C70" s="111">
        <v>310</v>
      </c>
      <c r="D70" s="139">
        <v>40</v>
      </c>
      <c r="E70" s="111">
        <f t="shared" si="21"/>
        <v>350</v>
      </c>
      <c r="F70" s="95">
        <v>200</v>
      </c>
      <c r="G70" s="95">
        <f t="shared" si="0"/>
        <v>310</v>
      </c>
      <c r="H70" s="112">
        <f t="shared" si="22"/>
        <v>26.25</v>
      </c>
      <c r="I70" s="112">
        <f t="shared" si="23"/>
        <v>3.5</v>
      </c>
      <c r="J70" s="112">
        <f t="shared" si="17"/>
        <v>29.75</v>
      </c>
      <c r="K70" s="113">
        <f t="shared" si="24"/>
        <v>27.125</v>
      </c>
      <c r="L70" s="114">
        <f t="shared" si="18"/>
        <v>357</v>
      </c>
      <c r="M70" s="114">
        <f t="shared" si="18"/>
        <v>325.5</v>
      </c>
      <c r="N70" s="114">
        <f t="shared" si="19"/>
        <v>3720</v>
      </c>
      <c r="O70" s="59">
        <f t="shared" si="20"/>
        <v>4912.5</v>
      </c>
    </row>
    <row r="71" spans="1:15">
      <c r="A71" s="58">
        <v>46</v>
      </c>
      <c r="B71" s="37" t="s">
        <v>193</v>
      </c>
      <c r="C71" s="111">
        <v>310</v>
      </c>
      <c r="D71" s="139">
        <v>40</v>
      </c>
      <c r="E71" s="111">
        <f t="shared" si="21"/>
        <v>350</v>
      </c>
      <c r="F71" s="95">
        <v>200</v>
      </c>
      <c r="G71" s="95">
        <f t="shared" ref="G71:G84" si="25">+C71</f>
        <v>310</v>
      </c>
      <c r="H71" s="112">
        <f t="shared" si="22"/>
        <v>26.25</v>
      </c>
      <c r="I71" s="112">
        <f t="shared" si="23"/>
        <v>3.5</v>
      </c>
      <c r="J71" s="112">
        <f t="shared" si="17"/>
        <v>29.75</v>
      </c>
      <c r="K71" s="113">
        <f t="shared" si="24"/>
        <v>27.125</v>
      </c>
      <c r="L71" s="114">
        <f t="shared" si="18"/>
        <v>357</v>
      </c>
      <c r="M71" s="114">
        <f t="shared" si="18"/>
        <v>325.5</v>
      </c>
      <c r="N71" s="114">
        <f t="shared" si="19"/>
        <v>3720</v>
      </c>
      <c r="O71" s="59">
        <f t="shared" si="20"/>
        <v>4912.5</v>
      </c>
    </row>
    <row r="72" spans="1:15">
      <c r="A72" s="58">
        <v>47</v>
      </c>
      <c r="B72" s="37" t="s">
        <v>193</v>
      </c>
      <c r="C72" s="111">
        <v>310</v>
      </c>
      <c r="D72" s="139">
        <v>40</v>
      </c>
      <c r="E72" s="111">
        <f t="shared" si="21"/>
        <v>350</v>
      </c>
      <c r="F72" s="95">
        <v>200</v>
      </c>
      <c r="G72" s="95">
        <f t="shared" si="25"/>
        <v>310</v>
      </c>
      <c r="H72" s="112">
        <f t="shared" si="22"/>
        <v>26.25</v>
      </c>
      <c r="I72" s="112">
        <f t="shared" si="23"/>
        <v>3.5</v>
      </c>
      <c r="J72" s="112">
        <f t="shared" si="17"/>
        <v>29.75</v>
      </c>
      <c r="K72" s="113">
        <f t="shared" si="24"/>
        <v>27.125</v>
      </c>
      <c r="L72" s="114">
        <f t="shared" si="18"/>
        <v>357</v>
      </c>
      <c r="M72" s="114">
        <f t="shared" si="18"/>
        <v>325.5</v>
      </c>
      <c r="N72" s="114">
        <f t="shared" si="19"/>
        <v>3720</v>
      </c>
      <c r="O72" s="59">
        <f t="shared" si="20"/>
        <v>4912.5</v>
      </c>
    </row>
    <row r="73" spans="1:15">
      <c r="A73" s="58">
        <v>48</v>
      </c>
      <c r="B73" s="37" t="s">
        <v>193</v>
      </c>
      <c r="C73" s="111">
        <v>310</v>
      </c>
      <c r="D73" s="139">
        <v>40</v>
      </c>
      <c r="E73" s="111">
        <f t="shared" si="21"/>
        <v>350</v>
      </c>
      <c r="F73" s="95">
        <v>200</v>
      </c>
      <c r="G73" s="95">
        <f t="shared" si="25"/>
        <v>310</v>
      </c>
      <c r="H73" s="112">
        <f t="shared" si="22"/>
        <v>26.25</v>
      </c>
      <c r="I73" s="112">
        <f t="shared" si="23"/>
        <v>3.5</v>
      </c>
      <c r="J73" s="112">
        <f t="shared" si="17"/>
        <v>29.75</v>
      </c>
      <c r="K73" s="113">
        <f t="shared" si="24"/>
        <v>27.125</v>
      </c>
      <c r="L73" s="114">
        <f t="shared" si="18"/>
        <v>357</v>
      </c>
      <c r="M73" s="114">
        <f t="shared" si="18"/>
        <v>325.5</v>
      </c>
      <c r="N73" s="114">
        <f t="shared" si="19"/>
        <v>3720</v>
      </c>
      <c r="O73" s="59">
        <f t="shared" si="20"/>
        <v>4912.5</v>
      </c>
    </row>
    <row r="74" spans="1:15">
      <c r="A74" s="58">
        <v>49</v>
      </c>
      <c r="B74" s="37" t="s">
        <v>193</v>
      </c>
      <c r="C74" s="111">
        <v>310</v>
      </c>
      <c r="D74" s="139">
        <v>40</v>
      </c>
      <c r="E74" s="111">
        <f t="shared" si="21"/>
        <v>350</v>
      </c>
      <c r="F74" s="95">
        <v>200</v>
      </c>
      <c r="G74" s="95">
        <f t="shared" si="25"/>
        <v>310</v>
      </c>
      <c r="H74" s="112">
        <f t="shared" si="22"/>
        <v>26.25</v>
      </c>
      <c r="I74" s="112">
        <f t="shared" si="23"/>
        <v>3.5</v>
      </c>
      <c r="J74" s="112">
        <f t="shared" si="17"/>
        <v>29.75</v>
      </c>
      <c r="K74" s="113">
        <f t="shared" si="24"/>
        <v>27.125</v>
      </c>
      <c r="L74" s="114">
        <f t="shared" si="18"/>
        <v>357</v>
      </c>
      <c r="M74" s="114">
        <f t="shared" si="18"/>
        <v>325.5</v>
      </c>
      <c r="N74" s="114">
        <f t="shared" si="19"/>
        <v>3720</v>
      </c>
      <c r="O74" s="59">
        <f t="shared" si="20"/>
        <v>4912.5</v>
      </c>
    </row>
    <row r="75" spans="1:15">
      <c r="A75" s="58">
        <v>50</v>
      </c>
      <c r="B75" s="37" t="s">
        <v>193</v>
      </c>
      <c r="C75" s="111">
        <v>519.16</v>
      </c>
      <c r="D75" s="111"/>
      <c r="E75" s="111"/>
      <c r="F75" s="95">
        <v>200</v>
      </c>
      <c r="G75" s="95">
        <f t="shared" si="25"/>
        <v>519.16</v>
      </c>
      <c r="H75" s="112"/>
      <c r="I75" s="112"/>
      <c r="J75" s="112">
        <f t="shared" si="17"/>
        <v>0</v>
      </c>
      <c r="K75" s="113"/>
      <c r="L75" s="114">
        <f t="shared" si="18"/>
        <v>0</v>
      </c>
      <c r="M75" s="114">
        <f t="shared" si="18"/>
        <v>0</v>
      </c>
      <c r="N75" s="114">
        <f t="shared" si="19"/>
        <v>6229.92</v>
      </c>
      <c r="O75" s="59">
        <f t="shared" si="20"/>
        <v>6949.08</v>
      </c>
    </row>
    <row r="76" spans="1:15">
      <c r="A76" s="58">
        <v>51</v>
      </c>
      <c r="B76" s="37" t="s">
        <v>193</v>
      </c>
      <c r="C76" s="111">
        <v>385</v>
      </c>
      <c r="D76" s="139">
        <v>55</v>
      </c>
      <c r="E76" s="111">
        <f>SUM(C76:D76)</f>
        <v>440</v>
      </c>
      <c r="F76" s="95">
        <v>200</v>
      </c>
      <c r="G76" s="95">
        <f t="shared" si="25"/>
        <v>385</v>
      </c>
      <c r="H76" s="112">
        <f>+E76*7.5%</f>
        <v>33</v>
      </c>
      <c r="I76" s="112">
        <f>+E76*1%</f>
        <v>4.4000000000000004</v>
      </c>
      <c r="J76" s="112">
        <f t="shared" si="17"/>
        <v>37.4</v>
      </c>
      <c r="K76" s="113">
        <f>+E76*7.75%</f>
        <v>34.1</v>
      </c>
      <c r="L76" s="114">
        <f t="shared" si="18"/>
        <v>448.79999999999995</v>
      </c>
      <c r="M76" s="114">
        <f t="shared" si="18"/>
        <v>409.20000000000005</v>
      </c>
      <c r="N76" s="114">
        <f t="shared" si="19"/>
        <v>4620</v>
      </c>
      <c r="O76" s="59">
        <f t="shared" si="20"/>
        <v>6063</v>
      </c>
    </row>
    <row r="77" spans="1:15">
      <c r="A77" s="58">
        <v>52</v>
      </c>
      <c r="B77" s="37" t="s">
        <v>193</v>
      </c>
      <c r="C77" s="111">
        <v>310</v>
      </c>
      <c r="D77" s="139">
        <v>40</v>
      </c>
      <c r="E77" s="111">
        <f>SUM(C77:D77)</f>
        <v>350</v>
      </c>
      <c r="F77" s="95">
        <v>200</v>
      </c>
      <c r="G77" s="95">
        <f t="shared" si="25"/>
        <v>310</v>
      </c>
      <c r="H77" s="112">
        <f>+E77*7.5%</f>
        <v>26.25</v>
      </c>
      <c r="I77" s="112">
        <f>+E77*1%</f>
        <v>3.5</v>
      </c>
      <c r="J77" s="112">
        <f t="shared" si="17"/>
        <v>29.75</v>
      </c>
      <c r="K77" s="113">
        <f>+E77*7.75%</f>
        <v>27.125</v>
      </c>
      <c r="L77" s="114">
        <f t="shared" si="18"/>
        <v>357</v>
      </c>
      <c r="M77" s="114">
        <f t="shared" si="18"/>
        <v>325.5</v>
      </c>
      <c r="N77" s="114">
        <f t="shared" si="19"/>
        <v>3720</v>
      </c>
      <c r="O77" s="59">
        <f t="shared" si="20"/>
        <v>4912.5</v>
      </c>
    </row>
    <row r="78" spans="1:15">
      <c r="A78" s="58">
        <v>53</v>
      </c>
      <c r="B78" s="37" t="s">
        <v>193</v>
      </c>
      <c r="C78" s="111">
        <v>385</v>
      </c>
      <c r="D78" s="139">
        <v>15</v>
      </c>
      <c r="E78" s="111">
        <f>SUM(C78:D78)</f>
        <v>400</v>
      </c>
      <c r="F78" s="95">
        <v>200</v>
      </c>
      <c r="G78" s="95">
        <f t="shared" si="25"/>
        <v>385</v>
      </c>
      <c r="H78" s="112">
        <f>+E78*7.5%</f>
        <v>30</v>
      </c>
      <c r="I78" s="112">
        <f>+E78*1%</f>
        <v>4</v>
      </c>
      <c r="J78" s="112">
        <f t="shared" si="17"/>
        <v>34</v>
      </c>
      <c r="K78" s="113">
        <f>+E78*7.75%</f>
        <v>31</v>
      </c>
      <c r="L78" s="114">
        <f t="shared" si="18"/>
        <v>408</v>
      </c>
      <c r="M78" s="114">
        <f t="shared" si="18"/>
        <v>372</v>
      </c>
      <c r="N78" s="114">
        <f t="shared" si="19"/>
        <v>4620</v>
      </c>
      <c r="O78" s="59">
        <f t="shared" si="20"/>
        <v>5985</v>
      </c>
    </row>
    <row r="79" spans="1:15">
      <c r="A79" s="58">
        <v>54</v>
      </c>
      <c r="B79" s="37" t="s">
        <v>193</v>
      </c>
      <c r="C79" s="111">
        <v>440</v>
      </c>
      <c r="D79" s="139">
        <v>60</v>
      </c>
      <c r="E79" s="111">
        <f>SUM(C79:D79)</f>
        <v>500</v>
      </c>
      <c r="F79" s="95">
        <v>200</v>
      </c>
      <c r="G79" s="95">
        <f t="shared" si="25"/>
        <v>440</v>
      </c>
      <c r="H79" s="112">
        <f>+E79*7.5%</f>
        <v>37.5</v>
      </c>
      <c r="I79" s="112">
        <f>+E79*1%</f>
        <v>5</v>
      </c>
      <c r="J79" s="112">
        <f t="shared" si="17"/>
        <v>42.5</v>
      </c>
      <c r="K79" s="113">
        <f>+E79*7.75%</f>
        <v>38.75</v>
      </c>
      <c r="L79" s="114">
        <f t="shared" si="18"/>
        <v>510</v>
      </c>
      <c r="M79" s="114">
        <f t="shared" si="18"/>
        <v>465</v>
      </c>
      <c r="N79" s="114">
        <f t="shared" si="19"/>
        <v>5280</v>
      </c>
      <c r="O79" s="59">
        <f t="shared" si="20"/>
        <v>6895</v>
      </c>
    </row>
    <row r="80" spans="1:15">
      <c r="A80" s="58">
        <v>55</v>
      </c>
      <c r="B80" s="37" t="s">
        <v>193</v>
      </c>
      <c r="C80" s="111">
        <v>357.5</v>
      </c>
      <c r="D80" s="139">
        <v>42.5</v>
      </c>
      <c r="E80" s="111">
        <f>SUM(C80:D80)</f>
        <v>400</v>
      </c>
      <c r="F80" s="95">
        <v>200</v>
      </c>
      <c r="G80" s="95">
        <f t="shared" si="25"/>
        <v>357.5</v>
      </c>
      <c r="H80" s="112">
        <f>+E80*7.5%</f>
        <v>30</v>
      </c>
      <c r="I80" s="112">
        <f>+E80*1%</f>
        <v>4</v>
      </c>
      <c r="J80" s="112">
        <f t="shared" si="17"/>
        <v>34</v>
      </c>
      <c r="K80" s="113">
        <f>+E80*7.75%</f>
        <v>31</v>
      </c>
      <c r="L80" s="114">
        <f t="shared" si="18"/>
        <v>408</v>
      </c>
      <c r="M80" s="114">
        <f t="shared" si="18"/>
        <v>372</v>
      </c>
      <c r="N80" s="114">
        <f t="shared" si="19"/>
        <v>4290</v>
      </c>
      <c r="O80" s="59">
        <f t="shared" si="20"/>
        <v>5627.5</v>
      </c>
    </row>
    <row r="81" spans="1:15">
      <c r="A81" s="58">
        <v>56</v>
      </c>
      <c r="B81" s="37" t="s">
        <v>193</v>
      </c>
      <c r="C81" s="111">
        <v>444.44</v>
      </c>
      <c r="D81" s="111"/>
      <c r="E81" s="111"/>
      <c r="F81" s="95">
        <v>200</v>
      </c>
      <c r="G81" s="95">
        <f t="shared" si="25"/>
        <v>444.44</v>
      </c>
      <c r="H81" s="112">
        <v>33.33</v>
      </c>
      <c r="I81" s="112">
        <v>4.4400000000000004</v>
      </c>
      <c r="J81" s="112">
        <f t="shared" si="17"/>
        <v>37.769999999999996</v>
      </c>
      <c r="K81" s="113">
        <v>34.44</v>
      </c>
      <c r="L81" s="114">
        <f t="shared" si="18"/>
        <v>453.23999999999995</v>
      </c>
      <c r="M81" s="114">
        <f t="shared" si="18"/>
        <v>413.28</v>
      </c>
      <c r="N81" s="114">
        <f t="shared" si="19"/>
        <v>5333.28</v>
      </c>
      <c r="O81" s="59">
        <f t="shared" si="20"/>
        <v>6844.24</v>
      </c>
    </row>
    <row r="82" spans="1:15">
      <c r="A82" s="58">
        <v>57</v>
      </c>
      <c r="B82" s="37" t="s">
        <v>193</v>
      </c>
      <c r="C82" s="111">
        <v>385</v>
      </c>
      <c r="D82" s="139">
        <v>55</v>
      </c>
      <c r="E82" s="111">
        <f>SUM(C82:D82)</f>
        <v>440</v>
      </c>
      <c r="F82" s="95">
        <v>200</v>
      </c>
      <c r="G82" s="95">
        <f t="shared" si="25"/>
        <v>385</v>
      </c>
      <c r="H82" s="112">
        <f>+E82*7.5%</f>
        <v>33</v>
      </c>
      <c r="I82" s="112">
        <f>+E82*1%</f>
        <v>4.4000000000000004</v>
      </c>
      <c r="J82" s="112">
        <f t="shared" si="17"/>
        <v>37.4</v>
      </c>
      <c r="K82" s="113">
        <f>+E82*7.75%</f>
        <v>34.1</v>
      </c>
      <c r="L82" s="114">
        <f t="shared" si="18"/>
        <v>448.79999999999995</v>
      </c>
      <c r="M82" s="114">
        <f t="shared" si="18"/>
        <v>409.20000000000005</v>
      </c>
      <c r="N82" s="114">
        <f t="shared" si="19"/>
        <v>4620</v>
      </c>
      <c r="O82" s="59">
        <f t="shared" si="20"/>
        <v>6063</v>
      </c>
    </row>
    <row r="83" spans="1:15">
      <c r="A83" s="58">
        <v>58</v>
      </c>
      <c r="B83" s="37" t="s">
        <v>193</v>
      </c>
      <c r="C83" s="111">
        <v>350</v>
      </c>
      <c r="D83" s="139">
        <v>50</v>
      </c>
      <c r="E83" s="111">
        <f>SUM(C83:D83)</f>
        <v>400</v>
      </c>
      <c r="F83" s="95">
        <v>200</v>
      </c>
      <c r="G83" s="95">
        <f t="shared" si="25"/>
        <v>350</v>
      </c>
      <c r="H83" s="112">
        <f>+E83*7.5%</f>
        <v>30</v>
      </c>
      <c r="I83" s="112">
        <f>+E83*1%</f>
        <v>4</v>
      </c>
      <c r="J83" s="112">
        <f t="shared" si="17"/>
        <v>34</v>
      </c>
      <c r="K83" s="113">
        <f>+E83*7.75%</f>
        <v>31</v>
      </c>
      <c r="L83" s="114">
        <f t="shared" si="18"/>
        <v>408</v>
      </c>
      <c r="M83" s="114">
        <f t="shared" si="18"/>
        <v>372</v>
      </c>
      <c r="N83" s="114">
        <f t="shared" si="19"/>
        <v>4200</v>
      </c>
      <c r="O83" s="59">
        <f t="shared" si="20"/>
        <v>5530</v>
      </c>
    </row>
    <row r="84" spans="1:15">
      <c r="A84" s="58">
        <v>59</v>
      </c>
      <c r="B84" s="37" t="s">
        <v>193</v>
      </c>
      <c r="C84" s="111">
        <v>550</v>
      </c>
      <c r="D84" s="111"/>
      <c r="E84" s="111"/>
      <c r="F84" s="95">
        <v>200</v>
      </c>
      <c r="G84" s="95">
        <f t="shared" si="25"/>
        <v>550</v>
      </c>
      <c r="H84" s="112">
        <v>41.25</v>
      </c>
      <c r="I84" s="112">
        <v>5.5</v>
      </c>
      <c r="J84" s="112">
        <f t="shared" si="17"/>
        <v>46.75</v>
      </c>
      <c r="K84" s="113">
        <v>42.63</v>
      </c>
      <c r="L84" s="114">
        <f t="shared" si="18"/>
        <v>561</v>
      </c>
      <c r="M84" s="114">
        <f t="shared" si="18"/>
        <v>511.56000000000006</v>
      </c>
      <c r="N84" s="114">
        <f t="shared" si="19"/>
        <v>6600</v>
      </c>
      <c r="O84" s="59">
        <f t="shared" si="20"/>
        <v>8422.56</v>
      </c>
    </row>
    <row r="85" spans="1:15">
      <c r="A85" s="115"/>
      <c r="B85" s="116"/>
      <c r="C85" s="117">
        <f>SUM(C41:C84)</f>
        <v>19547.32</v>
      </c>
      <c r="D85" s="117">
        <f>SUM(D41:D84)</f>
        <v>1155.19</v>
      </c>
      <c r="E85" s="117">
        <f>SUM(E41:E84)</f>
        <v>10485</v>
      </c>
      <c r="F85" s="117">
        <f t="shared" ref="F85:O85" si="26">SUM(F41:F84)</f>
        <v>8800</v>
      </c>
      <c r="G85" s="117">
        <f t="shared" si="26"/>
        <v>19547.32</v>
      </c>
      <c r="H85" s="117">
        <f t="shared" si="26"/>
        <v>1511.1949999999999</v>
      </c>
      <c r="I85" s="117">
        <f t="shared" si="26"/>
        <v>201.5</v>
      </c>
      <c r="J85" s="117">
        <f t="shared" si="26"/>
        <v>1712.6950000000002</v>
      </c>
      <c r="K85" s="117">
        <f t="shared" si="26"/>
        <v>1524.0049999999999</v>
      </c>
      <c r="L85" s="117">
        <f t="shared" si="26"/>
        <v>20552.339999999997</v>
      </c>
      <c r="M85" s="117">
        <f t="shared" si="26"/>
        <v>18288.060000000001</v>
      </c>
      <c r="N85" s="117">
        <f t="shared" si="26"/>
        <v>234567.84000000003</v>
      </c>
      <c r="O85" s="117">
        <f t="shared" si="26"/>
        <v>301755.55999999994</v>
      </c>
    </row>
    <row r="86" spans="1:15">
      <c r="A86" s="58"/>
      <c r="B86" s="37"/>
      <c r="C86" s="111"/>
      <c r="D86" s="111"/>
      <c r="E86" s="111"/>
      <c r="F86" s="95"/>
      <c r="G86" s="95"/>
      <c r="H86" s="112"/>
      <c r="I86" s="112"/>
      <c r="J86" s="112"/>
      <c r="K86" s="113"/>
      <c r="L86" s="114"/>
      <c r="M86" s="114"/>
      <c r="N86" s="114"/>
      <c r="O86" s="59"/>
    </row>
    <row r="87" spans="1:15">
      <c r="A87" s="58">
        <v>60</v>
      </c>
      <c r="B87" s="98" t="s">
        <v>351</v>
      </c>
      <c r="C87" s="111">
        <v>385</v>
      </c>
      <c r="D87" s="139">
        <v>65</v>
      </c>
      <c r="E87" s="111">
        <f t="shared" ref="E87:E94" si="27">SUM(C87:D87)</f>
        <v>450</v>
      </c>
      <c r="F87" s="95">
        <v>200</v>
      </c>
      <c r="G87" s="95">
        <f t="shared" ref="G87:G94" si="28">+C87</f>
        <v>385</v>
      </c>
      <c r="H87" s="112">
        <f t="shared" ref="H87:H93" si="29">+E87*7.5%</f>
        <v>33.75</v>
      </c>
      <c r="I87" s="112">
        <f t="shared" ref="I87:I93" si="30">+E87*1%</f>
        <v>4.5</v>
      </c>
      <c r="J87" s="112">
        <f t="shared" ref="J87:J94" si="31">SUM(H87:I87)</f>
        <v>38.25</v>
      </c>
      <c r="K87" s="113"/>
      <c r="L87" s="114">
        <f t="shared" ref="L87:M94" si="32">+J87*12</f>
        <v>459</v>
      </c>
      <c r="M87" s="114">
        <f t="shared" si="32"/>
        <v>0</v>
      </c>
      <c r="N87" s="114">
        <f t="shared" ref="N87:N94" si="33">+C87*12</f>
        <v>4620</v>
      </c>
      <c r="O87" s="59">
        <f t="shared" ref="O87:O94" si="34">+F87+G87+L87+M87+N87</f>
        <v>5664</v>
      </c>
    </row>
    <row r="88" spans="1:15">
      <c r="A88" s="58">
        <v>61</v>
      </c>
      <c r="B88" s="37" t="s">
        <v>351</v>
      </c>
      <c r="C88" s="111">
        <v>310</v>
      </c>
      <c r="D88" s="139">
        <v>40</v>
      </c>
      <c r="E88" s="111">
        <f t="shared" si="27"/>
        <v>350</v>
      </c>
      <c r="F88" s="95">
        <v>200</v>
      </c>
      <c r="G88" s="95">
        <f t="shared" si="28"/>
        <v>310</v>
      </c>
      <c r="H88" s="112">
        <f t="shared" si="29"/>
        <v>26.25</v>
      </c>
      <c r="I88" s="112">
        <f t="shared" si="30"/>
        <v>3.5</v>
      </c>
      <c r="J88" s="112">
        <f t="shared" si="31"/>
        <v>29.75</v>
      </c>
      <c r="K88" s="113">
        <v>24.03</v>
      </c>
      <c r="L88" s="114">
        <f t="shared" si="32"/>
        <v>357</v>
      </c>
      <c r="M88" s="114">
        <f t="shared" si="32"/>
        <v>288.36</v>
      </c>
      <c r="N88" s="114">
        <f t="shared" si="33"/>
        <v>3720</v>
      </c>
      <c r="O88" s="59">
        <f t="shared" si="34"/>
        <v>4875.3600000000006</v>
      </c>
    </row>
    <row r="89" spans="1:15">
      <c r="A89" s="58">
        <v>62</v>
      </c>
      <c r="B89" s="37" t="s">
        <v>351</v>
      </c>
      <c r="C89" s="111">
        <v>310</v>
      </c>
      <c r="D89" s="139">
        <v>40</v>
      </c>
      <c r="E89" s="111">
        <f t="shared" si="27"/>
        <v>350</v>
      </c>
      <c r="F89" s="95">
        <v>200</v>
      </c>
      <c r="G89" s="95">
        <f t="shared" si="28"/>
        <v>310</v>
      </c>
      <c r="H89" s="112">
        <f t="shared" si="29"/>
        <v>26.25</v>
      </c>
      <c r="I89" s="112">
        <f t="shared" si="30"/>
        <v>3.5</v>
      </c>
      <c r="J89" s="112">
        <f t="shared" si="31"/>
        <v>29.75</v>
      </c>
      <c r="K89" s="113">
        <v>24.03</v>
      </c>
      <c r="L89" s="114">
        <f t="shared" si="32"/>
        <v>357</v>
      </c>
      <c r="M89" s="114">
        <f t="shared" si="32"/>
        <v>288.36</v>
      </c>
      <c r="N89" s="114">
        <f t="shared" si="33"/>
        <v>3720</v>
      </c>
      <c r="O89" s="59">
        <f t="shared" si="34"/>
        <v>4875.3600000000006</v>
      </c>
    </row>
    <row r="90" spans="1:15">
      <c r="A90" s="58">
        <v>63</v>
      </c>
      <c r="B90" s="37" t="s">
        <v>351</v>
      </c>
      <c r="C90" s="111">
        <v>330</v>
      </c>
      <c r="D90" s="139">
        <v>20</v>
      </c>
      <c r="E90" s="111">
        <f t="shared" si="27"/>
        <v>350</v>
      </c>
      <c r="F90" s="95">
        <v>200</v>
      </c>
      <c r="G90" s="95">
        <f t="shared" si="28"/>
        <v>330</v>
      </c>
      <c r="H90" s="112">
        <f t="shared" si="29"/>
        <v>26.25</v>
      </c>
      <c r="I90" s="112">
        <f t="shared" si="30"/>
        <v>3.5</v>
      </c>
      <c r="J90" s="112">
        <f t="shared" si="31"/>
        <v>29.75</v>
      </c>
      <c r="K90" s="113">
        <v>26.2</v>
      </c>
      <c r="L90" s="114">
        <f t="shared" si="32"/>
        <v>357</v>
      </c>
      <c r="M90" s="114">
        <f t="shared" si="32"/>
        <v>314.39999999999998</v>
      </c>
      <c r="N90" s="114">
        <f t="shared" si="33"/>
        <v>3960</v>
      </c>
      <c r="O90" s="59">
        <f t="shared" si="34"/>
        <v>5161.3999999999996</v>
      </c>
    </row>
    <row r="91" spans="1:15">
      <c r="A91" s="58">
        <v>64</v>
      </c>
      <c r="B91" s="37" t="s">
        <v>351</v>
      </c>
      <c r="C91" s="111">
        <v>330</v>
      </c>
      <c r="D91" s="139">
        <v>20</v>
      </c>
      <c r="E91" s="111">
        <f t="shared" si="27"/>
        <v>350</v>
      </c>
      <c r="F91" s="95">
        <v>200</v>
      </c>
      <c r="G91" s="95">
        <f t="shared" si="28"/>
        <v>330</v>
      </c>
      <c r="H91" s="112">
        <f t="shared" si="29"/>
        <v>26.25</v>
      </c>
      <c r="I91" s="112">
        <f t="shared" si="30"/>
        <v>3.5</v>
      </c>
      <c r="J91" s="112">
        <f t="shared" si="31"/>
        <v>29.75</v>
      </c>
      <c r="K91" s="113">
        <v>24.75</v>
      </c>
      <c r="L91" s="114">
        <f t="shared" si="32"/>
        <v>357</v>
      </c>
      <c r="M91" s="114">
        <f t="shared" si="32"/>
        <v>297</v>
      </c>
      <c r="N91" s="114">
        <f t="shared" si="33"/>
        <v>3960</v>
      </c>
      <c r="O91" s="59">
        <f t="shared" si="34"/>
        <v>5144</v>
      </c>
    </row>
    <row r="92" spans="1:15">
      <c r="A92" s="58">
        <v>65</v>
      </c>
      <c r="B92" s="37" t="s">
        <v>351</v>
      </c>
      <c r="C92" s="111">
        <v>310</v>
      </c>
      <c r="D92" s="139">
        <v>40</v>
      </c>
      <c r="E92" s="111">
        <f t="shared" si="27"/>
        <v>350</v>
      </c>
      <c r="F92" s="95">
        <v>200</v>
      </c>
      <c r="G92" s="95">
        <f t="shared" si="28"/>
        <v>310</v>
      </c>
      <c r="H92" s="112">
        <f t="shared" si="29"/>
        <v>26.25</v>
      </c>
      <c r="I92" s="112">
        <f t="shared" si="30"/>
        <v>3.5</v>
      </c>
      <c r="J92" s="112">
        <f t="shared" si="31"/>
        <v>29.75</v>
      </c>
      <c r="K92" s="113">
        <v>24.03</v>
      </c>
      <c r="L92" s="114">
        <f t="shared" si="32"/>
        <v>357</v>
      </c>
      <c r="M92" s="114">
        <f t="shared" si="32"/>
        <v>288.36</v>
      </c>
      <c r="N92" s="114">
        <f t="shared" si="33"/>
        <v>3720</v>
      </c>
      <c r="O92" s="59">
        <f t="shared" si="34"/>
        <v>4875.3600000000006</v>
      </c>
    </row>
    <row r="93" spans="1:15">
      <c r="A93" s="58">
        <v>66</v>
      </c>
      <c r="B93" s="37"/>
      <c r="C93" s="111">
        <v>504.9</v>
      </c>
      <c r="D93" s="139">
        <v>45.1</v>
      </c>
      <c r="E93" s="111">
        <f t="shared" si="27"/>
        <v>550</v>
      </c>
      <c r="F93" s="95">
        <v>200</v>
      </c>
      <c r="G93" s="95">
        <f t="shared" si="28"/>
        <v>504.9</v>
      </c>
      <c r="H93" s="112">
        <f t="shared" si="29"/>
        <v>41.25</v>
      </c>
      <c r="I93" s="112">
        <f t="shared" si="30"/>
        <v>5.5</v>
      </c>
      <c r="J93" s="112">
        <f t="shared" si="31"/>
        <v>46.75</v>
      </c>
      <c r="K93" s="113">
        <v>24.03</v>
      </c>
      <c r="L93" s="114">
        <f t="shared" si="32"/>
        <v>561</v>
      </c>
      <c r="M93" s="114">
        <f t="shared" si="32"/>
        <v>288.36</v>
      </c>
      <c r="N93" s="114">
        <f t="shared" si="33"/>
        <v>6058.7999999999993</v>
      </c>
      <c r="O93" s="59">
        <f t="shared" si="34"/>
        <v>7613.0599999999995</v>
      </c>
    </row>
    <row r="94" spans="1:15">
      <c r="A94" s="58">
        <v>67</v>
      </c>
      <c r="B94" s="37" t="s">
        <v>351</v>
      </c>
      <c r="C94" s="111">
        <v>310</v>
      </c>
      <c r="D94" s="139">
        <v>40</v>
      </c>
      <c r="E94" s="111">
        <f t="shared" si="27"/>
        <v>350</v>
      </c>
      <c r="F94" s="95">
        <v>200</v>
      </c>
      <c r="G94" s="95">
        <f t="shared" si="28"/>
        <v>310</v>
      </c>
      <c r="H94" s="112">
        <f>+E94*7.5%</f>
        <v>26.25</v>
      </c>
      <c r="I94" s="112">
        <f>+E94*1%</f>
        <v>3.5</v>
      </c>
      <c r="J94" s="112">
        <f t="shared" si="31"/>
        <v>29.75</v>
      </c>
      <c r="K94" s="113">
        <v>24.03</v>
      </c>
      <c r="L94" s="114">
        <f t="shared" si="32"/>
        <v>357</v>
      </c>
      <c r="M94" s="114">
        <f t="shared" si="32"/>
        <v>288.36</v>
      </c>
      <c r="N94" s="114">
        <f t="shared" si="33"/>
        <v>3720</v>
      </c>
      <c r="O94" s="59">
        <f t="shared" si="34"/>
        <v>4875.3600000000006</v>
      </c>
    </row>
    <row r="95" spans="1:15">
      <c r="A95" s="115"/>
      <c r="B95" s="116"/>
      <c r="C95" s="117">
        <f>SUM(C87:C94)</f>
        <v>2789.9</v>
      </c>
      <c r="D95" s="117">
        <f>SUM(D87:D94)</f>
        <v>310.10000000000002</v>
      </c>
      <c r="E95" s="117">
        <f>SUM(E87:E94)</f>
        <v>3100</v>
      </c>
      <c r="F95" s="117">
        <f t="shared" ref="F95:O95" si="35">SUM(F87:F94)</f>
        <v>1600</v>
      </c>
      <c r="G95" s="117">
        <f t="shared" si="35"/>
        <v>2789.9</v>
      </c>
      <c r="H95" s="117">
        <f t="shared" si="35"/>
        <v>232.5</v>
      </c>
      <c r="I95" s="117">
        <f t="shared" si="35"/>
        <v>31</v>
      </c>
      <c r="J95" s="117">
        <f t="shared" si="35"/>
        <v>263.5</v>
      </c>
      <c r="K95" s="117">
        <f t="shared" si="35"/>
        <v>171.1</v>
      </c>
      <c r="L95" s="117">
        <f t="shared" si="35"/>
        <v>3162</v>
      </c>
      <c r="M95" s="117">
        <f t="shared" si="35"/>
        <v>2053.2000000000003</v>
      </c>
      <c r="N95" s="117">
        <f t="shared" si="35"/>
        <v>33478.800000000003</v>
      </c>
      <c r="O95" s="117">
        <f t="shared" si="35"/>
        <v>43083.9</v>
      </c>
    </row>
    <row r="96" spans="1:15">
      <c r="A96" s="58"/>
      <c r="B96" s="37"/>
      <c r="C96" s="111"/>
      <c r="D96" s="111"/>
      <c r="E96" s="111"/>
      <c r="F96" s="95"/>
      <c r="G96" s="95"/>
      <c r="H96" s="112"/>
      <c r="I96" s="112"/>
      <c r="J96" s="112"/>
      <c r="K96" s="113"/>
      <c r="L96" s="114"/>
      <c r="M96" s="114"/>
      <c r="N96" s="114"/>
      <c r="O96" s="59"/>
    </row>
    <row r="97" spans="1:15">
      <c r="A97" s="58"/>
      <c r="B97" s="37"/>
      <c r="C97" s="111"/>
      <c r="D97" s="111"/>
      <c r="E97" s="111"/>
      <c r="F97" s="95"/>
      <c r="G97" s="95">
        <f>+C97</f>
        <v>0</v>
      </c>
      <c r="H97" s="112"/>
      <c r="I97" s="112"/>
      <c r="J97" s="112"/>
      <c r="K97" s="113"/>
      <c r="L97" s="114"/>
      <c r="M97" s="114"/>
      <c r="N97" s="114"/>
      <c r="O97" s="59"/>
    </row>
    <row r="98" spans="1:15" ht="13.5" thickBot="1">
      <c r="A98" s="58"/>
      <c r="B98" s="37"/>
      <c r="C98" s="111"/>
      <c r="D98" s="111"/>
      <c r="E98" s="111"/>
      <c r="F98" s="95"/>
      <c r="G98" s="95"/>
      <c r="H98" s="112"/>
      <c r="I98" s="112"/>
      <c r="J98" s="112"/>
      <c r="K98" s="113"/>
      <c r="L98" s="114"/>
      <c r="M98" s="114"/>
      <c r="N98" s="114"/>
      <c r="O98" s="59"/>
    </row>
    <row r="99" spans="1:15" ht="15.75" thickBot="1">
      <c r="A99" s="1252"/>
      <c r="B99" s="1255"/>
      <c r="C99" s="63">
        <f>+C13+C27+C39+C85+C95</f>
        <v>45983.27</v>
      </c>
      <c r="D99" s="63">
        <f>+D13+D27+D39+D85+D95</f>
        <v>1686.29</v>
      </c>
      <c r="E99" s="117">
        <f>SUM(C99:D99)</f>
        <v>47669.56</v>
      </c>
      <c r="F99" s="63">
        <f t="shared" ref="F99:O99" si="36">+F13+F27+F39+F85+F95</f>
        <v>13400</v>
      </c>
      <c r="G99" s="63">
        <f t="shared" si="36"/>
        <v>35423.269999999997</v>
      </c>
      <c r="H99" s="63">
        <f t="shared" si="36"/>
        <v>2982.1800000000003</v>
      </c>
      <c r="I99" s="63">
        <f t="shared" si="36"/>
        <v>387.97</v>
      </c>
      <c r="J99" s="63">
        <f t="shared" si="36"/>
        <v>3370.15</v>
      </c>
      <c r="K99" s="63">
        <f t="shared" si="36"/>
        <v>2936.1224999999999</v>
      </c>
      <c r="L99" s="63">
        <f t="shared" si="36"/>
        <v>40441.800000000003</v>
      </c>
      <c r="M99" s="63">
        <f t="shared" si="36"/>
        <v>35233.47</v>
      </c>
      <c r="N99" s="63">
        <f t="shared" si="36"/>
        <v>551799.24</v>
      </c>
      <c r="O99" s="63">
        <f t="shared" si="36"/>
        <v>676297.77999999991</v>
      </c>
    </row>
    <row r="100" spans="1:15" ht="14.25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</row>
    <row r="101" spans="1:15">
      <c r="F101" s="101"/>
    </row>
    <row r="102" spans="1:15">
      <c r="C102" s="128" t="s">
        <v>483</v>
      </c>
      <c r="D102" s="128"/>
      <c r="E102" s="128"/>
      <c r="F102" s="101"/>
      <c r="I102" s="134"/>
    </row>
    <row r="103" spans="1:15">
      <c r="C103" s="36">
        <v>51101</v>
      </c>
      <c r="F103" s="129" t="s">
        <v>30</v>
      </c>
      <c r="H103" s="130">
        <v>90444.6</v>
      </c>
      <c r="I103" s="130">
        <v>96516.6</v>
      </c>
    </row>
    <row r="104" spans="1:15">
      <c r="C104" s="36">
        <v>51103</v>
      </c>
      <c r="F104" s="129" t="s">
        <v>31</v>
      </c>
      <c r="H104" s="130">
        <v>7537.05</v>
      </c>
      <c r="I104" s="130">
        <v>8043.05</v>
      </c>
    </row>
    <row r="105" spans="1:15">
      <c r="C105" s="36">
        <v>51105</v>
      </c>
      <c r="F105" s="129" t="s">
        <v>62</v>
      </c>
      <c r="H105" s="130">
        <v>126720</v>
      </c>
      <c r="I105" s="130">
        <v>126720</v>
      </c>
    </row>
    <row r="106" spans="1:15">
      <c r="C106" s="36">
        <v>51107</v>
      </c>
      <c r="F106" s="129" t="s">
        <v>471</v>
      </c>
      <c r="H106" s="130">
        <v>1200</v>
      </c>
      <c r="I106" s="130">
        <v>1400</v>
      </c>
      <c r="J106" s="36" t="s">
        <v>496</v>
      </c>
    </row>
    <row r="107" spans="1:15">
      <c r="C107" s="36">
        <v>51401</v>
      </c>
      <c r="F107" s="129" t="s">
        <v>484</v>
      </c>
      <c r="H107" s="130">
        <v>10872.6</v>
      </c>
      <c r="I107" s="130">
        <v>11508.71</v>
      </c>
      <c r="J107" s="138" t="s">
        <v>496</v>
      </c>
    </row>
    <row r="108" spans="1:15">
      <c r="C108" s="36">
        <v>51501</v>
      </c>
      <c r="F108" s="129" t="s">
        <v>485</v>
      </c>
      <c r="H108" s="130">
        <v>9557.64</v>
      </c>
      <c r="I108" s="130">
        <v>10883.84</v>
      </c>
      <c r="J108" s="138"/>
      <c r="K108" s="130">
        <f>+I107+I115+I123</f>
        <v>38196.679999999993</v>
      </c>
      <c r="M108" s="130"/>
    </row>
    <row r="109" spans="1:15">
      <c r="H109" s="131">
        <f>SUM(H103:H108)</f>
        <v>246331.89</v>
      </c>
      <c r="I109" s="135">
        <f>SUM(I103:I108)</f>
        <v>255072.2</v>
      </c>
    </row>
    <row r="110" spans="1:15">
      <c r="C110" s="128" t="s">
        <v>486</v>
      </c>
      <c r="D110" s="128"/>
      <c r="E110" s="128"/>
      <c r="H110" s="130"/>
      <c r="I110" s="130"/>
    </row>
    <row r="111" spans="1:15">
      <c r="C111" s="36">
        <v>51101</v>
      </c>
      <c r="F111" s="129" t="s">
        <v>30</v>
      </c>
      <c r="H111" s="130">
        <v>66588</v>
      </c>
      <c r="I111" s="130">
        <v>164470.92000000001</v>
      </c>
    </row>
    <row r="112" spans="1:15">
      <c r="C112" s="36">
        <v>51103</v>
      </c>
      <c r="F112" s="129" t="s">
        <v>31</v>
      </c>
      <c r="H112" s="130">
        <v>5549</v>
      </c>
      <c r="I112" s="130">
        <v>13705.91</v>
      </c>
    </row>
    <row r="113" spans="3:13">
      <c r="C113" s="36">
        <v>51105</v>
      </c>
      <c r="F113" s="129" t="s">
        <v>62</v>
      </c>
      <c r="H113" s="130"/>
      <c r="I113" s="130"/>
    </row>
    <row r="114" spans="3:13">
      <c r="C114" s="36">
        <v>51107</v>
      </c>
      <c r="F114" s="129" t="s">
        <v>471</v>
      </c>
      <c r="H114" s="130">
        <v>1800</v>
      </c>
      <c r="I114" s="130">
        <v>5400</v>
      </c>
    </row>
    <row r="115" spans="3:13">
      <c r="C115" s="36">
        <v>51401</v>
      </c>
      <c r="F115" s="129" t="s">
        <v>484</v>
      </c>
      <c r="H115" s="130">
        <v>5629.44</v>
      </c>
      <c r="I115" s="130">
        <v>13980.06</v>
      </c>
      <c r="J115" s="36" t="s">
        <v>496</v>
      </c>
    </row>
    <row r="116" spans="3:13">
      <c r="C116" s="36">
        <v>51501</v>
      </c>
      <c r="F116" s="129" t="s">
        <v>485</v>
      </c>
      <c r="H116" s="130">
        <v>5129.16</v>
      </c>
      <c r="I116" s="130">
        <v>12746.55</v>
      </c>
    </row>
    <row r="117" spans="3:13">
      <c r="H117" s="131">
        <f>SUM(H111:H116)</f>
        <v>84695.6</v>
      </c>
      <c r="I117" s="135">
        <f>SUM(I111:I116)</f>
        <v>210303.44</v>
      </c>
    </row>
    <row r="118" spans="3:13">
      <c r="C118" s="128" t="s">
        <v>487</v>
      </c>
      <c r="D118" s="128"/>
      <c r="E118" s="128"/>
      <c r="H118" s="130"/>
      <c r="I118" s="130"/>
    </row>
    <row r="119" spans="3:13">
      <c r="C119" s="36">
        <v>51101</v>
      </c>
      <c r="F119" s="129" t="s">
        <v>30</v>
      </c>
      <c r="H119" s="130">
        <f>+C85*12</f>
        <v>234567.84</v>
      </c>
      <c r="I119" s="130">
        <v>148927.20000000001</v>
      </c>
      <c r="J119" s="136">
        <v>72864</v>
      </c>
      <c r="K119" s="136">
        <v>76063.199999999997</v>
      </c>
      <c r="L119" s="137">
        <f>+J119+K119</f>
        <v>148927.20000000001</v>
      </c>
    </row>
    <row r="120" spans="3:13">
      <c r="C120" s="36">
        <v>51103</v>
      </c>
      <c r="F120" s="129" t="s">
        <v>31</v>
      </c>
      <c r="H120" s="130">
        <v>19547.32</v>
      </c>
      <c r="I120" s="130">
        <v>12410.6</v>
      </c>
      <c r="J120" s="136">
        <v>6072</v>
      </c>
      <c r="K120" s="136">
        <v>6338.6</v>
      </c>
      <c r="L120" s="137">
        <f>+J120+K120</f>
        <v>12410.6</v>
      </c>
    </row>
    <row r="121" spans="3:13">
      <c r="C121" s="36">
        <v>51105</v>
      </c>
      <c r="F121" s="129" t="s">
        <v>62</v>
      </c>
      <c r="H121" s="130"/>
      <c r="I121" s="130"/>
      <c r="J121" s="136"/>
      <c r="K121" s="136"/>
      <c r="L121" s="137"/>
    </row>
    <row r="122" spans="3:13">
      <c r="C122" s="36">
        <v>51107</v>
      </c>
      <c r="F122" s="129" t="s">
        <v>471</v>
      </c>
      <c r="H122" s="130">
        <v>8800</v>
      </c>
      <c r="I122" s="130">
        <v>5000</v>
      </c>
      <c r="J122" s="136">
        <v>2000</v>
      </c>
      <c r="K122" s="136">
        <v>3000</v>
      </c>
      <c r="L122" s="137">
        <f>+J122+K122</f>
        <v>5000</v>
      </c>
    </row>
    <row r="123" spans="3:13">
      <c r="C123" s="36">
        <v>51401</v>
      </c>
      <c r="F123" s="129" t="s">
        <v>484</v>
      </c>
      <c r="H123" s="130">
        <v>19023.599999999999</v>
      </c>
      <c r="I123" s="130">
        <v>12707.91</v>
      </c>
      <c r="J123" s="136">
        <v>6124.08</v>
      </c>
      <c r="K123" s="136">
        <v>6583.83</v>
      </c>
      <c r="L123" s="137">
        <f>+J123+K123</f>
        <v>12707.91</v>
      </c>
    </row>
    <row r="124" spans="3:13">
      <c r="C124" s="36">
        <v>51501</v>
      </c>
      <c r="F124" s="129" t="s">
        <v>485</v>
      </c>
      <c r="H124" s="130">
        <v>15314.76</v>
      </c>
      <c r="I124" s="130">
        <v>10594.14</v>
      </c>
      <c r="J124" s="136">
        <v>5647.02</v>
      </c>
      <c r="K124" s="136">
        <v>4947.12</v>
      </c>
      <c r="L124" s="137">
        <f>+J124+K124</f>
        <v>10594.14</v>
      </c>
    </row>
    <row r="125" spans="3:13">
      <c r="H125" s="131">
        <f>SUM(H119:H124)</f>
        <v>297253.52</v>
      </c>
      <c r="I125" s="135">
        <f>SUM(I119:I124)</f>
        <v>189639.85000000003</v>
      </c>
      <c r="J125" s="136">
        <f>+I109+I117+I125</f>
        <v>655015.49</v>
      </c>
      <c r="K125" s="136">
        <f>+H109+H117+H125</f>
        <v>628281.01</v>
      </c>
      <c r="L125" s="137">
        <v>659343.30000000005</v>
      </c>
      <c r="M125" s="130">
        <f>+L125-J125</f>
        <v>4327.8100000000559</v>
      </c>
    </row>
    <row r="126" spans="3:13">
      <c r="C126" s="128" t="s">
        <v>488</v>
      </c>
      <c r="D126" s="128"/>
      <c r="E126" s="128"/>
      <c r="H126" s="130"/>
      <c r="I126" s="130"/>
      <c r="J126" s="136"/>
      <c r="K126" s="136"/>
      <c r="L126" s="137"/>
    </row>
    <row r="127" spans="3:13">
      <c r="C127" s="36">
        <v>51101</v>
      </c>
      <c r="F127" s="129" t="s">
        <v>30</v>
      </c>
      <c r="H127" s="130">
        <v>27420</v>
      </c>
      <c r="I127" s="130">
        <v>37200</v>
      </c>
    </row>
    <row r="128" spans="3:13">
      <c r="C128" s="36">
        <v>51103</v>
      </c>
      <c r="F128" s="129" t="s">
        <v>31</v>
      </c>
      <c r="H128" s="130">
        <v>0</v>
      </c>
      <c r="I128" s="130"/>
    </row>
    <row r="129" spans="3:10">
      <c r="C129" s="36">
        <v>51105</v>
      </c>
      <c r="F129" s="129" t="s">
        <v>62</v>
      </c>
      <c r="H129" s="130"/>
      <c r="I129" s="130"/>
    </row>
    <row r="130" spans="3:10">
      <c r="C130" s="36">
        <v>51107</v>
      </c>
      <c r="F130" s="129" t="s">
        <v>471</v>
      </c>
      <c r="H130" s="130">
        <v>0</v>
      </c>
      <c r="I130" s="130"/>
    </row>
    <row r="131" spans="3:10">
      <c r="C131" s="36">
        <v>51401</v>
      </c>
      <c r="F131" s="129" t="s">
        <v>484</v>
      </c>
      <c r="H131" s="130">
        <v>2340.7199999999998</v>
      </c>
      <c r="I131" s="130">
        <v>3162</v>
      </c>
      <c r="J131" s="130"/>
    </row>
    <row r="132" spans="3:10">
      <c r="C132" s="36">
        <v>51501</v>
      </c>
      <c r="F132" s="129" t="s">
        <v>485</v>
      </c>
      <c r="H132" s="130">
        <v>1764.84</v>
      </c>
      <c r="I132" s="130">
        <v>2883</v>
      </c>
    </row>
    <row r="133" spans="3:10">
      <c r="H133" s="131">
        <f>SUM(H127:H132)</f>
        <v>31525.56</v>
      </c>
      <c r="I133" s="130">
        <f>+I127+I131+I132</f>
        <v>43245</v>
      </c>
    </row>
    <row r="134" spans="3:10">
      <c r="C134" s="101" t="s">
        <v>489</v>
      </c>
      <c r="D134" s="101"/>
      <c r="E134" s="101"/>
      <c r="H134" s="132">
        <f>+H109+H117+H125+H133</f>
        <v>659806.57000000007</v>
      </c>
      <c r="I134" s="130"/>
    </row>
    <row r="135" spans="3:10">
      <c r="H135" s="130"/>
      <c r="I135" s="130"/>
    </row>
    <row r="136" spans="3:10">
      <c r="H136" s="130"/>
      <c r="I136" s="130"/>
    </row>
    <row r="137" spans="3:10">
      <c r="H137" s="130"/>
      <c r="I137" s="130"/>
    </row>
  </sheetData>
  <mergeCells count="12">
    <mergeCell ref="C5:C6"/>
    <mergeCell ref="H5:H6"/>
    <mergeCell ref="I5:I6"/>
    <mergeCell ref="A99:B99"/>
    <mergeCell ref="A1:O1"/>
    <mergeCell ref="A2:O2"/>
    <mergeCell ref="A3:O3"/>
    <mergeCell ref="A4:A6"/>
    <mergeCell ref="B4:B6"/>
    <mergeCell ref="C4:G4"/>
    <mergeCell ref="H4:J4"/>
    <mergeCell ref="O4:O6"/>
  </mergeCells>
  <pageMargins left="0.7" right="0.7" top="0.75" bottom="0.75" header="0.3" footer="0.3"/>
  <pageSetup scale="8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/>
    <pageSetUpPr fitToPage="1"/>
  </sheetPr>
  <dimension ref="A1:O32"/>
  <sheetViews>
    <sheetView topLeftCell="A18" zoomScale="96" zoomScaleNormal="96" zoomScaleSheetLayoutView="80" workbookViewId="0">
      <selection activeCell="E31" sqref="E31"/>
    </sheetView>
  </sheetViews>
  <sheetFormatPr baseColWidth="10" defaultRowHeight="12.75"/>
  <cols>
    <col min="1" max="1" width="14.28515625" customWidth="1"/>
    <col min="2" max="2" width="18.28515625" customWidth="1"/>
    <col min="3" max="3" width="16.42578125" customWidth="1"/>
    <col min="4" max="4" width="14.42578125" customWidth="1"/>
    <col min="5" max="5" width="12.42578125" bestFit="1" customWidth="1"/>
    <col min="6" max="7" width="13.5703125" bestFit="1" customWidth="1"/>
    <col min="8" max="8" width="15.140625" customWidth="1"/>
    <col min="9" max="9" width="16.28515625" customWidth="1"/>
    <col min="10" max="10" width="14.5703125" customWidth="1"/>
    <col min="11" max="11" width="15.140625" customWidth="1"/>
    <col min="12" max="12" width="11.42578125" style="178" customWidth="1"/>
    <col min="13" max="13" width="13.42578125" customWidth="1"/>
    <col min="15" max="15" width="13.7109375" bestFit="1" customWidth="1"/>
  </cols>
  <sheetData>
    <row r="1" spans="1:13" ht="13.5" hidden="1" thickBot="1"/>
    <row r="2" spans="1:13" ht="33" hidden="1" customHeight="1" thickBot="1">
      <c r="I2" s="1315" t="s">
        <v>659</v>
      </c>
      <c r="J2" s="1316"/>
      <c r="K2" s="1316"/>
      <c r="L2" s="1316"/>
      <c r="M2" s="1317"/>
    </row>
    <row r="3" spans="1:13" ht="38.450000000000003" hidden="1" customHeight="1" thickBot="1">
      <c r="A3" s="179" t="s">
        <v>525</v>
      </c>
      <c r="B3" s="180" t="s">
        <v>526</v>
      </c>
      <c r="C3" s="1211" t="s">
        <v>527</v>
      </c>
      <c r="D3" s="1212"/>
      <c r="I3" s="351" t="s">
        <v>528</v>
      </c>
      <c r="J3" s="352" t="s">
        <v>654</v>
      </c>
      <c r="K3" s="353" t="s">
        <v>655</v>
      </c>
      <c r="L3" s="354" t="s">
        <v>529</v>
      </c>
      <c r="M3" s="355" t="s">
        <v>223</v>
      </c>
    </row>
    <row r="4" spans="1:13" ht="41.45" hidden="1" customHeight="1" thickBot="1">
      <c r="A4" s="1318" t="s">
        <v>649</v>
      </c>
      <c r="B4" s="181">
        <v>12034.2</v>
      </c>
      <c r="C4" s="1322" t="s">
        <v>650</v>
      </c>
      <c r="D4" s="1323"/>
      <c r="I4" s="242" t="s">
        <v>542</v>
      </c>
      <c r="J4" s="243">
        <v>1002.85</v>
      </c>
      <c r="K4" s="348">
        <v>2130.94</v>
      </c>
      <c r="L4" s="244"/>
      <c r="M4" s="350">
        <f>J4+K4</f>
        <v>3133.79</v>
      </c>
    </row>
    <row r="5" spans="1:13" ht="32.450000000000003" hidden="1" customHeight="1" thickBot="1">
      <c r="A5" s="1319"/>
      <c r="B5" s="181">
        <v>25571.279999999999</v>
      </c>
      <c r="C5" s="1324" t="s">
        <v>651</v>
      </c>
      <c r="D5" s="1325"/>
      <c r="I5" s="246" t="s">
        <v>543</v>
      </c>
      <c r="J5" s="243">
        <v>1002.85</v>
      </c>
      <c r="K5" s="348">
        <v>2130.94</v>
      </c>
      <c r="L5" s="247"/>
      <c r="M5" s="245">
        <f t="shared" ref="M5:M15" si="0">J5+K5</f>
        <v>3133.79</v>
      </c>
    </row>
    <row r="6" spans="1:13" ht="37.9" hidden="1" customHeight="1" thickBot="1">
      <c r="A6" s="1319"/>
      <c r="B6" s="181">
        <v>1203.42</v>
      </c>
      <c r="C6" s="1324" t="s">
        <v>652</v>
      </c>
      <c r="D6" s="1325"/>
      <c r="I6" s="246" t="s">
        <v>544</v>
      </c>
      <c r="J6" s="243">
        <v>1002.85</v>
      </c>
      <c r="K6" s="348">
        <v>2130.94</v>
      </c>
      <c r="L6" s="247"/>
      <c r="M6" s="245">
        <f t="shared" si="0"/>
        <v>3133.79</v>
      </c>
    </row>
    <row r="7" spans="1:13" ht="37.9" hidden="1" customHeight="1" thickBot="1">
      <c r="A7" s="1320"/>
      <c r="B7" s="265">
        <v>2557.13</v>
      </c>
      <c r="C7" s="1328" t="s">
        <v>653</v>
      </c>
      <c r="D7" s="1329"/>
      <c r="I7" s="246" t="s">
        <v>548</v>
      </c>
      <c r="J7" s="243">
        <v>1002.85</v>
      </c>
      <c r="K7" s="348">
        <v>2130.94</v>
      </c>
      <c r="L7" s="247"/>
      <c r="M7" s="245">
        <f t="shared" si="0"/>
        <v>3133.79</v>
      </c>
    </row>
    <row r="8" spans="1:13" ht="37.9" hidden="1" customHeight="1" thickBot="1">
      <c r="A8" s="1320"/>
      <c r="B8" s="265"/>
      <c r="C8" s="1328"/>
      <c r="D8" s="1329"/>
      <c r="I8" s="246" t="s">
        <v>545</v>
      </c>
      <c r="J8" s="243">
        <v>1002.85</v>
      </c>
      <c r="K8" s="348">
        <v>2130.94</v>
      </c>
      <c r="L8" s="247"/>
      <c r="M8" s="245">
        <f t="shared" si="0"/>
        <v>3133.79</v>
      </c>
    </row>
    <row r="9" spans="1:13" ht="37.9" hidden="1" customHeight="1" thickBot="1">
      <c r="A9" s="1320"/>
      <c r="B9" s="265"/>
      <c r="C9" s="1328"/>
      <c r="D9" s="1329"/>
      <c r="I9" s="246" t="s">
        <v>546</v>
      </c>
      <c r="J9" s="243">
        <v>1002.85</v>
      </c>
      <c r="K9" s="348">
        <v>2130.94</v>
      </c>
      <c r="L9" s="247"/>
      <c r="M9" s="245">
        <f t="shared" si="0"/>
        <v>3133.79</v>
      </c>
    </row>
    <row r="10" spans="1:13" ht="27.6" hidden="1" customHeight="1" thickBot="1">
      <c r="A10" s="1321"/>
      <c r="B10" s="182">
        <f>SUM(B4:B9)</f>
        <v>41366.029999999992</v>
      </c>
      <c r="C10" s="1326">
        <f>B10*10%</f>
        <v>4136.6029999999992</v>
      </c>
      <c r="D10" s="1327"/>
      <c r="I10" s="246" t="s">
        <v>547</v>
      </c>
      <c r="J10" s="243">
        <v>1002.85</v>
      </c>
      <c r="K10" s="348">
        <v>2130.94</v>
      </c>
      <c r="L10" s="248"/>
      <c r="M10" s="245">
        <f t="shared" si="0"/>
        <v>3133.79</v>
      </c>
    </row>
    <row r="11" spans="1:13" ht="21.75" hidden="1" customHeight="1" thickBot="1">
      <c r="I11" s="246" t="s">
        <v>656</v>
      </c>
      <c r="J11" s="243">
        <v>1002.85</v>
      </c>
      <c r="K11" s="348">
        <v>2130.94</v>
      </c>
      <c r="L11" s="247"/>
      <c r="M11" s="245">
        <f t="shared" si="0"/>
        <v>3133.79</v>
      </c>
    </row>
    <row r="12" spans="1:13" ht="27" hidden="1" customHeight="1" thickBot="1">
      <c r="I12" s="246" t="s">
        <v>549</v>
      </c>
      <c r="J12" s="243">
        <v>1002.85</v>
      </c>
      <c r="K12" s="348">
        <v>2130.94</v>
      </c>
      <c r="L12" s="247"/>
      <c r="M12" s="245">
        <f t="shared" si="0"/>
        <v>3133.79</v>
      </c>
    </row>
    <row r="13" spans="1:13" ht="27" hidden="1" customHeight="1" thickBot="1">
      <c r="I13" s="246" t="s">
        <v>550</v>
      </c>
      <c r="J13" s="243">
        <v>1002.85</v>
      </c>
      <c r="K13" s="348">
        <v>2130.94</v>
      </c>
      <c r="L13" s="247"/>
      <c r="M13" s="245">
        <f t="shared" si="0"/>
        <v>3133.79</v>
      </c>
    </row>
    <row r="14" spans="1:13" ht="28.5" hidden="1" customHeight="1" thickBot="1">
      <c r="E14" s="183"/>
      <c r="I14" s="246" t="s">
        <v>658</v>
      </c>
      <c r="J14" s="243">
        <v>1002.85</v>
      </c>
      <c r="K14" s="348">
        <v>2130.94</v>
      </c>
      <c r="L14" s="247"/>
      <c r="M14" s="245">
        <f t="shared" si="0"/>
        <v>3133.79</v>
      </c>
    </row>
    <row r="15" spans="1:13" ht="26.25" hidden="1" customHeight="1">
      <c r="I15" s="246" t="s">
        <v>657</v>
      </c>
      <c r="J15" s="243">
        <v>1002.85</v>
      </c>
      <c r="K15" s="348">
        <v>2130.94</v>
      </c>
      <c r="L15" s="248"/>
      <c r="M15" s="245">
        <f t="shared" si="0"/>
        <v>3133.79</v>
      </c>
    </row>
    <row r="16" spans="1:13" ht="41.45" hidden="1" customHeight="1" thickBot="1">
      <c r="I16" s="249" t="s">
        <v>530</v>
      </c>
      <c r="J16" s="250">
        <f>SUM(J4:J15)</f>
        <v>12034.200000000003</v>
      </c>
      <c r="K16" s="250">
        <f>SUM(K4:K15)</f>
        <v>25571.279999999995</v>
      </c>
      <c r="L16" s="251"/>
      <c r="M16" s="349">
        <f>SUM(M4:M15)</f>
        <v>37605.480000000003</v>
      </c>
    </row>
    <row r="17" spans="1:15" hidden="1">
      <c r="J17" s="184"/>
      <c r="K17" s="184"/>
    </row>
    <row r="18" spans="1:15" ht="13.5" thickBot="1"/>
    <row r="19" spans="1:15" ht="51" customHeight="1" thickBot="1">
      <c r="A19" s="1310" t="s">
        <v>1181</v>
      </c>
      <c r="B19" s="1311"/>
      <c r="C19" s="1311"/>
      <c r="D19" s="1311"/>
      <c r="E19" s="1311"/>
      <c r="F19" s="1311"/>
      <c r="G19" s="1311"/>
      <c r="H19" s="1311"/>
      <c r="I19" s="1311"/>
      <c r="J19" s="1311"/>
      <c r="K19" s="1311"/>
      <c r="L19" s="1311"/>
      <c r="M19" s="1311"/>
      <c r="N19" s="1311"/>
      <c r="O19" s="1312"/>
    </row>
    <row r="20" spans="1:15" ht="37.9" customHeight="1" thickBot="1">
      <c r="A20" s="577" t="s">
        <v>829</v>
      </c>
      <c r="B20" s="578" t="s">
        <v>830</v>
      </c>
      <c r="C20" s="578" t="s">
        <v>542</v>
      </c>
      <c r="D20" s="578" t="s">
        <v>543</v>
      </c>
      <c r="E20" s="578" t="s">
        <v>544</v>
      </c>
      <c r="F20" s="578" t="s">
        <v>548</v>
      </c>
      <c r="G20" s="578" t="s">
        <v>545</v>
      </c>
      <c r="H20" s="578" t="s">
        <v>546</v>
      </c>
      <c r="I20" s="578" t="s">
        <v>547</v>
      </c>
      <c r="J20" s="578" t="s">
        <v>831</v>
      </c>
      <c r="K20" s="578" t="s">
        <v>549</v>
      </c>
      <c r="L20" s="578" t="s">
        <v>550</v>
      </c>
      <c r="M20" s="579" t="s">
        <v>832</v>
      </c>
      <c r="N20" s="580" t="s">
        <v>833</v>
      </c>
      <c r="O20" s="581" t="s">
        <v>223</v>
      </c>
    </row>
    <row r="21" spans="1:15" ht="37.15" customHeight="1">
      <c r="A21" s="582">
        <v>11801</v>
      </c>
      <c r="B21" s="583" t="s">
        <v>834</v>
      </c>
      <c r="C21" s="584">
        <v>1148.73</v>
      </c>
      <c r="D21" s="584">
        <v>695.93</v>
      </c>
      <c r="E21" s="584">
        <v>2311.37</v>
      </c>
      <c r="F21" s="585">
        <v>262.74</v>
      </c>
      <c r="G21" s="585">
        <v>501.34</v>
      </c>
      <c r="H21" s="586">
        <v>221.23</v>
      </c>
      <c r="I21" s="587">
        <v>262.11</v>
      </c>
      <c r="J21" s="588">
        <v>559.6</v>
      </c>
      <c r="K21" s="588">
        <v>398.37</v>
      </c>
      <c r="L21" s="588">
        <v>74.31</v>
      </c>
      <c r="M21" s="588">
        <v>74.319999999999993</v>
      </c>
      <c r="N21" s="589">
        <v>74.319999999999993</v>
      </c>
      <c r="O21" s="590">
        <f>C21+D21+E21+F21+G21+H21+I21+J21+K21+L21+M21+N21</f>
        <v>6584.369999999999</v>
      </c>
    </row>
    <row r="22" spans="1:15" ht="24" customHeight="1">
      <c r="A22" s="591">
        <v>11802</v>
      </c>
      <c r="B22" s="592" t="s">
        <v>835</v>
      </c>
      <c r="C22" s="593">
        <v>2510.7800000000002</v>
      </c>
      <c r="D22" s="593">
        <v>223.9</v>
      </c>
      <c r="E22" s="593">
        <v>4634.25</v>
      </c>
      <c r="F22" s="594">
        <v>8</v>
      </c>
      <c r="G22" s="594">
        <v>10558.4</v>
      </c>
      <c r="H22" s="595">
        <v>5</v>
      </c>
      <c r="I22" s="596">
        <v>150.30000000000001</v>
      </c>
      <c r="J22" s="597">
        <v>550.98</v>
      </c>
      <c r="K22" s="597">
        <v>2193.33</v>
      </c>
      <c r="L22" s="597">
        <v>500.18</v>
      </c>
      <c r="M22" s="597">
        <v>600</v>
      </c>
      <c r="N22" s="598">
        <v>400.36</v>
      </c>
      <c r="O22" s="599">
        <f>C22+D22+E22+F22+G22+H22+I22+J22+K22+L22+M22+N22</f>
        <v>22335.480000000003</v>
      </c>
    </row>
    <row r="23" spans="1:15" ht="15">
      <c r="A23" s="591">
        <v>11804</v>
      </c>
      <c r="B23" s="600" t="s">
        <v>836</v>
      </c>
      <c r="C23" s="601">
        <v>1030.1199999999999</v>
      </c>
      <c r="D23" s="601">
        <v>416.49</v>
      </c>
      <c r="E23" s="601">
        <v>276.82</v>
      </c>
      <c r="F23" s="594">
        <v>0</v>
      </c>
      <c r="G23" s="594">
        <v>233.55</v>
      </c>
      <c r="H23" s="595">
        <v>182.4</v>
      </c>
      <c r="I23" s="596">
        <v>48.5</v>
      </c>
      <c r="J23" s="597">
        <v>182.4</v>
      </c>
      <c r="K23" s="597">
        <v>85.73</v>
      </c>
      <c r="L23" s="597">
        <v>90.96</v>
      </c>
      <c r="M23" s="597">
        <v>80</v>
      </c>
      <c r="N23" s="598">
        <v>101.92</v>
      </c>
      <c r="O23" s="599">
        <f>C23+D23+E23+F23+G23+H23+I23+J23+K23+L23+M23+N23</f>
        <v>2728.89</v>
      </c>
    </row>
    <row r="24" spans="1:15" ht="15">
      <c r="A24" s="602">
        <v>11817</v>
      </c>
      <c r="B24" s="603" t="s">
        <v>837</v>
      </c>
      <c r="C24" s="593">
        <v>0</v>
      </c>
      <c r="D24" s="593"/>
      <c r="E24" s="593">
        <v>0</v>
      </c>
      <c r="F24" s="594">
        <v>0</v>
      </c>
      <c r="G24" s="594">
        <v>0</v>
      </c>
      <c r="H24" s="595">
        <v>0</v>
      </c>
      <c r="I24" s="596">
        <v>0</v>
      </c>
      <c r="J24" s="597">
        <v>0</v>
      </c>
      <c r="K24" s="597">
        <v>0</v>
      </c>
      <c r="L24" s="597"/>
      <c r="M24" s="597"/>
      <c r="N24" s="598"/>
      <c r="O24" s="599">
        <f>C24+D24+E24+F24+G24+H24</f>
        <v>0</v>
      </c>
    </row>
    <row r="25" spans="1:15" ht="15">
      <c r="A25" s="602">
        <v>12108</v>
      </c>
      <c r="B25" s="603" t="s">
        <v>838</v>
      </c>
      <c r="C25" s="593">
        <v>388.19</v>
      </c>
      <c r="D25" s="593">
        <v>104.98</v>
      </c>
      <c r="E25" s="593">
        <v>103</v>
      </c>
      <c r="F25" s="594">
        <v>494.74</v>
      </c>
      <c r="G25" s="594">
        <v>230.06</v>
      </c>
      <c r="H25" s="595">
        <v>63.04</v>
      </c>
      <c r="I25" s="596">
        <v>146.31</v>
      </c>
      <c r="J25" s="597">
        <v>374.49</v>
      </c>
      <c r="K25" s="597">
        <v>434.11</v>
      </c>
      <c r="L25" s="597">
        <v>150</v>
      </c>
      <c r="M25" s="597">
        <v>149.57</v>
      </c>
      <c r="N25" s="598">
        <v>149.13999999999999</v>
      </c>
      <c r="O25" s="599">
        <f>C25+D25+E25+F25+G25+H25+I25+J25+K25+L25+M25+N25</f>
        <v>2787.63</v>
      </c>
    </row>
    <row r="26" spans="1:15" ht="15">
      <c r="A26" s="602">
        <v>12109</v>
      </c>
      <c r="B26" s="603" t="s">
        <v>839</v>
      </c>
      <c r="C26" s="593">
        <v>2326.9299999999998</v>
      </c>
      <c r="D26" s="593">
        <v>851.67</v>
      </c>
      <c r="E26" s="593">
        <v>746.35</v>
      </c>
      <c r="F26" s="594">
        <v>1361.92</v>
      </c>
      <c r="G26" s="594">
        <v>494.76</v>
      </c>
      <c r="H26" s="595">
        <v>909.24</v>
      </c>
      <c r="I26" s="596">
        <v>453.05</v>
      </c>
      <c r="J26" s="597">
        <v>2260.2600000000002</v>
      </c>
      <c r="K26" s="597">
        <v>1956.01</v>
      </c>
      <c r="L26" s="597">
        <v>500</v>
      </c>
      <c r="M26" s="597">
        <v>600</v>
      </c>
      <c r="N26" s="598">
        <v>416.51</v>
      </c>
      <c r="O26" s="599">
        <f>C26+D26+E26+F26+G26+H26+I26+J26+K26+L26+M26+N26</f>
        <v>12876.7</v>
      </c>
    </row>
    <row r="27" spans="1:15" ht="15">
      <c r="A27" s="602">
        <v>12117</v>
      </c>
      <c r="B27" s="603" t="s">
        <v>840</v>
      </c>
      <c r="C27" s="593">
        <v>296.02</v>
      </c>
      <c r="D27" s="593">
        <v>120.14</v>
      </c>
      <c r="E27" s="593">
        <v>62.88</v>
      </c>
      <c r="F27" s="594">
        <v>229.57</v>
      </c>
      <c r="G27" s="594">
        <v>3.15</v>
      </c>
      <c r="H27" s="595">
        <v>97.83</v>
      </c>
      <c r="I27" s="596">
        <v>81.319999999999993</v>
      </c>
      <c r="J27" s="597">
        <v>476.56</v>
      </c>
      <c r="K27" s="597">
        <v>326.44</v>
      </c>
      <c r="L27" s="597">
        <v>70.05</v>
      </c>
      <c r="M27" s="597">
        <v>60</v>
      </c>
      <c r="N27" s="598">
        <v>80.09</v>
      </c>
      <c r="O27" s="599">
        <f>C27+D27+E27+F27+G27+H27+I27+J27+K27+L27+M27+N27</f>
        <v>1904.0499999999997</v>
      </c>
    </row>
    <row r="28" spans="1:15" ht="15.75">
      <c r="A28" s="1313" t="s">
        <v>223</v>
      </c>
      <c r="B28" s="1314"/>
      <c r="C28" s="604">
        <f t="shared" ref="C28:N28" si="1">SUM(C21:C27)</f>
        <v>7700.77</v>
      </c>
      <c r="D28" s="604">
        <f t="shared" si="1"/>
        <v>2413.1099999999997</v>
      </c>
      <c r="E28" s="604">
        <f t="shared" si="1"/>
        <v>8134.67</v>
      </c>
      <c r="F28" s="605">
        <f t="shared" si="1"/>
        <v>2356.9700000000003</v>
      </c>
      <c r="G28" s="605">
        <f t="shared" si="1"/>
        <v>12021.259999999998</v>
      </c>
      <c r="H28" s="606">
        <f t="shared" si="1"/>
        <v>1478.74</v>
      </c>
      <c r="I28" s="607">
        <f t="shared" si="1"/>
        <v>1141.5899999999999</v>
      </c>
      <c r="J28" s="605">
        <f t="shared" si="1"/>
        <v>4404.2900000000009</v>
      </c>
      <c r="K28" s="605">
        <f t="shared" si="1"/>
        <v>5393.99</v>
      </c>
      <c r="L28" s="605">
        <f t="shared" si="1"/>
        <v>1385.5</v>
      </c>
      <c r="M28" s="605">
        <f t="shared" si="1"/>
        <v>1563.8899999999999</v>
      </c>
      <c r="N28" s="608">
        <f t="shared" si="1"/>
        <v>1222.3399999999999</v>
      </c>
      <c r="O28" s="609">
        <f>SUM(O21:O27)</f>
        <v>49217.12000000001</v>
      </c>
    </row>
    <row r="29" spans="1:15" ht="15">
      <c r="A29" s="610"/>
      <c r="B29" s="610"/>
      <c r="C29" s="611"/>
      <c r="D29" s="610"/>
      <c r="E29" s="610"/>
      <c r="F29" s="417"/>
      <c r="G29" s="612"/>
      <c r="H29" s="613"/>
      <c r="I29" s="614"/>
      <c r="J29" s="614"/>
      <c r="K29" s="614"/>
      <c r="L29" s="614"/>
      <c r="M29" s="614"/>
      <c r="N29" s="417"/>
      <c r="O29" s="417"/>
    </row>
    <row r="30" spans="1:15" ht="15.75">
      <c r="A30" s="610"/>
      <c r="B30" s="610"/>
      <c r="C30" s="611"/>
      <c r="D30" s="610"/>
      <c r="E30" s="610"/>
      <c r="F30" s="417"/>
      <c r="G30" s="612"/>
      <c r="H30" s="613"/>
      <c r="I30" s="614"/>
      <c r="J30" s="614"/>
      <c r="K30" s="614"/>
      <c r="L30" s="614"/>
      <c r="M30" s="614"/>
      <c r="N30" s="615">
        <v>0.05</v>
      </c>
      <c r="O30" s="616">
        <f>+O28*5%+49217.12</f>
        <v>51677.976000000002</v>
      </c>
    </row>
    <row r="31" spans="1:15">
      <c r="O31" s="791"/>
    </row>
    <row r="32" spans="1:15">
      <c r="O32" s="791"/>
    </row>
  </sheetData>
  <mergeCells count="12">
    <mergeCell ref="A19:O19"/>
    <mergeCell ref="A28:B28"/>
    <mergeCell ref="I2:M2"/>
    <mergeCell ref="C3:D3"/>
    <mergeCell ref="A4:A10"/>
    <mergeCell ref="C4:D4"/>
    <mergeCell ref="C5:D5"/>
    <mergeCell ref="C6:D6"/>
    <mergeCell ref="C10:D10"/>
    <mergeCell ref="C7:D7"/>
    <mergeCell ref="C8:D8"/>
    <mergeCell ref="C9:D9"/>
  </mergeCells>
  <pageMargins left="1.23" right="0.77" top="0.75" bottom="0.75" header="0.3" footer="0.3"/>
  <pageSetup paperSize="5" scale="77" fitToHeight="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6AADF-0729-460E-9295-D1171C6D0416}">
  <sheetPr>
    <tabColor theme="8"/>
  </sheetPr>
  <dimension ref="E3:I16"/>
  <sheetViews>
    <sheetView topLeftCell="A7" workbookViewId="0">
      <selection activeCell="K12" sqref="K12"/>
    </sheetView>
  </sheetViews>
  <sheetFormatPr baseColWidth="10" defaultRowHeight="12.75"/>
  <sheetData>
    <row r="3" spans="5:9">
      <c r="E3" s="824">
        <v>44896</v>
      </c>
    </row>
    <row r="4" spans="5:9">
      <c r="E4" s="824">
        <v>44927</v>
      </c>
      <c r="F4">
        <v>30</v>
      </c>
      <c r="H4">
        <v>31</v>
      </c>
    </row>
    <row r="5" spans="5:9">
      <c r="E5" s="824">
        <v>44958</v>
      </c>
      <c r="F5">
        <v>28</v>
      </c>
      <c r="H5">
        <v>28</v>
      </c>
    </row>
    <row r="6" spans="5:9">
      <c r="E6" s="824">
        <v>44986</v>
      </c>
      <c r="F6">
        <v>30</v>
      </c>
      <c r="H6">
        <v>31</v>
      </c>
    </row>
    <row r="7" spans="5:9">
      <c r="E7" s="824">
        <v>45017</v>
      </c>
      <c r="F7">
        <v>30</v>
      </c>
      <c r="H7">
        <v>30</v>
      </c>
    </row>
    <row r="8" spans="5:9">
      <c r="E8" s="824">
        <v>45047</v>
      </c>
      <c r="F8">
        <v>30</v>
      </c>
      <c r="H8">
        <v>31</v>
      </c>
    </row>
    <row r="9" spans="5:9">
      <c r="E9" s="824">
        <v>45078</v>
      </c>
      <c r="F9">
        <v>30</v>
      </c>
      <c r="H9">
        <v>30</v>
      </c>
    </row>
    <row r="10" spans="5:9">
      <c r="E10" s="824">
        <v>45108</v>
      </c>
      <c r="F10">
        <v>30</v>
      </c>
      <c r="H10">
        <v>31</v>
      </c>
    </row>
    <row r="11" spans="5:9">
      <c r="E11" s="824">
        <v>45139</v>
      </c>
      <c r="F11">
        <v>30</v>
      </c>
      <c r="H11">
        <v>31</v>
      </c>
    </row>
    <row r="12" spans="5:9">
      <c r="E12" s="824">
        <v>45170</v>
      </c>
      <c r="F12">
        <v>30</v>
      </c>
      <c r="H12">
        <v>30</v>
      </c>
    </row>
    <row r="13" spans="5:9">
      <c r="E13" s="824">
        <v>45200</v>
      </c>
      <c r="F13" s="21">
        <v>23</v>
      </c>
      <c r="H13">
        <v>23</v>
      </c>
    </row>
    <row r="14" spans="5:9">
      <c r="F14" s="324">
        <f>SUM(F3:F13)</f>
        <v>291</v>
      </c>
      <c r="H14" s="324">
        <f>SUM(H4:H13)</f>
        <v>296</v>
      </c>
    </row>
    <row r="16" spans="5:9">
      <c r="H16">
        <f>1800/365</f>
        <v>4.9315068493150687</v>
      </c>
      <c r="I16" s="183">
        <f>+H16*H14</f>
        <v>1459.7260273972604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>
    <tabColor theme="8"/>
    <pageSetUpPr fitToPage="1"/>
  </sheetPr>
  <dimension ref="A1:L89"/>
  <sheetViews>
    <sheetView view="pageBreakPreview" topLeftCell="A46" zoomScaleNormal="100" zoomScaleSheetLayoutView="100" workbookViewId="0">
      <selection activeCell="A57" sqref="A57:I81"/>
    </sheetView>
  </sheetViews>
  <sheetFormatPr baseColWidth="10" defaultColWidth="11.42578125" defaultRowHeight="12.75"/>
  <cols>
    <col min="1" max="1" width="10.42578125" style="30" customWidth="1"/>
    <col min="2" max="2" width="25.5703125" style="24" customWidth="1"/>
    <col min="3" max="3" width="15.5703125" style="24" customWidth="1"/>
    <col min="4" max="4" width="15.28515625" style="24" customWidth="1"/>
    <col min="5" max="5" width="13.7109375" style="24" customWidth="1"/>
    <col min="6" max="6" width="12.42578125" style="24" customWidth="1"/>
    <col min="7" max="8" width="11.7109375" style="24" customWidth="1"/>
    <col min="9" max="9" width="14.140625" style="29" customWidth="1"/>
    <col min="10" max="10" width="11.42578125" style="25"/>
    <col min="11" max="11" width="16.85546875" style="25" bestFit="1" customWidth="1"/>
    <col min="12" max="12" width="13.7109375" style="25" bestFit="1" customWidth="1"/>
    <col min="13" max="16384" width="11.42578125" style="25"/>
  </cols>
  <sheetData>
    <row r="1" spans="1:9" ht="20.25" customHeight="1">
      <c r="A1" s="34"/>
      <c r="B1" s="34"/>
      <c r="C1" s="34"/>
      <c r="D1" s="34"/>
      <c r="E1" s="34"/>
      <c r="F1" s="34"/>
      <c r="G1" s="34"/>
      <c r="H1" s="34"/>
      <c r="I1" s="34"/>
    </row>
    <row r="2" spans="1:9" ht="18" customHeight="1">
      <c r="A2" s="1008" t="s">
        <v>327</v>
      </c>
      <c r="B2" s="1008"/>
      <c r="C2" s="1008"/>
      <c r="D2" s="1008"/>
      <c r="E2" s="1008"/>
      <c r="F2" s="1008"/>
      <c r="G2" s="1008"/>
      <c r="H2" s="1008"/>
      <c r="I2" s="1008"/>
    </row>
    <row r="3" spans="1:9" ht="15.75">
      <c r="A3" s="1009" t="s">
        <v>965</v>
      </c>
      <c r="B3" s="1009"/>
      <c r="C3" s="1009"/>
      <c r="D3" s="1009"/>
      <c r="E3" s="1009"/>
      <c r="F3" s="1009"/>
      <c r="G3" s="1009"/>
      <c r="H3" s="1009"/>
      <c r="I3" s="1009"/>
    </row>
    <row r="4" spans="1:9" ht="15">
      <c r="A4" s="1004" t="s">
        <v>6</v>
      </c>
      <c r="B4" s="1004"/>
      <c r="C4" s="1004"/>
      <c r="D4" s="1004"/>
      <c r="E4" s="1004"/>
      <c r="F4" s="1004"/>
      <c r="G4" s="1004"/>
      <c r="H4" s="1004"/>
      <c r="I4" s="1004"/>
    </row>
    <row r="5" spans="1:9" ht="16.5" thickBot="1">
      <c r="A5" s="1010" t="s">
        <v>10</v>
      </c>
      <c r="B5" s="1011"/>
      <c r="C5" s="1011"/>
      <c r="D5" s="1011"/>
      <c r="E5" s="1011"/>
      <c r="F5" s="1011"/>
      <c r="G5" s="1011"/>
      <c r="H5" s="1011"/>
      <c r="I5" s="1011"/>
    </row>
    <row r="6" spans="1:9" ht="15.75" customHeight="1" thickBot="1">
      <c r="A6" s="1018" t="s">
        <v>88</v>
      </c>
      <c r="B6" s="1012" t="s">
        <v>89</v>
      </c>
      <c r="C6" s="1021" t="s">
        <v>510</v>
      </c>
      <c r="D6" s="1022"/>
      <c r="E6" s="270"/>
      <c r="F6" s="270"/>
      <c r="G6" s="1005" t="s">
        <v>344</v>
      </c>
      <c r="H6" s="1005" t="s">
        <v>1131</v>
      </c>
      <c r="I6" s="1015" t="s">
        <v>91</v>
      </c>
    </row>
    <row r="7" spans="1:9" ht="33" customHeight="1" thickBot="1">
      <c r="A7" s="1019"/>
      <c r="B7" s="1013"/>
      <c r="C7" s="194" t="s">
        <v>330</v>
      </c>
      <c r="D7" s="756"/>
      <c r="E7" s="390" t="s">
        <v>664</v>
      </c>
      <c r="F7" s="273" t="s">
        <v>571</v>
      </c>
      <c r="G7" s="1006"/>
      <c r="H7" s="1006"/>
      <c r="I7" s="1016"/>
    </row>
    <row r="8" spans="1:9" ht="104.25" customHeight="1" thickBot="1">
      <c r="A8" s="1020"/>
      <c r="B8" s="1014"/>
      <c r="C8" s="195" t="s">
        <v>90</v>
      </c>
      <c r="D8" s="269" t="s">
        <v>1006</v>
      </c>
      <c r="E8" s="269" t="s">
        <v>970</v>
      </c>
      <c r="F8" s="269" t="s">
        <v>572</v>
      </c>
      <c r="G8" s="1007"/>
      <c r="H8" s="1007"/>
      <c r="I8" s="1017"/>
    </row>
    <row r="9" spans="1:9" ht="15.75" customHeight="1">
      <c r="A9" s="209">
        <v>11</v>
      </c>
      <c r="B9" s="210" t="s">
        <v>230</v>
      </c>
      <c r="C9" s="302">
        <f>+C10</f>
        <v>158754.09666666665</v>
      </c>
      <c r="D9" s="303">
        <f t="shared" ref="D9:I9" si="0">+D10</f>
        <v>0</v>
      </c>
      <c r="E9" s="303"/>
      <c r="F9" s="303">
        <f t="shared" si="0"/>
        <v>0</v>
      </c>
      <c r="G9" s="303">
        <f t="shared" si="0"/>
        <v>0</v>
      </c>
      <c r="H9" s="303">
        <f t="shared" si="0"/>
        <v>0</v>
      </c>
      <c r="I9" s="302">
        <f t="shared" si="0"/>
        <v>158754.09666666665</v>
      </c>
    </row>
    <row r="10" spans="1:9" ht="15.75" customHeight="1">
      <c r="A10" s="64">
        <v>118</v>
      </c>
      <c r="B10" s="77" t="s">
        <v>231</v>
      </c>
      <c r="C10" s="304">
        <f t="shared" ref="C10:I10" si="1">SUM(C11:C19)</f>
        <v>158754.09666666665</v>
      </c>
      <c r="D10" s="305">
        <f t="shared" si="1"/>
        <v>0</v>
      </c>
      <c r="E10" s="305">
        <f t="shared" si="1"/>
        <v>0</v>
      </c>
      <c r="F10" s="305">
        <f t="shared" si="1"/>
        <v>0</v>
      </c>
      <c r="G10" s="305">
        <f t="shared" si="1"/>
        <v>0</v>
      </c>
      <c r="H10" s="305">
        <f t="shared" si="1"/>
        <v>0</v>
      </c>
      <c r="I10" s="306">
        <f t="shared" si="1"/>
        <v>158754.09666666665</v>
      </c>
    </row>
    <row r="11" spans="1:9" ht="15.75" customHeight="1">
      <c r="A11" s="76" t="s">
        <v>11</v>
      </c>
      <c r="B11" s="54" t="s">
        <v>12</v>
      </c>
      <c r="C11" s="307">
        <v>18299.57</v>
      </c>
      <c r="D11" s="308"/>
      <c r="E11" s="308"/>
      <c r="F11" s="308"/>
      <c r="G11" s="308"/>
      <c r="H11" s="305"/>
      <c r="I11" s="306">
        <f t="shared" ref="I11:I19" si="2">SUM(C11:H11)</f>
        <v>18299.57</v>
      </c>
    </row>
    <row r="12" spans="1:9" ht="15.75" customHeight="1">
      <c r="A12" s="76" t="s">
        <v>13</v>
      </c>
      <c r="B12" s="54" t="s">
        <v>14</v>
      </c>
      <c r="C12" s="307">
        <v>58296.66</v>
      </c>
      <c r="D12" s="308"/>
      <c r="E12" s="308"/>
      <c r="F12" s="308"/>
      <c r="G12" s="308"/>
      <c r="H12" s="305"/>
      <c r="I12" s="306">
        <f t="shared" si="2"/>
        <v>58296.66</v>
      </c>
    </row>
    <row r="13" spans="1:9" ht="15.75" customHeight="1">
      <c r="A13" s="76">
        <v>11803</v>
      </c>
      <c r="B13" s="54" t="s">
        <v>582</v>
      </c>
      <c r="C13" s="307">
        <v>146.65</v>
      </c>
      <c r="D13" s="308"/>
      <c r="E13" s="308"/>
      <c r="F13" s="308"/>
      <c r="G13" s="308"/>
      <c r="H13" s="305"/>
      <c r="I13" s="306">
        <f t="shared" si="2"/>
        <v>146.65</v>
      </c>
    </row>
    <row r="14" spans="1:9" ht="15.75" customHeight="1">
      <c r="A14" s="76" t="s">
        <v>15</v>
      </c>
      <c r="B14" s="54" t="s">
        <v>16</v>
      </c>
      <c r="C14" s="307">
        <v>71973.87</v>
      </c>
      <c r="D14" s="308"/>
      <c r="E14" s="308"/>
      <c r="F14" s="308"/>
      <c r="G14" s="308"/>
      <c r="H14" s="305"/>
      <c r="I14" s="306">
        <f t="shared" si="2"/>
        <v>71973.87</v>
      </c>
    </row>
    <row r="15" spans="1:9" ht="15.75" customHeight="1">
      <c r="A15" s="74">
        <v>11815</v>
      </c>
      <c r="B15" s="68" t="s">
        <v>583</v>
      </c>
      <c r="C15" s="307">
        <v>11.666666666666666</v>
      </c>
      <c r="D15" s="308"/>
      <c r="E15" s="308"/>
      <c r="F15" s="308"/>
      <c r="G15" s="308"/>
      <c r="H15" s="305"/>
      <c r="I15" s="306">
        <f t="shared" si="2"/>
        <v>11.666666666666666</v>
      </c>
    </row>
    <row r="16" spans="1:9" ht="15.75" customHeight="1">
      <c r="A16" s="76">
        <v>11816</v>
      </c>
      <c r="B16" s="54" t="s">
        <v>347</v>
      </c>
      <c r="C16" s="307">
        <v>590.25</v>
      </c>
      <c r="D16" s="308"/>
      <c r="E16" s="308"/>
      <c r="F16" s="308"/>
      <c r="G16" s="308"/>
      <c r="H16" s="305"/>
      <c r="I16" s="306">
        <f t="shared" si="2"/>
        <v>590.25</v>
      </c>
    </row>
    <row r="17" spans="1:9" ht="15.75" customHeight="1">
      <c r="A17" s="74" t="s">
        <v>92</v>
      </c>
      <c r="B17" s="68" t="s">
        <v>93</v>
      </c>
      <c r="C17" s="307">
        <v>4595.32</v>
      </c>
      <c r="D17" s="308"/>
      <c r="E17" s="308"/>
      <c r="F17" s="308"/>
      <c r="G17" s="308"/>
      <c r="H17" s="305"/>
      <c r="I17" s="306">
        <f t="shared" si="2"/>
        <v>4595.32</v>
      </c>
    </row>
    <row r="18" spans="1:9" ht="15.75" customHeight="1">
      <c r="A18" s="75">
        <v>11818</v>
      </c>
      <c r="B18" s="54" t="s">
        <v>49</v>
      </c>
      <c r="C18" s="307">
        <v>4840.1099999999997</v>
      </c>
      <c r="D18" s="308"/>
      <c r="E18" s="308"/>
      <c r="F18" s="308"/>
      <c r="G18" s="308"/>
      <c r="H18" s="305"/>
      <c r="I18" s="306">
        <f t="shared" si="2"/>
        <v>4840.1099999999997</v>
      </c>
    </row>
    <row r="19" spans="1:9" ht="24.75" customHeight="1">
      <c r="A19" s="74" t="s">
        <v>79</v>
      </c>
      <c r="B19" s="68" t="s">
        <v>94</v>
      </c>
      <c r="C19" s="307"/>
      <c r="D19" s="308"/>
      <c r="E19" s="308"/>
      <c r="F19" s="308"/>
      <c r="G19" s="308"/>
      <c r="H19" s="305"/>
      <c r="I19" s="306">
        <f t="shared" si="2"/>
        <v>0</v>
      </c>
    </row>
    <row r="20" spans="1:9" ht="19.5" customHeight="1">
      <c r="A20" s="255">
        <v>12</v>
      </c>
      <c r="B20" s="256" t="s">
        <v>232</v>
      </c>
      <c r="C20" s="309">
        <f>+C21+C34</f>
        <v>264511.49000000005</v>
      </c>
      <c r="D20" s="310">
        <f t="shared" ref="D20:I20" si="3">+D21+D34</f>
        <v>0</v>
      </c>
      <c r="E20" s="310">
        <f t="shared" si="3"/>
        <v>0</v>
      </c>
      <c r="F20" s="310">
        <f t="shared" si="3"/>
        <v>0</v>
      </c>
      <c r="G20" s="310">
        <f t="shared" si="3"/>
        <v>0</v>
      </c>
      <c r="H20" s="310">
        <f t="shared" si="3"/>
        <v>0</v>
      </c>
      <c r="I20" s="309">
        <f t="shared" si="3"/>
        <v>264511.49000000005</v>
      </c>
    </row>
    <row r="21" spans="1:9" ht="15.75" customHeight="1">
      <c r="A21" s="65">
        <v>121</v>
      </c>
      <c r="B21" s="78" t="s">
        <v>233</v>
      </c>
      <c r="C21" s="311">
        <f>SUM(C22:C33)</f>
        <v>249807.84000000003</v>
      </c>
      <c r="D21" s="308">
        <f t="shared" ref="D21:I21" si="4">SUM(D22:D33)</f>
        <v>0</v>
      </c>
      <c r="E21" s="308">
        <f t="shared" si="4"/>
        <v>0</v>
      </c>
      <c r="F21" s="308">
        <f t="shared" si="4"/>
        <v>0</v>
      </c>
      <c r="G21" s="308">
        <f t="shared" si="4"/>
        <v>0</v>
      </c>
      <c r="H21" s="308">
        <f t="shared" si="4"/>
        <v>0</v>
      </c>
      <c r="I21" s="301">
        <f t="shared" si="4"/>
        <v>249807.84000000003</v>
      </c>
    </row>
    <row r="22" spans="1:9" ht="26.25" customHeight="1">
      <c r="A22" s="75">
        <v>12105</v>
      </c>
      <c r="B22" s="54" t="s">
        <v>179</v>
      </c>
      <c r="C22" s="307">
        <v>33874.379999999997</v>
      </c>
      <c r="D22" s="308"/>
      <c r="E22" s="308"/>
      <c r="F22" s="308"/>
      <c r="G22" s="308"/>
      <c r="H22" s="305"/>
      <c r="I22" s="306">
        <f t="shared" ref="I22:I33" si="5">SUM(C22:H22)</f>
        <v>33874.379999999997</v>
      </c>
    </row>
    <row r="23" spans="1:9" ht="27" customHeight="1">
      <c r="A23" s="75">
        <v>12106</v>
      </c>
      <c r="B23" s="54" t="s">
        <v>180</v>
      </c>
      <c r="C23" s="307">
        <v>1050.6400000000001</v>
      </c>
      <c r="D23" s="308"/>
      <c r="E23" s="308"/>
      <c r="F23" s="308"/>
      <c r="G23" s="308"/>
      <c r="H23" s="305"/>
      <c r="I23" s="306">
        <f t="shared" si="5"/>
        <v>1050.6400000000001</v>
      </c>
    </row>
    <row r="24" spans="1:9" ht="15.75" customHeight="1">
      <c r="A24" s="75">
        <v>12108</v>
      </c>
      <c r="B24" s="54" t="s">
        <v>19</v>
      </c>
      <c r="C24" s="307">
        <v>18815.580000000002</v>
      </c>
      <c r="D24" s="308"/>
      <c r="E24" s="308"/>
      <c r="F24" s="308"/>
      <c r="G24" s="308"/>
      <c r="H24" s="305"/>
      <c r="I24" s="306">
        <f t="shared" si="5"/>
        <v>18815.580000000002</v>
      </c>
    </row>
    <row r="25" spans="1:9" ht="15.75" customHeight="1">
      <c r="A25" s="74" t="s">
        <v>17</v>
      </c>
      <c r="B25" s="68" t="s">
        <v>18</v>
      </c>
      <c r="C25" s="307">
        <v>61213.599999999999</v>
      </c>
      <c r="D25" s="308"/>
      <c r="E25" s="308"/>
      <c r="F25" s="308"/>
      <c r="G25" s="308"/>
      <c r="H25" s="305"/>
      <c r="I25" s="306">
        <f t="shared" si="5"/>
        <v>61213.599999999999</v>
      </c>
    </row>
    <row r="26" spans="1:9" ht="15.75" customHeight="1">
      <c r="A26" s="74" t="s">
        <v>50</v>
      </c>
      <c r="B26" s="68" t="s">
        <v>51</v>
      </c>
      <c r="C26" s="307">
        <v>5300.54</v>
      </c>
      <c r="D26" s="308"/>
      <c r="E26" s="308"/>
      <c r="F26" s="308"/>
      <c r="G26" s="308"/>
      <c r="H26" s="305"/>
      <c r="I26" s="306">
        <f t="shared" si="5"/>
        <v>5300.54</v>
      </c>
    </row>
    <row r="27" spans="1:9" ht="15.75" customHeight="1">
      <c r="A27" s="74" t="s">
        <v>52</v>
      </c>
      <c r="B27" s="68" t="s">
        <v>300</v>
      </c>
      <c r="C27" s="307">
        <v>20863.79</v>
      </c>
      <c r="D27" s="308"/>
      <c r="E27" s="308"/>
      <c r="F27" s="308"/>
      <c r="G27" s="308"/>
      <c r="H27" s="305"/>
      <c r="I27" s="306">
        <f t="shared" si="5"/>
        <v>20863.79</v>
      </c>
    </row>
    <row r="28" spans="1:9" ht="15.75" customHeight="1">
      <c r="A28" s="74" t="s">
        <v>95</v>
      </c>
      <c r="B28" s="68" t="s">
        <v>96</v>
      </c>
      <c r="C28" s="307">
        <v>311</v>
      </c>
      <c r="D28" s="308"/>
      <c r="E28" s="308"/>
      <c r="F28" s="308"/>
      <c r="G28" s="308"/>
      <c r="H28" s="305"/>
      <c r="I28" s="306">
        <f t="shared" si="5"/>
        <v>311</v>
      </c>
    </row>
    <row r="29" spans="1:9" ht="15.75" customHeight="1">
      <c r="A29" s="74" t="s">
        <v>53</v>
      </c>
      <c r="B29" s="68" t="s">
        <v>54</v>
      </c>
      <c r="C29" s="307">
        <v>7954.1</v>
      </c>
      <c r="D29" s="308"/>
      <c r="E29" s="308"/>
      <c r="F29" s="308"/>
      <c r="G29" s="308"/>
      <c r="H29" s="305"/>
      <c r="I29" s="306">
        <f t="shared" si="5"/>
        <v>7954.1</v>
      </c>
    </row>
    <row r="30" spans="1:9" ht="15.75" customHeight="1">
      <c r="A30" s="74" t="s">
        <v>55</v>
      </c>
      <c r="B30" s="68" t="s">
        <v>56</v>
      </c>
      <c r="C30" s="307">
        <v>96879.43</v>
      </c>
      <c r="D30" s="308"/>
      <c r="E30" s="308"/>
      <c r="F30" s="308"/>
      <c r="G30" s="308"/>
      <c r="H30" s="305"/>
      <c r="I30" s="306">
        <f t="shared" si="5"/>
        <v>96879.43</v>
      </c>
    </row>
    <row r="31" spans="1:9" ht="15.75" customHeight="1">
      <c r="A31" s="74" t="s">
        <v>57</v>
      </c>
      <c r="B31" s="163" t="s">
        <v>58</v>
      </c>
      <c r="C31" s="307">
        <v>471.95</v>
      </c>
      <c r="D31" s="308"/>
      <c r="E31" s="308"/>
      <c r="F31" s="308"/>
      <c r="G31" s="308"/>
      <c r="H31" s="305"/>
      <c r="I31" s="306">
        <f t="shared" si="5"/>
        <v>471.95</v>
      </c>
    </row>
    <row r="32" spans="1:9" ht="15.75" customHeight="1">
      <c r="A32" s="74">
        <v>12120</v>
      </c>
      <c r="B32" s="163" t="s">
        <v>587</v>
      </c>
      <c r="C32" s="307">
        <v>1355.54</v>
      </c>
      <c r="D32" s="308"/>
      <c r="E32" s="308"/>
      <c r="F32" s="308"/>
      <c r="G32" s="308"/>
      <c r="H32" s="305"/>
      <c r="I32" s="306">
        <f t="shared" si="5"/>
        <v>1355.54</v>
      </c>
    </row>
    <row r="33" spans="1:9" ht="15.75" customHeight="1">
      <c r="A33" s="74">
        <v>12199</v>
      </c>
      <c r="B33" s="68" t="s">
        <v>553</v>
      </c>
      <c r="C33" s="307">
        <v>1717.29</v>
      </c>
      <c r="D33" s="308"/>
      <c r="E33" s="308"/>
      <c r="F33" s="308"/>
      <c r="G33" s="308"/>
      <c r="H33" s="305"/>
      <c r="I33" s="306">
        <f t="shared" si="5"/>
        <v>1717.29</v>
      </c>
    </row>
    <row r="34" spans="1:9" ht="15.75" customHeight="1">
      <c r="A34" s="67">
        <v>122</v>
      </c>
      <c r="B34" s="79" t="s">
        <v>72</v>
      </c>
      <c r="C34" s="311">
        <f>C35+C36+C37</f>
        <v>14703.65</v>
      </c>
      <c r="D34" s="308">
        <f t="shared" ref="D34:I34" si="6">SUM(D35:D37)</f>
        <v>0</v>
      </c>
      <c r="E34" s="308">
        <f t="shared" si="6"/>
        <v>0</v>
      </c>
      <c r="F34" s="308"/>
      <c r="G34" s="308">
        <f t="shared" si="6"/>
        <v>0</v>
      </c>
      <c r="H34" s="308">
        <f t="shared" si="6"/>
        <v>0</v>
      </c>
      <c r="I34" s="301">
        <f t="shared" si="6"/>
        <v>14703.65</v>
      </c>
    </row>
    <row r="35" spans="1:9" ht="25.5" customHeight="1">
      <c r="A35" s="74" t="s">
        <v>86</v>
      </c>
      <c r="B35" s="68" t="s">
        <v>97</v>
      </c>
      <c r="C35" s="307">
        <v>14370.75</v>
      </c>
      <c r="D35" s="308"/>
      <c r="E35" s="308"/>
      <c r="F35" s="308"/>
      <c r="G35" s="308"/>
      <c r="H35" s="305"/>
      <c r="I35" s="306">
        <f>SUM(C35:H35)</f>
        <v>14370.75</v>
      </c>
    </row>
    <row r="36" spans="1:9" ht="15.75" customHeight="1">
      <c r="A36" s="74" t="s">
        <v>20</v>
      </c>
      <c r="B36" s="68" t="s">
        <v>21</v>
      </c>
      <c r="C36" s="307">
        <v>296.23</v>
      </c>
      <c r="D36" s="308"/>
      <c r="E36" s="308"/>
      <c r="F36" s="308"/>
      <c r="G36" s="308"/>
      <c r="H36" s="305"/>
      <c r="I36" s="306">
        <f>SUM(C36:H36)</f>
        <v>296.23</v>
      </c>
    </row>
    <row r="37" spans="1:9" ht="15.75" customHeight="1">
      <c r="A37" s="74" t="s">
        <v>98</v>
      </c>
      <c r="B37" s="68" t="s">
        <v>99</v>
      </c>
      <c r="C37" s="307">
        <v>36.67</v>
      </c>
      <c r="D37" s="308"/>
      <c r="E37" s="308"/>
      <c r="F37" s="308"/>
      <c r="G37" s="308"/>
      <c r="H37" s="305"/>
      <c r="I37" s="306">
        <f>SUM(C37:H37)</f>
        <v>36.67</v>
      </c>
    </row>
    <row r="38" spans="1:9" ht="22.5" customHeight="1">
      <c r="A38" s="257">
        <v>14</v>
      </c>
      <c r="B38" s="258" t="s">
        <v>234</v>
      </c>
      <c r="C38" s="309">
        <f>+C39</f>
        <v>8872.91</v>
      </c>
      <c r="D38" s="310">
        <f t="shared" ref="D38:I38" si="7">+D39</f>
        <v>0</v>
      </c>
      <c r="E38" s="310">
        <f t="shared" si="7"/>
        <v>0</v>
      </c>
      <c r="F38" s="310"/>
      <c r="G38" s="310">
        <f t="shared" si="7"/>
        <v>0</v>
      </c>
      <c r="H38" s="310">
        <f t="shared" si="7"/>
        <v>0</v>
      </c>
      <c r="I38" s="309">
        <f t="shared" si="7"/>
        <v>8872.91</v>
      </c>
    </row>
    <row r="39" spans="1:9" ht="15.75" customHeight="1">
      <c r="A39" s="67">
        <v>142</v>
      </c>
      <c r="B39" s="79" t="s">
        <v>235</v>
      </c>
      <c r="C39" s="311">
        <f t="shared" ref="C39:I39" si="8">SUM(C40:C41)</f>
        <v>8872.91</v>
      </c>
      <c r="D39" s="308">
        <f t="shared" si="8"/>
        <v>0</v>
      </c>
      <c r="E39" s="308"/>
      <c r="F39" s="308"/>
      <c r="G39" s="308">
        <f t="shared" si="8"/>
        <v>0</v>
      </c>
      <c r="H39" s="308">
        <f t="shared" si="8"/>
        <v>0</v>
      </c>
      <c r="I39" s="301">
        <f t="shared" si="8"/>
        <v>8872.91</v>
      </c>
    </row>
    <row r="40" spans="1:9" ht="15.75" customHeight="1">
      <c r="A40" s="74" t="s">
        <v>100</v>
      </c>
      <c r="B40" s="68" t="s">
        <v>101</v>
      </c>
      <c r="C40" s="307">
        <v>90.93</v>
      </c>
      <c r="D40" s="308"/>
      <c r="E40" s="308"/>
      <c r="F40" s="308"/>
      <c r="G40" s="308"/>
      <c r="H40" s="305"/>
      <c r="I40" s="306">
        <f>SUM(C40:H40)</f>
        <v>90.93</v>
      </c>
    </row>
    <row r="41" spans="1:9" ht="15.75" customHeight="1">
      <c r="A41" s="74" t="s">
        <v>22</v>
      </c>
      <c r="B41" s="68" t="s">
        <v>23</v>
      </c>
      <c r="C41" s="307">
        <v>8781.98</v>
      </c>
      <c r="D41" s="308"/>
      <c r="E41" s="308"/>
      <c r="F41" s="308"/>
      <c r="G41" s="308"/>
      <c r="H41" s="305"/>
      <c r="I41" s="306">
        <f>SUM(C41:H41)</f>
        <v>8781.98</v>
      </c>
    </row>
    <row r="42" spans="1:9" ht="27.75" customHeight="1">
      <c r="A42" s="257">
        <v>15</v>
      </c>
      <c r="B42" s="258" t="s">
        <v>236</v>
      </c>
      <c r="C42" s="309">
        <f>+C43+C45+C53</f>
        <v>20139.68</v>
      </c>
      <c r="D42" s="310">
        <f>+D43+D45+D53</f>
        <v>0</v>
      </c>
      <c r="E42" s="310">
        <f>+E43+E45+E53</f>
        <v>0</v>
      </c>
      <c r="F42" s="310"/>
      <c r="G42" s="310">
        <f>+G43+G45+G53</f>
        <v>0</v>
      </c>
      <c r="H42" s="310">
        <f>+H43+H45+H53</f>
        <v>0</v>
      </c>
      <c r="I42" s="309">
        <f>+I43+I45+I53</f>
        <v>20139.68</v>
      </c>
    </row>
    <row r="43" spans="1:9" ht="29.25" customHeight="1">
      <c r="A43" s="67">
        <v>151</v>
      </c>
      <c r="B43" s="79" t="s">
        <v>245</v>
      </c>
      <c r="C43" s="307">
        <f t="shared" ref="C43:I43" si="9">+C44</f>
        <v>0</v>
      </c>
      <c r="D43" s="308"/>
      <c r="E43" s="308"/>
      <c r="F43" s="308"/>
      <c r="G43" s="308">
        <f t="shared" si="9"/>
        <v>0</v>
      </c>
      <c r="H43" s="308">
        <f t="shared" si="9"/>
        <v>0</v>
      </c>
      <c r="I43" s="301">
        <f t="shared" si="9"/>
        <v>0</v>
      </c>
    </row>
    <row r="44" spans="1:9" ht="25.5" customHeight="1">
      <c r="A44" s="74">
        <v>15199</v>
      </c>
      <c r="B44" s="68" t="s">
        <v>246</v>
      </c>
      <c r="C44" s="307"/>
      <c r="D44" s="308"/>
      <c r="E44" s="308"/>
      <c r="F44" s="308"/>
      <c r="G44" s="308"/>
      <c r="H44" s="305"/>
      <c r="I44" s="306">
        <f t="shared" ref="I44:I53" si="10">SUM(C44:H44)</f>
        <v>0</v>
      </c>
    </row>
    <row r="45" spans="1:9" ht="30" customHeight="1">
      <c r="A45" s="257">
        <v>153</v>
      </c>
      <c r="B45" s="258" t="s">
        <v>237</v>
      </c>
      <c r="C45" s="309">
        <f>SUM(C46:C52)</f>
        <v>11001.41</v>
      </c>
      <c r="D45" s="310">
        <f>SUM(D47:D52)</f>
        <v>0</v>
      </c>
      <c r="E45" s="310">
        <f>SUM(E47:E52)</f>
        <v>0</v>
      </c>
      <c r="F45" s="310"/>
      <c r="G45" s="310">
        <f>SUM(G47:G52)</f>
        <v>0</v>
      </c>
      <c r="H45" s="310">
        <f>SUM(H47:H52)</f>
        <v>0</v>
      </c>
      <c r="I45" s="306">
        <f t="shared" si="10"/>
        <v>11001.41</v>
      </c>
    </row>
    <row r="46" spans="1:9" ht="25.5" customHeight="1">
      <c r="A46" s="74" t="s">
        <v>24</v>
      </c>
      <c r="B46" s="68" t="s">
        <v>25</v>
      </c>
      <c r="C46" s="307">
        <v>3213.26</v>
      </c>
      <c r="D46" s="308"/>
      <c r="E46" s="308"/>
      <c r="F46" s="308"/>
      <c r="G46" s="308"/>
      <c r="H46" s="305"/>
      <c r="I46" s="306">
        <f t="shared" si="10"/>
        <v>3213.26</v>
      </c>
    </row>
    <row r="47" spans="1:9" ht="25.5">
      <c r="A47" s="74" t="s">
        <v>27</v>
      </c>
      <c r="B47" s="68" t="s">
        <v>26</v>
      </c>
      <c r="C47" s="307">
        <v>3034.6</v>
      </c>
      <c r="D47" s="308"/>
      <c r="E47" s="308"/>
      <c r="F47" s="308"/>
      <c r="G47" s="308"/>
      <c r="H47" s="305"/>
      <c r="I47" s="306">
        <f t="shared" si="10"/>
        <v>3034.6</v>
      </c>
    </row>
    <row r="48" spans="1:9" ht="25.5">
      <c r="A48" s="74">
        <v>15310</v>
      </c>
      <c r="B48" s="68" t="s">
        <v>584</v>
      </c>
      <c r="C48" s="307">
        <v>170.88</v>
      </c>
      <c r="D48" s="308"/>
      <c r="E48" s="308"/>
      <c r="F48" s="308"/>
      <c r="G48" s="308"/>
      <c r="H48" s="305"/>
      <c r="I48" s="306">
        <f t="shared" si="10"/>
        <v>170.88</v>
      </c>
    </row>
    <row r="49" spans="1:9">
      <c r="A49" s="74">
        <v>15312</v>
      </c>
      <c r="B49" s="68" t="s">
        <v>194</v>
      </c>
      <c r="C49" s="307">
        <v>305.52</v>
      </c>
      <c r="D49" s="308"/>
      <c r="E49" s="308"/>
      <c r="F49" s="308"/>
      <c r="G49" s="308"/>
      <c r="H49" s="305"/>
      <c r="I49" s="306">
        <f t="shared" si="10"/>
        <v>305.52</v>
      </c>
    </row>
    <row r="50" spans="1:9">
      <c r="A50" s="74">
        <v>15313</v>
      </c>
      <c r="B50" s="68" t="s">
        <v>348</v>
      </c>
      <c r="C50" s="307">
        <v>550.05999999999995</v>
      </c>
      <c r="D50" s="308"/>
      <c r="E50" s="308"/>
      <c r="F50" s="308"/>
      <c r="G50" s="308"/>
      <c r="H50" s="305"/>
      <c r="I50" s="306">
        <f t="shared" si="10"/>
        <v>550.05999999999995</v>
      </c>
    </row>
    <row r="51" spans="1:9">
      <c r="A51" s="74" t="s">
        <v>80</v>
      </c>
      <c r="B51" s="68" t="s">
        <v>81</v>
      </c>
      <c r="C51" s="307">
        <v>3727.09</v>
      </c>
      <c r="D51" s="308"/>
      <c r="E51" s="308"/>
      <c r="F51" s="308"/>
      <c r="G51" s="308"/>
      <c r="H51" s="305"/>
      <c r="I51" s="306">
        <f t="shared" si="10"/>
        <v>3727.09</v>
      </c>
    </row>
    <row r="52" spans="1:9">
      <c r="A52" s="71">
        <v>15399</v>
      </c>
      <c r="B52" s="70" t="s">
        <v>247</v>
      </c>
      <c r="C52" s="307"/>
      <c r="D52" s="308"/>
      <c r="E52" s="308"/>
      <c r="F52" s="308"/>
      <c r="G52" s="308"/>
      <c r="H52" s="305"/>
      <c r="I52" s="306">
        <f t="shared" si="10"/>
        <v>0</v>
      </c>
    </row>
    <row r="53" spans="1:9" ht="30" customHeight="1">
      <c r="A53" s="69">
        <v>157</v>
      </c>
      <c r="B53" s="72" t="s">
        <v>238</v>
      </c>
      <c r="C53" s="311">
        <f t="shared" ref="C53:H53" si="11">SUM(C54:C55)</f>
        <v>9138.27</v>
      </c>
      <c r="D53" s="308">
        <f t="shared" si="11"/>
        <v>0</v>
      </c>
      <c r="E53" s="308">
        <f t="shared" si="11"/>
        <v>0</v>
      </c>
      <c r="F53" s="308">
        <f t="shared" si="11"/>
        <v>0</v>
      </c>
      <c r="G53" s="308">
        <f t="shared" si="11"/>
        <v>0</v>
      </c>
      <c r="H53" s="308">
        <f t="shared" si="11"/>
        <v>0</v>
      </c>
      <c r="I53" s="306">
        <f t="shared" si="10"/>
        <v>9138.27</v>
      </c>
    </row>
    <row r="54" spans="1:9" ht="25.5">
      <c r="A54" s="71" t="s">
        <v>59</v>
      </c>
      <c r="B54" s="70" t="s">
        <v>349</v>
      </c>
      <c r="C54" s="792">
        <v>3210.36</v>
      </c>
      <c r="D54" s="308"/>
      <c r="E54" s="308"/>
      <c r="F54" s="308"/>
      <c r="G54" s="308"/>
      <c r="H54" s="305"/>
      <c r="I54" s="306">
        <v>9951.1866666666665</v>
      </c>
    </row>
    <row r="55" spans="1:9" ht="16.5" customHeight="1">
      <c r="A55" s="71" t="s">
        <v>60</v>
      </c>
      <c r="B55" s="70" t="s">
        <v>61</v>
      </c>
      <c r="C55" s="307">
        <v>5927.91</v>
      </c>
      <c r="D55" s="308"/>
      <c r="E55" s="308"/>
      <c r="F55" s="308"/>
      <c r="G55" s="308"/>
      <c r="H55" s="305">
        <v>0</v>
      </c>
      <c r="I55" s="306">
        <v>9281.4477777777774</v>
      </c>
    </row>
    <row r="56" spans="1:9">
      <c r="A56" s="259">
        <v>16</v>
      </c>
      <c r="B56" s="260" t="s">
        <v>239</v>
      </c>
      <c r="C56" s="309">
        <f>+C57</f>
        <v>0</v>
      </c>
      <c r="D56" s="310">
        <f t="shared" ref="D56:H57" si="12">+D57</f>
        <v>0</v>
      </c>
      <c r="E56" s="310">
        <f>+E57</f>
        <v>480000.03</v>
      </c>
      <c r="F56" s="310">
        <f t="shared" si="12"/>
        <v>0</v>
      </c>
      <c r="G56" s="310">
        <f t="shared" si="12"/>
        <v>0</v>
      </c>
      <c r="H56" s="310">
        <f t="shared" si="12"/>
        <v>0</v>
      </c>
      <c r="I56" s="309">
        <f>SUM(D56:H56)</f>
        <v>480000.03</v>
      </c>
    </row>
    <row r="57" spans="1:9" ht="25.5">
      <c r="A57" s="69">
        <v>162</v>
      </c>
      <c r="B57" s="72" t="s">
        <v>248</v>
      </c>
      <c r="C57" s="307">
        <f>+C58</f>
        <v>0</v>
      </c>
      <c r="D57" s="308">
        <f t="shared" si="12"/>
        <v>0</v>
      </c>
      <c r="E57" s="308">
        <f>+E59</f>
        <v>480000.03</v>
      </c>
      <c r="F57" s="308"/>
      <c r="G57" s="308">
        <f t="shared" si="12"/>
        <v>0</v>
      </c>
      <c r="H57" s="308">
        <f t="shared" si="12"/>
        <v>0</v>
      </c>
      <c r="I57" s="301"/>
    </row>
    <row r="58" spans="1:9" ht="25.5">
      <c r="A58" s="74">
        <v>16201</v>
      </c>
      <c r="B58" s="68" t="s">
        <v>570</v>
      </c>
      <c r="C58" s="307"/>
      <c r="D58" s="312"/>
      <c r="E58" s="312"/>
      <c r="F58" s="312"/>
      <c r="G58" s="312"/>
      <c r="H58" s="313"/>
      <c r="I58" s="306"/>
    </row>
    <row r="59" spans="1:9" ht="38.25">
      <c r="A59" s="71">
        <v>1620701</v>
      </c>
      <c r="B59" s="70" t="s">
        <v>665</v>
      </c>
      <c r="C59" s="307"/>
      <c r="D59" s="308"/>
      <c r="E59" s="308">
        <v>480000.03</v>
      </c>
      <c r="F59" s="308"/>
      <c r="G59" s="308"/>
      <c r="H59" s="305"/>
      <c r="I59" s="306"/>
    </row>
    <row r="60" spans="1:9">
      <c r="A60" s="71"/>
      <c r="B60" s="70"/>
      <c r="C60" s="307"/>
      <c r="D60" s="308"/>
      <c r="E60" s="308"/>
      <c r="F60" s="308"/>
      <c r="G60" s="308"/>
      <c r="H60" s="305"/>
      <c r="I60" s="306"/>
    </row>
    <row r="61" spans="1:9" ht="16.5" customHeight="1">
      <c r="A61" s="259">
        <v>22</v>
      </c>
      <c r="B61" s="260" t="s">
        <v>240</v>
      </c>
      <c r="C61" s="310">
        <f t="shared" ref="C61:H61" si="13">+C62</f>
        <v>0</v>
      </c>
      <c r="D61" s="309">
        <f>+D67</f>
        <v>693517.89</v>
      </c>
      <c r="E61" s="309">
        <f>+E67</f>
        <v>0</v>
      </c>
      <c r="F61" s="309">
        <f>+F64</f>
        <v>0</v>
      </c>
      <c r="G61" s="310">
        <f t="shared" si="13"/>
        <v>0</v>
      </c>
      <c r="H61" s="309">
        <f t="shared" si="13"/>
        <v>24952</v>
      </c>
      <c r="I61" s="309">
        <f>SUM(C61:H61)</f>
        <v>718469.89</v>
      </c>
    </row>
    <row r="62" spans="1:9" ht="25.5">
      <c r="A62" s="69">
        <v>222</v>
      </c>
      <c r="B62" s="72" t="s">
        <v>241</v>
      </c>
      <c r="C62" s="307">
        <f>SUM(C63:C68)</f>
        <v>0</v>
      </c>
      <c r="D62" s="308"/>
      <c r="E62" s="308"/>
      <c r="F62" s="308"/>
      <c r="G62" s="308">
        <f>SUM(G63:G68)</f>
        <v>0</v>
      </c>
      <c r="H62" s="308">
        <f>SUM(H63:H68)</f>
        <v>24952</v>
      </c>
      <c r="I62" s="301"/>
    </row>
    <row r="63" spans="1:9" ht="28.5" customHeight="1">
      <c r="A63" s="71" t="s">
        <v>28</v>
      </c>
      <c r="B63" s="70" t="s">
        <v>568</v>
      </c>
      <c r="C63" s="307"/>
      <c r="D63" s="308"/>
      <c r="E63" s="308"/>
      <c r="F63" s="308"/>
      <c r="G63" s="308"/>
      <c r="H63" s="305"/>
      <c r="I63" s="306"/>
    </row>
    <row r="64" spans="1:9" ht="36.75" customHeight="1">
      <c r="A64" s="71">
        <v>22201</v>
      </c>
      <c r="B64" s="315" t="s">
        <v>569</v>
      </c>
      <c r="C64" s="307"/>
      <c r="D64" s="308"/>
      <c r="E64" s="308"/>
      <c r="F64" s="308"/>
      <c r="G64" s="308"/>
      <c r="H64" s="305"/>
      <c r="I64" s="306"/>
    </row>
    <row r="65" spans="1:12" ht="12.75" customHeight="1">
      <c r="A65" s="71"/>
      <c r="B65" s="315"/>
      <c r="C65" s="307"/>
      <c r="D65" s="308"/>
      <c r="E65" s="308"/>
      <c r="F65" s="308"/>
      <c r="G65" s="308"/>
      <c r="H65" s="305"/>
      <c r="I65" s="306"/>
    </row>
    <row r="66" spans="1:12" ht="9.75" customHeight="1">
      <c r="A66" s="71"/>
      <c r="B66" s="315"/>
      <c r="C66" s="307"/>
      <c r="D66" s="308"/>
      <c r="E66" s="308"/>
      <c r="F66" s="308"/>
      <c r="G66" s="308"/>
      <c r="H66" s="305"/>
      <c r="I66" s="306"/>
    </row>
    <row r="67" spans="1:12" ht="63.75">
      <c r="A67" s="71">
        <v>1620701</v>
      </c>
      <c r="B67" s="70" t="s">
        <v>1168</v>
      </c>
      <c r="C67" s="307"/>
      <c r="D67" s="311">
        <v>693517.89</v>
      </c>
      <c r="E67" s="311"/>
      <c r="F67" s="308"/>
      <c r="G67" s="308"/>
      <c r="H67" s="305"/>
      <c r="I67" s="306"/>
    </row>
    <row r="68" spans="1:12" ht="34.5" customHeight="1">
      <c r="A68" s="275">
        <v>2223106</v>
      </c>
      <c r="B68" s="70" t="s">
        <v>1036</v>
      </c>
      <c r="C68" s="307"/>
      <c r="D68" s="308"/>
      <c r="E68" s="308"/>
      <c r="F68" s="308"/>
      <c r="G68" s="308"/>
      <c r="H68" s="305">
        <v>24952</v>
      </c>
      <c r="I68" s="306">
        <f>SUM(C68:H68)</f>
        <v>24952</v>
      </c>
    </row>
    <row r="69" spans="1:12">
      <c r="A69" s="259">
        <v>31</v>
      </c>
      <c r="B69" s="260" t="s">
        <v>242</v>
      </c>
      <c r="C69" s="310">
        <f t="shared" ref="C69:I69" si="14">+C70</f>
        <v>0</v>
      </c>
      <c r="D69" s="310">
        <f t="shared" si="14"/>
        <v>0</v>
      </c>
      <c r="E69" s="310"/>
      <c r="F69" s="310">
        <f t="shared" si="14"/>
        <v>0</v>
      </c>
      <c r="G69" s="310">
        <f t="shared" si="14"/>
        <v>0</v>
      </c>
      <c r="H69" s="310">
        <f t="shared" si="14"/>
        <v>0</v>
      </c>
      <c r="I69" s="309">
        <f t="shared" si="14"/>
        <v>0</v>
      </c>
    </row>
    <row r="70" spans="1:12" ht="25.5">
      <c r="A70" s="69">
        <v>313</v>
      </c>
      <c r="B70" s="72" t="s">
        <v>551</v>
      </c>
      <c r="C70" s="307">
        <f t="shared" ref="C70:I70" si="15">SUM(C71:C72)</f>
        <v>0</v>
      </c>
      <c r="D70" s="308">
        <f t="shared" si="15"/>
        <v>0</v>
      </c>
      <c r="E70" s="308"/>
      <c r="F70" s="308">
        <f t="shared" si="15"/>
        <v>0</v>
      </c>
      <c r="G70" s="308">
        <f t="shared" si="15"/>
        <v>0</v>
      </c>
      <c r="H70" s="308">
        <f t="shared" si="15"/>
        <v>0</v>
      </c>
      <c r="I70" s="301">
        <f t="shared" si="15"/>
        <v>0</v>
      </c>
    </row>
    <row r="71" spans="1:12" ht="31.5" customHeight="1">
      <c r="A71" s="71" t="s">
        <v>121</v>
      </c>
      <c r="B71" s="70" t="s">
        <v>102</v>
      </c>
      <c r="C71" s="307"/>
      <c r="D71" s="308"/>
      <c r="E71" s="308"/>
      <c r="F71" s="308"/>
      <c r="G71" s="308"/>
      <c r="H71" s="305"/>
      <c r="I71" s="306">
        <f>SUM(C71:H71)</f>
        <v>0</v>
      </c>
    </row>
    <row r="72" spans="1:12" ht="25.5">
      <c r="A72" s="71" t="s">
        <v>176</v>
      </c>
      <c r="B72" s="70" t="s">
        <v>177</v>
      </c>
      <c r="C72" s="307"/>
      <c r="D72" s="308"/>
      <c r="E72" s="308"/>
      <c r="F72" s="308"/>
      <c r="G72" s="308"/>
      <c r="H72" s="305"/>
      <c r="I72" s="306">
        <f>SUM(C72:H72)</f>
        <v>0</v>
      </c>
    </row>
    <row r="73" spans="1:12">
      <c r="A73" s="259">
        <v>32</v>
      </c>
      <c r="B73" s="260" t="s">
        <v>243</v>
      </c>
      <c r="C73" s="309">
        <f>+C74</f>
        <v>46691.839999999997</v>
      </c>
      <c r="D73" s="309">
        <f>D76+D80</f>
        <v>183489.69</v>
      </c>
      <c r="E73" s="309">
        <f>E76+E80</f>
        <v>301070.76</v>
      </c>
      <c r="F73" s="309">
        <f>F76</f>
        <v>23309.82</v>
      </c>
      <c r="G73" s="309">
        <f>G76</f>
        <v>1272.25</v>
      </c>
      <c r="H73" s="309">
        <f>+H74</f>
        <v>4861.25</v>
      </c>
      <c r="I73" s="309">
        <f>+CG7372+F73+D73+E73+C73+G73+H73</f>
        <v>560695.61</v>
      </c>
    </row>
    <row r="74" spans="1:12" ht="25.5">
      <c r="A74" s="69">
        <v>321</v>
      </c>
      <c r="B74" s="72" t="s">
        <v>244</v>
      </c>
      <c r="C74" s="311">
        <f>SUM(C75:C76)</f>
        <v>46691.839999999997</v>
      </c>
      <c r="D74" s="311">
        <f>+D76</f>
        <v>75208.69</v>
      </c>
      <c r="E74" s="311">
        <f>+E76</f>
        <v>221070.76</v>
      </c>
      <c r="F74" s="847">
        <f>+F76</f>
        <v>23309.82</v>
      </c>
      <c r="G74" s="847">
        <f>G76</f>
        <v>1272.25</v>
      </c>
      <c r="H74" s="846">
        <f>+H76</f>
        <v>4861.25</v>
      </c>
      <c r="I74" s="301"/>
    </row>
    <row r="75" spans="1:12">
      <c r="A75" s="71" t="s">
        <v>172</v>
      </c>
      <c r="B75" s="70" t="s">
        <v>173</v>
      </c>
      <c r="C75" s="307"/>
      <c r="D75" s="308"/>
      <c r="E75" s="308"/>
      <c r="F75" s="308"/>
      <c r="G75" s="307"/>
      <c r="H75" s="305"/>
      <c r="I75" s="306">
        <f>SUM(C75:H75)</f>
        <v>0</v>
      </c>
    </row>
    <row r="76" spans="1:12" s="778" customFormat="1">
      <c r="A76" s="775" t="s">
        <v>76</v>
      </c>
      <c r="B76" s="776" t="s">
        <v>178</v>
      </c>
      <c r="C76" s="861">
        <v>46691.839999999997</v>
      </c>
      <c r="D76" s="779">
        <v>75208.69</v>
      </c>
      <c r="E76" s="779">
        <v>221070.76</v>
      </c>
      <c r="F76" s="779">
        <f t="array" ref="F76:F77">'SALDO DE CUENTAS BANCARIAS'!I10:I11</f>
        <v>23309.82</v>
      </c>
      <c r="G76" s="780">
        <v>1272.25</v>
      </c>
      <c r="H76" s="781">
        <v>4861.25</v>
      </c>
      <c r="I76" s="777">
        <f>SUM(C76:H76)</f>
        <v>372414.61000000004</v>
      </c>
    </row>
    <row r="77" spans="1:12" s="773" customFormat="1">
      <c r="A77" s="187"/>
      <c r="B77" s="186"/>
      <c r="C77" s="389"/>
      <c r="D77" s="389"/>
      <c r="E77" s="389"/>
      <c r="F77" s="389">
        <v>0</v>
      </c>
      <c r="G77" s="774"/>
      <c r="H77" s="771"/>
      <c r="I77" s="772"/>
    </row>
    <row r="78" spans="1:12" ht="25.5">
      <c r="A78" s="69">
        <v>322</v>
      </c>
      <c r="B78" s="72" t="s">
        <v>523</v>
      </c>
      <c r="C78" s="311">
        <f>C79</f>
        <v>51677.976000000002</v>
      </c>
      <c r="D78" s="301"/>
      <c r="E78" s="301"/>
      <c r="F78" s="308"/>
      <c r="G78" s="307"/>
      <c r="H78" s="305"/>
      <c r="I78" s="306">
        <f>SUM(C78:H78)</f>
        <v>51677.976000000002</v>
      </c>
    </row>
    <row r="79" spans="1:12" ht="123.75" customHeight="1">
      <c r="A79" s="71">
        <v>32201</v>
      </c>
      <c r="B79" s="70" t="s">
        <v>969</v>
      </c>
      <c r="C79" s="389">
        <f>'MORA TRIBUTARIA A 2023'!O30</f>
        <v>51677.976000000002</v>
      </c>
      <c r="D79" s="308"/>
      <c r="E79" s="308"/>
      <c r="F79" s="308"/>
      <c r="G79" s="307"/>
      <c r="H79" s="305"/>
      <c r="I79" s="306">
        <f>SUM(C79:H79)</f>
        <v>51677.976000000002</v>
      </c>
    </row>
    <row r="80" spans="1:12" ht="57.75" customHeight="1" thickBot="1">
      <c r="A80" s="71" t="s">
        <v>175</v>
      </c>
      <c r="B80" s="318" t="s">
        <v>1169</v>
      </c>
      <c r="C80" s="307"/>
      <c r="D80" s="311">
        <v>108281</v>
      </c>
      <c r="E80" s="311">
        <v>80000</v>
      </c>
      <c r="F80" s="308"/>
      <c r="G80" s="307"/>
      <c r="H80" s="305"/>
      <c r="I80" s="306">
        <f>SUM(D80:H80)</f>
        <v>188281</v>
      </c>
      <c r="K80" s="165"/>
      <c r="L80" s="165"/>
    </row>
    <row r="81" spans="1:12" s="52" customFormat="1" ht="24.95" customHeight="1" thickBot="1">
      <c r="A81" s="253"/>
      <c r="B81" s="254" t="s">
        <v>115</v>
      </c>
      <c r="C81" s="274">
        <f>+C9+C20+C38+C42+C56+C61+C69+C73+C78+0.01</f>
        <v>550648.00266666664</v>
      </c>
      <c r="D81" s="274">
        <f>+D9+D20+D38+D42+D56+D61+D69+D73</f>
        <v>877007.58000000007</v>
      </c>
      <c r="E81" s="274">
        <f>+E9+E20+E38+E42+E56+E61+E69+E73</f>
        <v>781070.79</v>
      </c>
      <c r="F81" s="274">
        <f>+F9+F20+F38+F42+F56+F61+F69+F73</f>
        <v>23309.82</v>
      </c>
      <c r="G81" s="274">
        <f>+G9+G20+G38+G42+G56+G61+G69+G73</f>
        <v>1272.25</v>
      </c>
      <c r="H81" s="274">
        <f>+H9+H20+H38+H42+H56+H61+H69+H73</f>
        <v>29813.25</v>
      </c>
      <c r="I81" s="274">
        <f>I73+I61+I56+I42+I38+I20+I9+I78+0.01</f>
        <v>2263121.6926666661</v>
      </c>
      <c r="K81" s="158"/>
      <c r="L81" s="158"/>
    </row>
    <row r="82" spans="1:12" ht="15" customHeight="1">
      <c r="A82" s="25"/>
      <c r="B82" s="297"/>
      <c r="C82" s="25"/>
      <c r="D82" s="157"/>
      <c r="E82" s="157"/>
      <c r="F82" s="157"/>
      <c r="G82" s="271"/>
    </row>
    <row r="83" spans="1:12" s="20" customFormat="1" ht="18" customHeight="1">
      <c r="A83" s="86" t="s">
        <v>8</v>
      </c>
      <c r="B83" s="27"/>
      <c r="C83" s="655"/>
      <c r="D83" s="27"/>
      <c r="E83" s="27"/>
      <c r="F83" s="27"/>
      <c r="G83" s="27"/>
      <c r="H83" s="27"/>
      <c r="I83" s="53"/>
    </row>
    <row r="84" spans="1:12">
      <c r="A84" s="1003" t="s">
        <v>2</v>
      </c>
      <c r="B84" s="1003"/>
      <c r="C84" s="1003"/>
      <c r="D84" s="1003"/>
      <c r="E84" s="1003"/>
      <c r="F84" s="1003"/>
      <c r="G84" s="1003"/>
    </row>
    <row r="85" spans="1:12">
      <c r="A85" s="1003" t="s">
        <v>3</v>
      </c>
      <c r="B85" s="1003"/>
      <c r="C85" s="1003"/>
      <c r="D85" s="1003"/>
      <c r="E85" s="1003"/>
      <c r="F85" s="1003"/>
      <c r="G85" s="1003"/>
    </row>
    <row r="86" spans="1:12">
      <c r="A86" s="1003" t="s">
        <v>597</v>
      </c>
      <c r="B86" s="1003"/>
      <c r="C86" s="1003"/>
      <c r="D86" s="1003"/>
      <c r="E86" s="1003"/>
      <c r="F86" s="1003"/>
      <c r="G86" s="1003"/>
    </row>
    <row r="87" spans="1:12">
      <c r="A87" s="1003" t="s">
        <v>1167</v>
      </c>
      <c r="B87" s="1003"/>
      <c r="C87" s="1003"/>
      <c r="D87" s="1003"/>
      <c r="E87" s="1003"/>
      <c r="F87" s="1003"/>
      <c r="G87" s="1003"/>
    </row>
    <row r="88" spans="1:12" ht="22.5" customHeight="1">
      <c r="A88" s="1003" t="s">
        <v>1190</v>
      </c>
      <c r="B88" s="1003"/>
      <c r="C88" s="1003"/>
      <c r="D88" s="1003"/>
      <c r="E88" s="1003"/>
      <c r="F88" s="1003"/>
      <c r="G88" s="1003"/>
    </row>
    <row r="89" spans="1:12" ht="17.25" customHeight="1">
      <c r="A89" s="1002"/>
      <c r="B89" s="1002"/>
      <c r="C89" s="1002"/>
      <c r="D89" s="1002"/>
      <c r="E89" s="1002"/>
      <c r="F89" s="1002"/>
      <c r="G89" s="296"/>
    </row>
  </sheetData>
  <mergeCells count="16">
    <mergeCell ref="A4:I4"/>
    <mergeCell ref="G6:G8"/>
    <mergeCell ref="H6:H8"/>
    <mergeCell ref="A84:G84"/>
    <mergeCell ref="A2:I2"/>
    <mergeCell ref="A3:I3"/>
    <mergeCell ref="A5:I5"/>
    <mergeCell ref="B6:B8"/>
    <mergeCell ref="I6:I8"/>
    <mergeCell ref="A6:A8"/>
    <mergeCell ref="C6:D6"/>
    <mergeCell ref="A89:F89"/>
    <mergeCell ref="A88:G88"/>
    <mergeCell ref="A85:G85"/>
    <mergeCell ref="A86:G86"/>
    <mergeCell ref="A87:G87"/>
  </mergeCells>
  <phoneticPr fontId="4" type="noConversion"/>
  <printOptions horizontalCentered="1"/>
  <pageMargins left="0.23622047244094491" right="0.23622047244094491" top="0.55118110236220474" bottom="0.74803149606299213" header="0.31496062992125984" footer="0.31496062992125984"/>
  <pageSetup paperSize="5" scale="80" fitToHeight="0" orientation="portrait" r:id="rId1"/>
  <headerFooter alignWithMargins="0"/>
  <rowBreaks count="1" manualBreakCount="1">
    <brk id="56" max="11" man="1"/>
  </rowBreaks>
  <colBreaks count="1" manualBreakCount="1">
    <brk id="9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2:E22"/>
  <sheetViews>
    <sheetView zoomScale="116" zoomScaleNormal="116" workbookViewId="0">
      <selection activeCell="E26" sqref="E26"/>
    </sheetView>
  </sheetViews>
  <sheetFormatPr baseColWidth="10" defaultColWidth="11.42578125" defaultRowHeight="12.75"/>
  <cols>
    <col min="1" max="1" width="4.7109375" style="678" customWidth="1"/>
    <col min="2" max="2" width="11.42578125" style="678"/>
    <col min="3" max="3" width="19" style="678" customWidth="1"/>
    <col min="4" max="4" width="11.42578125" style="678"/>
    <col min="5" max="5" width="25.7109375" style="678" customWidth="1"/>
    <col min="6" max="16384" width="11.42578125" style="678"/>
  </cols>
  <sheetData>
    <row r="2" spans="2:5">
      <c r="B2" s="800"/>
      <c r="C2" s="801"/>
      <c r="D2" s="800"/>
      <c r="E2" s="802" t="s">
        <v>975</v>
      </c>
    </row>
    <row r="3" spans="2:5">
      <c r="B3" s="803" t="s">
        <v>698</v>
      </c>
      <c r="C3" s="803" t="s">
        <v>977</v>
      </c>
      <c r="D3" s="804"/>
      <c r="E3" s="805" t="s">
        <v>976</v>
      </c>
    </row>
    <row r="4" spans="2:5">
      <c r="B4" s="723">
        <v>1</v>
      </c>
      <c r="C4" s="783" t="s">
        <v>978</v>
      </c>
      <c r="D4" s="723"/>
      <c r="E4" s="784">
        <v>39536.800000000003</v>
      </c>
    </row>
    <row r="5" spans="2:5">
      <c r="B5" s="723">
        <v>2</v>
      </c>
      <c r="C5" s="783" t="s">
        <v>543</v>
      </c>
      <c r="D5" s="723"/>
      <c r="E5" s="784">
        <v>40340.839999999997</v>
      </c>
    </row>
    <row r="6" spans="2:5">
      <c r="B6" s="723">
        <v>3</v>
      </c>
      <c r="C6" s="783" t="s">
        <v>544</v>
      </c>
      <c r="D6" s="723"/>
      <c r="E6" s="784">
        <v>30710.23</v>
      </c>
    </row>
    <row r="7" spans="2:5">
      <c r="B7" s="723">
        <v>4</v>
      </c>
      <c r="C7" s="783" t="s">
        <v>548</v>
      </c>
      <c r="D7" s="723"/>
      <c r="E7" s="784">
        <v>16781.38</v>
      </c>
    </row>
    <row r="8" spans="2:5">
      <c r="B8" s="723">
        <v>5</v>
      </c>
      <c r="C8" s="783" t="s">
        <v>545</v>
      </c>
      <c r="D8" s="723"/>
      <c r="E8" s="784">
        <v>74854.28</v>
      </c>
    </row>
    <row r="9" spans="2:5">
      <c r="B9" s="723">
        <v>6</v>
      </c>
      <c r="C9" s="783" t="s">
        <v>546</v>
      </c>
      <c r="D9" s="723"/>
      <c r="E9" s="784">
        <v>14669.18</v>
      </c>
    </row>
    <row r="10" spans="2:5">
      <c r="B10" s="723">
        <v>7</v>
      </c>
      <c r="C10" s="783" t="s">
        <v>547</v>
      </c>
      <c r="D10" s="723"/>
      <c r="E10" s="784">
        <v>24818.959999999999</v>
      </c>
    </row>
    <row r="11" spans="2:5">
      <c r="B11" s="723">
        <v>8</v>
      </c>
      <c r="C11" s="783" t="s">
        <v>831</v>
      </c>
      <c r="D11" s="723"/>
      <c r="E11" s="784">
        <v>55917.33</v>
      </c>
    </row>
    <row r="12" spans="2:5">
      <c r="B12" s="723">
        <v>9</v>
      </c>
      <c r="C12" s="783" t="s">
        <v>549</v>
      </c>
      <c r="D12" s="723"/>
      <c r="E12" s="784">
        <v>25706.61</v>
      </c>
    </row>
    <row r="13" spans="2:5">
      <c r="B13" s="723"/>
      <c r="C13" s="797" t="s">
        <v>979</v>
      </c>
      <c r="D13" s="723"/>
      <c r="E13" s="798">
        <f>+E4+E5+E6+E7+E8+E9+E10+E11+E12</f>
        <v>323335.61</v>
      </c>
    </row>
    <row r="14" spans="2:5">
      <c r="B14" s="723">
        <v>10</v>
      </c>
      <c r="C14" s="783" t="s">
        <v>550</v>
      </c>
      <c r="D14" s="723"/>
      <c r="E14" s="784">
        <v>22218.26</v>
      </c>
    </row>
    <row r="15" spans="2:5">
      <c r="B15" s="723">
        <v>11</v>
      </c>
      <c r="C15" s="783" t="s">
        <v>832</v>
      </c>
      <c r="D15" s="723"/>
      <c r="E15" s="784">
        <v>55240.26</v>
      </c>
    </row>
    <row r="16" spans="2:5">
      <c r="B16" s="723">
        <v>12</v>
      </c>
      <c r="C16" s="783" t="s">
        <v>833</v>
      </c>
      <c r="D16" s="723"/>
      <c r="E16" s="784">
        <v>22635.5</v>
      </c>
    </row>
    <row r="17" spans="1:5">
      <c r="B17" s="797" t="s">
        <v>980</v>
      </c>
      <c r="C17" s="783"/>
      <c r="D17" s="723"/>
      <c r="E17" s="724">
        <f>+E13+E14+E15+E16+25635.5</f>
        <v>449065.13</v>
      </c>
    </row>
    <row r="18" spans="1:5" ht="21" customHeight="1">
      <c r="A18" s="807"/>
      <c r="B18" s="799"/>
    </row>
    <row r="19" spans="1:5">
      <c r="A19" s="807"/>
    </row>
    <row r="20" spans="1:5">
      <c r="A20" s="806"/>
    </row>
    <row r="21" spans="1:5">
      <c r="A21" s="690"/>
      <c r="B21" s="808"/>
      <c r="C21" s="785"/>
    </row>
    <row r="22" spans="1:5">
      <c r="A22" s="806"/>
      <c r="B22" s="786"/>
      <c r="C22" s="786"/>
    </row>
  </sheetData>
  <phoneticPr fontId="4" type="noConversion"/>
  <pageMargins left="0.70866141732283472" right="0.70866141732283472" top="1.1417322834645669" bottom="0.74803149606299213" header="0.31496062992125984" footer="0.31496062992125984"/>
  <pageSetup paperSize="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/>
    <pageSetUpPr fitToPage="1"/>
  </sheetPr>
  <dimension ref="A1:M169"/>
  <sheetViews>
    <sheetView view="pageBreakPreview" topLeftCell="A151" zoomScale="85" zoomScaleNormal="85" zoomScaleSheetLayoutView="85" workbookViewId="0">
      <selection sqref="A1:I67"/>
    </sheetView>
  </sheetViews>
  <sheetFormatPr baseColWidth="10" defaultColWidth="11.42578125" defaultRowHeight="12.75"/>
  <cols>
    <col min="1" max="1" width="6.28515625" style="30" customWidth="1"/>
    <col min="2" max="2" width="24.85546875" style="24" customWidth="1"/>
    <col min="3" max="3" width="19.42578125" style="24" customWidth="1"/>
    <col min="4" max="4" width="16.7109375" style="24" customWidth="1"/>
    <col min="5" max="5" width="15.7109375" style="24" customWidth="1"/>
    <col min="6" max="6" width="12.7109375" style="24" customWidth="1"/>
    <col min="7" max="7" width="16.5703125" style="24" customWidth="1"/>
    <col min="8" max="8" width="12.7109375" style="24" customWidth="1"/>
    <col min="9" max="9" width="15.5703125" style="29" customWidth="1"/>
    <col min="10" max="10" width="14.85546875" style="25" bestFit="1" customWidth="1"/>
    <col min="11" max="11" width="14.5703125" style="25" bestFit="1" customWidth="1"/>
    <col min="12" max="16384" width="11.42578125" style="25"/>
  </cols>
  <sheetData>
    <row r="1" spans="1:11">
      <c r="A1" s="1025" t="s">
        <v>335</v>
      </c>
      <c r="B1" s="1026"/>
      <c r="C1" s="1026"/>
      <c r="D1" s="1026"/>
      <c r="E1" s="1026"/>
      <c r="F1" s="1026"/>
      <c r="G1" s="1026"/>
      <c r="H1" s="1026"/>
      <c r="I1" s="1026"/>
    </row>
    <row r="2" spans="1:11">
      <c r="A2" s="1025" t="s">
        <v>327</v>
      </c>
      <c r="B2" s="1026"/>
      <c r="C2" s="1026"/>
      <c r="D2" s="1026"/>
      <c r="E2" s="1026"/>
      <c r="F2" s="1026"/>
      <c r="G2" s="1026"/>
      <c r="H2" s="1026"/>
      <c r="I2" s="1026"/>
    </row>
    <row r="3" spans="1:11">
      <c r="A3" s="1025" t="s">
        <v>966</v>
      </c>
      <c r="B3" s="1025"/>
      <c r="C3" s="1025"/>
      <c r="D3" s="1025"/>
      <c r="E3" s="1025"/>
      <c r="F3" s="1025"/>
      <c r="G3" s="1025"/>
      <c r="H3" s="1025"/>
      <c r="I3" s="1025"/>
    </row>
    <row r="4" spans="1:11">
      <c r="A4" s="1027" t="s">
        <v>6</v>
      </c>
      <c r="B4" s="1027"/>
      <c r="C4" s="1027"/>
      <c r="D4" s="1027"/>
      <c r="E4" s="1027"/>
      <c r="F4" s="1027"/>
      <c r="G4" s="1027"/>
      <c r="H4" s="1027"/>
      <c r="I4" s="1027"/>
    </row>
    <row r="5" spans="1:11" ht="13.5" thickBot="1">
      <c r="A5" s="1028" t="s">
        <v>307</v>
      </c>
      <c r="B5" s="1029"/>
      <c r="C5" s="1029"/>
      <c r="D5" s="1029"/>
      <c r="E5" s="1029"/>
      <c r="F5" s="1029"/>
      <c r="G5" s="1029"/>
      <c r="H5" s="1029"/>
      <c r="I5" s="1029"/>
    </row>
    <row r="6" spans="1:11" ht="30" customHeight="1" thickBot="1">
      <c r="A6" s="1018" t="s">
        <v>88</v>
      </c>
      <c r="B6" s="1012" t="s">
        <v>89</v>
      </c>
      <c r="C6" s="1023" t="s">
        <v>510</v>
      </c>
      <c r="D6" s="1024"/>
      <c r="E6" s="270"/>
      <c r="F6" s="1032" t="s">
        <v>331</v>
      </c>
      <c r="G6" s="1005" t="s">
        <v>573</v>
      </c>
      <c r="H6" s="1005" t="s">
        <v>601</v>
      </c>
      <c r="I6" s="1015" t="s">
        <v>91</v>
      </c>
    </row>
    <row r="7" spans="1:11" ht="33" customHeight="1" thickBot="1">
      <c r="A7" s="1019"/>
      <c r="B7" s="1013"/>
      <c r="C7" s="196" t="s">
        <v>330</v>
      </c>
      <c r="D7" s="293" t="s">
        <v>509</v>
      </c>
      <c r="E7" s="628"/>
      <c r="F7" s="1033"/>
      <c r="G7" s="1006"/>
      <c r="H7" s="1006"/>
      <c r="I7" s="1016"/>
    </row>
    <row r="8" spans="1:11" ht="88.5" customHeight="1" thickBot="1">
      <c r="A8" s="1020"/>
      <c r="B8" s="1014"/>
      <c r="C8" s="154" t="s">
        <v>512</v>
      </c>
      <c r="D8" s="155" t="s">
        <v>600</v>
      </c>
      <c r="E8" s="155" t="s">
        <v>841</v>
      </c>
      <c r="F8" s="1034"/>
      <c r="G8" s="1007"/>
      <c r="H8" s="1007"/>
      <c r="I8" s="1017"/>
    </row>
    <row r="9" spans="1:11" ht="15.75" customHeight="1">
      <c r="A9" s="211">
        <v>51</v>
      </c>
      <c r="B9" s="212" t="s">
        <v>252</v>
      </c>
      <c r="C9" s="197">
        <f>+C10+C17+C24+C27+C30+C33+C36+C21</f>
        <v>353616.92499999999</v>
      </c>
      <c r="D9" s="197">
        <f>+D10+D17+D21+D24+D27+D30+D33+D36</f>
        <v>571229.35</v>
      </c>
      <c r="E9" s="197">
        <f>+E10+E17+E24+E27+E30+E36+E21</f>
        <v>7750</v>
      </c>
      <c r="F9" s="197">
        <f>+F10+F17+F24+F27+F30</f>
        <v>0</v>
      </c>
      <c r="G9" s="197">
        <f>+G10+G17+G24+G27+G30</f>
        <v>0</v>
      </c>
      <c r="H9" s="197">
        <f>+H10+H17+H24+H27+H30</f>
        <v>0</v>
      </c>
      <c r="I9" s="197">
        <f>SUM(C9:H9)</f>
        <v>932596.27499999991</v>
      </c>
      <c r="J9" s="172"/>
      <c r="K9" s="170"/>
    </row>
    <row r="10" spans="1:11" ht="24.75" customHeight="1">
      <c r="A10" s="198">
        <v>511</v>
      </c>
      <c r="B10" s="199" t="s">
        <v>253</v>
      </c>
      <c r="C10" s="200">
        <f>SUM(C11:C15)</f>
        <v>261502.5</v>
      </c>
      <c r="D10" s="200">
        <f>+D11+D12+D13+D15</f>
        <v>411780</v>
      </c>
      <c r="E10" s="200">
        <f>+E11+E12+E13+E15</f>
        <v>0</v>
      </c>
      <c r="F10" s="200">
        <f>+F11+F12+F13+F15</f>
        <v>0</v>
      </c>
      <c r="G10" s="200">
        <f>+G11+G12+G13+G15</f>
        <v>0</v>
      </c>
      <c r="H10" s="200">
        <f>+H11+H12+H13+H15</f>
        <v>0</v>
      </c>
      <c r="I10" s="200">
        <f>+I11+I12+I13+I15+I14</f>
        <v>673282.5</v>
      </c>
      <c r="J10" s="171"/>
    </row>
    <row r="11" spans="1:11" s="551" customFormat="1" ht="15.75" customHeight="1">
      <c r="A11" s="559">
        <v>51101</v>
      </c>
      <c r="B11" s="560" t="s">
        <v>30</v>
      </c>
      <c r="C11" s="789">
        <f>'EGRE FONDO COMUN'!H10</f>
        <v>158850</v>
      </c>
      <c r="D11" s="789">
        <f>+'Egr. FODES LIBRE DISPONIBILIDAD'!H11+'Egr. FODES LIBRE DISPONIBILIDAD'!H88+'Egr. FODES LIBRE DISPONIBILIDAD'!H148</f>
        <v>317700</v>
      </c>
      <c r="E11" s="549"/>
      <c r="F11" s="549"/>
      <c r="G11" s="550"/>
      <c r="H11" s="549"/>
      <c r="I11" s="550">
        <f>SUM(C11:H11)</f>
        <v>476550</v>
      </c>
      <c r="J11" s="561"/>
    </row>
    <row r="12" spans="1:11" s="551" customFormat="1" ht="15.75" customHeight="1">
      <c r="A12" s="559">
        <v>51103</v>
      </c>
      <c r="B12" s="560" t="s">
        <v>31</v>
      </c>
      <c r="C12" s="549">
        <f>'EGRE FONDO COMUN'!H11</f>
        <v>39712.5</v>
      </c>
      <c r="D12" s="549">
        <f>'Egr. FODES LIBRE DISPONIBILIDAD'!H12+'Egr. FODES LIBRE DISPONIBILIDAD'!H89+'Egr. FODES LIBRE DISPONIBILIDAD'!H149</f>
        <v>0</v>
      </c>
      <c r="E12" s="549"/>
      <c r="F12" s="549"/>
      <c r="G12" s="550"/>
      <c r="H12" s="549"/>
      <c r="I12" s="550">
        <f>SUM(C12:H12)</f>
        <v>39712.5</v>
      </c>
      <c r="J12" s="561"/>
    </row>
    <row r="13" spans="1:11" s="551" customFormat="1" ht="15.75" customHeight="1">
      <c r="A13" s="562">
        <v>51105</v>
      </c>
      <c r="B13" s="563" t="s">
        <v>62</v>
      </c>
      <c r="C13" s="549">
        <f>'EGRE FONDO COMUN'!H12</f>
        <v>47040</v>
      </c>
      <c r="D13" s="549">
        <f>'Egr. FODES LIBRE DISPONIBILIDAD'!H13</f>
        <v>94080</v>
      </c>
      <c r="E13" s="549"/>
      <c r="F13" s="549"/>
      <c r="G13" s="550"/>
      <c r="H13" s="549"/>
      <c r="I13" s="550">
        <f>SUM(C13:H13)</f>
        <v>141120</v>
      </c>
      <c r="J13" s="561"/>
    </row>
    <row r="14" spans="1:11" s="551" customFormat="1" ht="15.75" customHeight="1">
      <c r="A14" s="559">
        <v>51106</v>
      </c>
      <c r="B14" s="560" t="s">
        <v>504</v>
      </c>
      <c r="C14" s="549">
        <f>'EGRE FONDO COMUN'!H13</f>
        <v>2500</v>
      </c>
      <c r="D14" s="549"/>
      <c r="E14" s="549"/>
      <c r="F14" s="549"/>
      <c r="G14" s="550"/>
      <c r="H14" s="549"/>
      <c r="I14" s="550">
        <f>SUM(C14:H14)</f>
        <v>2500</v>
      </c>
      <c r="J14" s="561"/>
    </row>
    <row r="15" spans="1:11" s="551" customFormat="1" ht="15.75" customHeight="1">
      <c r="A15" s="559">
        <v>51107</v>
      </c>
      <c r="B15" s="560" t="s">
        <v>461</v>
      </c>
      <c r="C15" s="549">
        <f>'EGRE FONDO COMUN'!H14</f>
        <v>13400</v>
      </c>
      <c r="D15" s="549">
        <f>'Egr. FODES LIBRE DISPONIBILIDAD'!H14</f>
        <v>0</v>
      </c>
      <c r="E15" s="549"/>
      <c r="F15" s="549"/>
      <c r="G15" s="550"/>
      <c r="H15" s="549"/>
      <c r="I15" s="550">
        <f>SUM(C15:H15)</f>
        <v>13400</v>
      </c>
      <c r="J15" s="561"/>
    </row>
    <row r="16" spans="1:11" ht="15.75" customHeight="1">
      <c r="A16" s="76"/>
      <c r="B16" s="54"/>
      <c r="C16" s="85"/>
      <c r="D16" s="66"/>
      <c r="E16" s="66"/>
      <c r="F16" s="66"/>
      <c r="G16" s="26"/>
      <c r="H16" s="66"/>
      <c r="I16" s="26"/>
    </row>
    <row r="17" spans="1:11" ht="22.5" customHeight="1">
      <c r="A17" s="201">
        <v>512</v>
      </c>
      <c r="B17" s="202" t="s">
        <v>254</v>
      </c>
      <c r="C17" s="264">
        <f>SUM(C18:C19)</f>
        <v>11520</v>
      </c>
      <c r="D17" s="203">
        <f>SUM(D18:D19)</f>
        <v>5520</v>
      </c>
      <c r="E17" s="203">
        <f t="shared" ref="E17:H17" si="0">SUM(E18:E19)</f>
        <v>6000</v>
      </c>
      <c r="F17" s="203">
        <f t="shared" si="0"/>
        <v>0</v>
      </c>
      <c r="G17" s="203">
        <f t="shared" si="0"/>
        <v>0</v>
      </c>
      <c r="H17" s="203">
        <f t="shared" si="0"/>
        <v>0</v>
      </c>
      <c r="I17" s="203">
        <f>SUM(I18:I19)</f>
        <v>23040</v>
      </c>
      <c r="J17" s="173"/>
    </row>
    <row r="18" spans="1:11" s="551" customFormat="1" ht="15.75" customHeight="1">
      <c r="A18" s="560">
        <v>51201</v>
      </c>
      <c r="B18" s="560" t="s">
        <v>590</v>
      </c>
      <c r="C18" s="549">
        <f>'EGRE FONDO COMUN'!H15</f>
        <v>5520</v>
      </c>
      <c r="D18" s="549">
        <f>'Egr. FODES LIBRE DISPONIBILIDAD'!H15+'Egr. FODES LIBRE DISPONIBILIDAD'!H151</f>
        <v>5520</v>
      </c>
      <c r="E18" s="549">
        <f>'FONDOS FAM'!H34+'FONDOS FAM'!H44+'FONDOS FAM'!H54+'FONDOS FAM'!H72</f>
        <v>6000</v>
      </c>
      <c r="F18" s="549"/>
      <c r="G18" s="550"/>
      <c r="H18" s="549"/>
      <c r="I18" s="550">
        <f>SUM(C18:H18)</f>
        <v>17040</v>
      </c>
    </row>
    <row r="19" spans="1:11" s="551" customFormat="1" ht="15.75" customHeight="1">
      <c r="A19" s="562">
        <v>51202</v>
      </c>
      <c r="B19" s="563" t="s">
        <v>132</v>
      </c>
      <c r="C19" s="549">
        <f>'EGRE FONDO COMUN'!H16</f>
        <v>6000</v>
      </c>
      <c r="D19" s="549"/>
      <c r="E19" s="549"/>
      <c r="F19" s="549"/>
      <c r="G19" s="550"/>
      <c r="H19" s="549"/>
      <c r="I19" s="550">
        <f>SUM(C19:H19)</f>
        <v>6000</v>
      </c>
      <c r="J19" s="561"/>
    </row>
    <row r="20" spans="1:11" ht="15.75" customHeight="1">
      <c r="A20" s="76"/>
      <c r="B20" s="54"/>
      <c r="C20" s="85"/>
      <c r="D20" s="66"/>
      <c r="E20" s="66"/>
      <c r="F20" s="66"/>
      <c r="G20" s="26"/>
      <c r="H20" s="66"/>
      <c r="I20" s="26"/>
      <c r="J20" s="170"/>
    </row>
    <row r="21" spans="1:11" ht="27" customHeight="1">
      <c r="A21" s="201">
        <v>513</v>
      </c>
      <c r="B21" s="202" t="s">
        <v>533</v>
      </c>
      <c r="C21" s="264">
        <f>C22</f>
        <v>900</v>
      </c>
      <c r="D21" s="203">
        <f>D22</f>
        <v>900</v>
      </c>
      <c r="E21" s="204"/>
      <c r="F21" s="204"/>
      <c r="G21" s="205"/>
      <c r="H21" s="204"/>
      <c r="I21" s="200">
        <f>SUM(C21:H21)</f>
        <v>1800</v>
      </c>
      <c r="J21" s="170"/>
    </row>
    <row r="22" spans="1:11" s="551" customFormat="1" ht="15.75" customHeight="1">
      <c r="A22" s="559">
        <v>51301</v>
      </c>
      <c r="B22" s="560" t="s">
        <v>534</v>
      </c>
      <c r="C22" s="549">
        <f>+'EGRE FONDO COMUN'!H18</f>
        <v>900</v>
      </c>
      <c r="D22" s="549">
        <f>'Egr. FODES LIBRE DISPONIBILIDAD'!H153</f>
        <v>900</v>
      </c>
      <c r="E22" s="549"/>
      <c r="F22" s="549"/>
      <c r="G22" s="550"/>
      <c r="H22" s="549"/>
      <c r="I22" s="550">
        <f>SUM(C22:H22)</f>
        <v>1800</v>
      </c>
      <c r="J22" s="561"/>
    </row>
    <row r="23" spans="1:11" ht="15.75" customHeight="1">
      <c r="A23" s="76"/>
      <c r="B23" s="54"/>
      <c r="C23" s="85"/>
      <c r="D23" s="66"/>
      <c r="E23" s="66"/>
      <c r="F23" s="66"/>
      <c r="G23" s="66"/>
      <c r="H23" s="66"/>
      <c r="I23" s="66"/>
    </row>
    <row r="24" spans="1:11" ht="26.25" customHeight="1">
      <c r="A24" s="206">
        <v>514</v>
      </c>
      <c r="B24" s="198" t="s">
        <v>297</v>
      </c>
      <c r="C24" s="264">
        <f>+C25</f>
        <v>16603.05</v>
      </c>
      <c r="D24" s="203">
        <f>+D25</f>
        <v>33206.1</v>
      </c>
      <c r="E24" s="203">
        <f t="shared" ref="E24:G24" si="1">+E25</f>
        <v>800</v>
      </c>
      <c r="F24" s="203">
        <f t="shared" si="1"/>
        <v>0</v>
      </c>
      <c r="G24" s="203">
        <f t="shared" si="1"/>
        <v>0</v>
      </c>
      <c r="H24" s="203">
        <f>+H25</f>
        <v>0</v>
      </c>
      <c r="I24" s="203">
        <f>+I25</f>
        <v>50609.149999999994</v>
      </c>
      <c r="J24" s="172"/>
      <c r="K24" s="156"/>
    </row>
    <row r="25" spans="1:11" s="551" customFormat="1" ht="35.25" customHeight="1">
      <c r="A25" s="560">
        <v>51401</v>
      </c>
      <c r="B25" s="560" t="s">
        <v>591</v>
      </c>
      <c r="C25" s="549">
        <f>'EGRE FONDO COMUN'!H19</f>
        <v>16603.05</v>
      </c>
      <c r="D25" s="549">
        <f>'Egr. FODES LIBRE DISPONIBILIDAD'!H17</f>
        <v>33206.1</v>
      </c>
      <c r="E25" s="549">
        <f>+'FONDOS FAM'!H49</f>
        <v>800</v>
      </c>
      <c r="F25" s="549"/>
      <c r="G25" s="550"/>
      <c r="H25" s="549"/>
      <c r="I25" s="550">
        <f>SUM(C25:H25)</f>
        <v>50609.149999999994</v>
      </c>
      <c r="J25" s="575"/>
    </row>
    <row r="26" spans="1:11" ht="15.75" customHeight="1">
      <c r="A26" s="75"/>
      <c r="B26" s="54"/>
      <c r="C26" s="85">
        <v>0</v>
      </c>
      <c r="D26" s="66"/>
      <c r="E26" s="66"/>
      <c r="F26" s="66"/>
      <c r="G26" s="26"/>
      <c r="H26" s="66"/>
      <c r="I26" s="26"/>
    </row>
    <row r="27" spans="1:11" ht="27.75" customHeight="1">
      <c r="A27" s="198">
        <v>515</v>
      </c>
      <c r="B27" s="198" t="s">
        <v>298</v>
      </c>
      <c r="C27" s="264">
        <f>+C28</f>
        <v>17091.375</v>
      </c>
      <c r="D27" s="203">
        <f>+D28</f>
        <v>34182.75</v>
      </c>
      <c r="E27" s="203">
        <f t="shared" ref="E27:G27" si="2">+E28</f>
        <v>950</v>
      </c>
      <c r="F27" s="203">
        <f t="shared" si="2"/>
        <v>0</v>
      </c>
      <c r="G27" s="203">
        <f t="shared" si="2"/>
        <v>0</v>
      </c>
      <c r="H27" s="203">
        <f>+H28</f>
        <v>0</v>
      </c>
      <c r="I27" s="203">
        <f>+I28</f>
        <v>52224.125</v>
      </c>
      <c r="J27" s="171"/>
    </row>
    <row r="28" spans="1:11" s="551" customFormat="1" ht="24" customHeight="1">
      <c r="A28" s="562">
        <v>51501</v>
      </c>
      <c r="B28" s="560" t="s">
        <v>592</v>
      </c>
      <c r="C28" s="549">
        <f>'EGRE FONDO COMUN'!H20</f>
        <v>17091.375</v>
      </c>
      <c r="D28" s="549">
        <f>'Egr. FODES LIBRE DISPONIBILIDAD'!H18</f>
        <v>34182.75</v>
      </c>
      <c r="E28" s="549">
        <f>+'FONDOS FAM'!H50</f>
        <v>950</v>
      </c>
      <c r="F28" s="549"/>
      <c r="G28" s="550"/>
      <c r="H28" s="549"/>
      <c r="I28" s="550">
        <f>SUM(C28:H28)</f>
        <v>52224.125</v>
      </c>
      <c r="J28" s="561"/>
    </row>
    <row r="29" spans="1:11" ht="15.75" customHeight="1">
      <c r="A29" s="74"/>
      <c r="B29" s="54"/>
      <c r="C29" s="85"/>
      <c r="D29" s="66"/>
      <c r="E29" s="66"/>
      <c r="F29" s="66"/>
      <c r="G29" s="26"/>
      <c r="H29" s="66"/>
      <c r="I29" s="26"/>
      <c r="J29" s="170"/>
    </row>
    <row r="30" spans="1:11" ht="26.25" customHeight="1">
      <c r="A30" s="201">
        <v>516</v>
      </c>
      <c r="B30" s="198" t="s">
        <v>301</v>
      </c>
      <c r="C30" s="264">
        <f>C31</f>
        <v>0</v>
      </c>
      <c r="D30" s="203">
        <f>D31</f>
        <v>0</v>
      </c>
      <c r="E30" s="203"/>
      <c r="F30" s="203"/>
      <c r="G30" s="203"/>
      <c r="H30" s="203"/>
      <c r="I30" s="203">
        <f>+I31</f>
        <v>0</v>
      </c>
      <c r="J30" s="171"/>
    </row>
    <row r="31" spans="1:11" ht="24" customHeight="1">
      <c r="A31" s="74">
        <v>51601</v>
      </c>
      <c r="B31" s="54" t="s">
        <v>505</v>
      </c>
      <c r="C31" s="85"/>
      <c r="D31" s="164">
        <f>'Egr. FODES LIBRE DISPONIBILIDAD'!H19</f>
        <v>0</v>
      </c>
      <c r="E31" s="164"/>
      <c r="F31" s="73"/>
      <c r="G31" s="73"/>
      <c r="H31" s="73"/>
      <c r="I31" s="26">
        <f>SUM(C31:H31)</f>
        <v>0</v>
      </c>
      <c r="J31" s="170"/>
    </row>
    <row r="32" spans="1:11" ht="15.75" customHeight="1">
      <c r="A32" s="74"/>
      <c r="B32" s="54"/>
      <c r="C32" s="85"/>
      <c r="D32" s="66"/>
      <c r="E32" s="66"/>
      <c r="F32" s="66"/>
      <c r="G32" s="26"/>
      <c r="H32" s="66"/>
      <c r="I32" s="26"/>
      <c r="J32" s="170"/>
    </row>
    <row r="33" spans="1:10" ht="15.75" customHeight="1">
      <c r="A33" s="201">
        <v>517</v>
      </c>
      <c r="B33" s="202" t="s">
        <v>507</v>
      </c>
      <c r="C33" s="264">
        <f>+C35+C34</f>
        <v>45000</v>
      </c>
      <c r="D33" s="203">
        <f>+D35+D34</f>
        <v>30000</v>
      </c>
      <c r="E33" s="203">
        <f>+E35+E34</f>
        <v>0</v>
      </c>
      <c r="F33" s="203">
        <f>+F35</f>
        <v>0</v>
      </c>
      <c r="G33" s="203">
        <f>+G35</f>
        <v>0</v>
      </c>
      <c r="H33" s="203">
        <f>+H35</f>
        <v>0</v>
      </c>
      <c r="I33" s="203">
        <f>+I34+I35</f>
        <v>75000</v>
      </c>
      <c r="J33" s="171"/>
    </row>
    <row r="34" spans="1:10" s="551" customFormat="1" ht="15.75" customHeight="1">
      <c r="A34" s="562">
        <v>51701</v>
      </c>
      <c r="B34" s="563" t="s">
        <v>506</v>
      </c>
      <c r="C34" s="549">
        <f>'EGRE FONDO COMUN'!H23</f>
        <v>45000</v>
      </c>
      <c r="D34" s="549">
        <f>+'Egr. FODES LIBRE DISPONIBILIDAD'!H20</f>
        <v>30000</v>
      </c>
      <c r="E34" s="549"/>
      <c r="F34" s="576"/>
      <c r="G34" s="576"/>
      <c r="H34" s="576"/>
      <c r="I34" s="550">
        <f>SUM(C34:H34)</f>
        <v>75000</v>
      </c>
      <c r="J34" s="561"/>
    </row>
    <row r="35" spans="1:10" ht="15.75" customHeight="1">
      <c r="A35" s="74"/>
      <c r="B35" s="68"/>
      <c r="C35" s="85"/>
      <c r="D35" s="66"/>
      <c r="E35" s="66"/>
      <c r="F35" s="66"/>
      <c r="G35" s="26"/>
      <c r="H35" s="66"/>
      <c r="I35" s="26"/>
      <c r="J35" s="170"/>
    </row>
    <row r="36" spans="1:10" ht="32.25" customHeight="1">
      <c r="A36" s="201">
        <v>519</v>
      </c>
      <c r="B36" s="202" t="s">
        <v>149</v>
      </c>
      <c r="C36" s="264">
        <f t="shared" ref="C36:H36" si="3">+C37</f>
        <v>1000</v>
      </c>
      <c r="D36" s="203">
        <f>+D37</f>
        <v>55640.5</v>
      </c>
      <c r="E36" s="203">
        <f t="shared" si="3"/>
        <v>0</v>
      </c>
      <c r="F36" s="203">
        <f t="shared" si="3"/>
        <v>0</v>
      </c>
      <c r="G36" s="200">
        <f t="shared" si="3"/>
        <v>0</v>
      </c>
      <c r="H36" s="203">
        <f t="shared" si="3"/>
        <v>0</v>
      </c>
      <c r="I36" s="200">
        <f>SUM(C36:H36)</f>
        <v>56640.5</v>
      </c>
      <c r="J36" s="171"/>
    </row>
    <row r="37" spans="1:10" s="551" customFormat="1" ht="21.75" customHeight="1">
      <c r="A37" s="562">
        <v>51999</v>
      </c>
      <c r="B37" s="563" t="s">
        <v>149</v>
      </c>
      <c r="C37" s="549">
        <f>'EGRE FONDO COMUN'!H24</f>
        <v>1000</v>
      </c>
      <c r="D37" s="620">
        <f>'Egr. FODES LIBRE DISPONIBILIDAD'!H21</f>
        <v>55640.5</v>
      </c>
      <c r="E37" s="620"/>
      <c r="F37" s="549"/>
      <c r="G37" s="550"/>
      <c r="H37" s="549"/>
      <c r="I37" s="550">
        <f>SUM(C37:H37)</f>
        <v>56640.5</v>
      </c>
      <c r="J37" s="561"/>
    </row>
    <row r="38" spans="1:10" ht="15.75" customHeight="1">
      <c r="A38" s="74"/>
      <c r="B38" s="68"/>
      <c r="C38" s="85"/>
      <c r="D38" s="66"/>
      <c r="E38" s="66"/>
      <c r="F38" s="66"/>
      <c r="G38" s="26"/>
      <c r="H38" s="66"/>
      <c r="I38" s="26"/>
    </row>
    <row r="39" spans="1:10" ht="24" customHeight="1">
      <c r="A39" s="213">
        <v>54</v>
      </c>
      <c r="B39" s="214" t="s">
        <v>255</v>
      </c>
      <c r="C39" s="264">
        <f>+C40+C65+C72+C88+C94+C103</f>
        <v>175030.26</v>
      </c>
      <c r="D39" s="215">
        <f>+D40+D65+D72+D88+D94+D103</f>
        <v>157187.49</v>
      </c>
      <c r="E39" s="215"/>
      <c r="F39" s="215">
        <f>+F40+F65+F72+F88+F94+F103</f>
        <v>0</v>
      </c>
      <c r="G39" s="215">
        <f>+G40+G65+G72+G88+G94+G103</f>
        <v>23309.82</v>
      </c>
      <c r="H39" s="215">
        <f>+H40+H65+H72+H88+H94+H103</f>
        <v>17713.25</v>
      </c>
      <c r="I39" s="215">
        <f>+I40+I65+I72+I88+I94+I103</f>
        <v>1066061.6099999999</v>
      </c>
      <c r="J39" s="172"/>
    </row>
    <row r="40" spans="1:10" ht="15.75" customHeight="1">
      <c r="A40" s="201">
        <v>541</v>
      </c>
      <c r="B40" s="202" t="s">
        <v>256</v>
      </c>
      <c r="C40" s="264">
        <f t="shared" ref="C40:H40" si="4">SUM(C41:C62)</f>
        <v>89577.87</v>
      </c>
      <c r="D40" s="203">
        <f>SUM(D41:D62)</f>
        <v>112687.48999999999</v>
      </c>
      <c r="E40" s="203">
        <f t="shared" si="4"/>
        <v>87297.44</v>
      </c>
      <c r="F40" s="203">
        <f t="shared" si="4"/>
        <v>0</v>
      </c>
      <c r="G40" s="203">
        <f t="shared" si="4"/>
        <v>23309.82</v>
      </c>
      <c r="H40" s="203">
        <f t="shared" si="4"/>
        <v>17713.25</v>
      </c>
      <c r="I40" s="203">
        <f>SUM(I41:I62)</f>
        <v>330585.87</v>
      </c>
      <c r="J40" s="171"/>
    </row>
    <row r="41" spans="1:10" s="551" customFormat="1" ht="26.25" customHeight="1">
      <c r="A41" s="562">
        <v>54101</v>
      </c>
      <c r="B41" s="563" t="s">
        <v>33</v>
      </c>
      <c r="C41" s="549">
        <f>'EGRE FONDO COMUN'!H25</f>
        <v>10000</v>
      </c>
      <c r="D41" s="549">
        <f>'Egr. FODES LIBRE DISPONIBILIDAD'!H22</f>
        <v>5000</v>
      </c>
      <c r="E41" s="549">
        <f>'FONDOS FAM'!H27+'FONDOS FAM'!H59</f>
        <v>500</v>
      </c>
      <c r="F41" s="549"/>
      <c r="G41" s="621"/>
      <c r="H41" s="549">
        <f>'INT CRECER'!H11</f>
        <v>12000</v>
      </c>
      <c r="I41" s="550">
        <f>SUM(C41:H41)</f>
        <v>27500</v>
      </c>
      <c r="J41" s="561"/>
    </row>
    <row r="42" spans="1:10" ht="24.75" customHeight="1">
      <c r="A42" s="74">
        <v>54103</v>
      </c>
      <c r="B42" s="68" t="s">
        <v>154</v>
      </c>
      <c r="C42" s="85"/>
      <c r="D42" s="66"/>
      <c r="E42" s="66"/>
      <c r="F42" s="66"/>
      <c r="G42" s="26"/>
      <c r="H42" s="66"/>
      <c r="I42" s="26">
        <f t="shared" ref="I42:I52" si="5">SUM(C42:H42)</f>
        <v>0</v>
      </c>
      <c r="J42" s="170"/>
    </row>
    <row r="43" spans="1:10" s="551" customFormat="1" ht="25.5" customHeight="1">
      <c r="A43" s="562">
        <v>54104</v>
      </c>
      <c r="B43" s="563" t="s">
        <v>133</v>
      </c>
      <c r="C43" s="549">
        <f>'EGRE FONDO COMUN'!H26</f>
        <v>7000</v>
      </c>
      <c r="D43" s="549">
        <f>'Egr. FODES LIBRE DISPONIBILIDAD'!H23</f>
        <v>400</v>
      </c>
      <c r="E43" s="549">
        <f>+'FONDOS FAM'!H31+'FONDOS FAM'!H40+'FONDOS FAM'!H51+'FONDOS FAM'!H69</f>
        <v>16550</v>
      </c>
      <c r="F43" s="549"/>
      <c r="G43" s="550"/>
      <c r="H43" s="549"/>
      <c r="I43" s="550">
        <f t="shared" ref="I43:I51" si="6">SUM(C43:H43)</f>
        <v>23950</v>
      </c>
      <c r="J43" s="561"/>
    </row>
    <row r="44" spans="1:10" s="551" customFormat="1" ht="15.75" customHeight="1">
      <c r="A44" s="562">
        <v>54105</v>
      </c>
      <c r="B44" s="563" t="s">
        <v>320</v>
      </c>
      <c r="C44" s="549">
        <f>'EGRE FONDO COMUN'!H27</f>
        <v>2900</v>
      </c>
      <c r="D44" s="549">
        <f>'Egr. FODES LIBRE DISPONIBILIDAD'!H24</f>
        <v>8000</v>
      </c>
      <c r="E44" s="549"/>
      <c r="F44" s="549"/>
      <c r="G44" s="550"/>
      <c r="H44" s="549"/>
      <c r="I44" s="550">
        <f t="shared" si="6"/>
        <v>10900</v>
      </c>
      <c r="J44" s="561"/>
    </row>
    <row r="45" spans="1:10" s="551" customFormat="1" ht="15.75" customHeight="1">
      <c r="A45" s="562">
        <v>54106</v>
      </c>
      <c r="B45" s="563" t="s">
        <v>321</v>
      </c>
      <c r="C45" s="549">
        <f>'EGRE FONDO COMUN'!H28</f>
        <v>3000</v>
      </c>
      <c r="D45" s="549">
        <f>'Egr. FODES LIBRE DISPONIBILIDAD'!H25</f>
        <v>7000</v>
      </c>
      <c r="E45" s="549">
        <f>+'FONDOS FAM'!H17+'FONDOS FAM'!H30+'FONDOS FAM'!H39+'FONDOS FAM'!H68</f>
        <v>4645</v>
      </c>
      <c r="F45" s="549"/>
      <c r="G45" s="550"/>
      <c r="H45" s="549"/>
      <c r="I45" s="550">
        <f t="shared" si="6"/>
        <v>14645</v>
      </c>
      <c r="J45" s="561"/>
    </row>
    <row r="46" spans="1:10" s="551" customFormat="1" ht="15.75" customHeight="1">
      <c r="A46" s="562">
        <v>54107</v>
      </c>
      <c r="B46" s="563" t="s">
        <v>135</v>
      </c>
      <c r="C46" s="549">
        <f>'EGRE FONDO COMUN'!H29</f>
        <v>2100</v>
      </c>
      <c r="D46" s="549">
        <f>'Egr. FODES LIBRE DISPONIBILIDAD'!H26</f>
        <v>5000</v>
      </c>
      <c r="E46" s="549">
        <f>+'FONDOS FAM'!H18</f>
        <v>180</v>
      </c>
      <c r="F46" s="549"/>
      <c r="G46" s="550">
        <f>'FONDOS GOES'!H16</f>
        <v>3309.82</v>
      </c>
      <c r="H46" s="549"/>
      <c r="I46" s="550">
        <f t="shared" si="6"/>
        <v>10589.82</v>
      </c>
      <c r="J46" s="561"/>
    </row>
    <row r="47" spans="1:10" ht="23.25" customHeight="1">
      <c r="A47" s="74">
        <v>54108</v>
      </c>
      <c r="B47" s="68" t="s">
        <v>322</v>
      </c>
      <c r="C47" s="85">
        <f>'EGRE FONDO COMUN'!H30</f>
        <v>0</v>
      </c>
      <c r="D47" s="164">
        <f>'Egr. FODES LIBRE DISPONIBILIDAD'!H27</f>
        <v>100</v>
      </c>
      <c r="E47" s="66"/>
      <c r="F47" s="66"/>
      <c r="G47" s="26"/>
      <c r="H47" s="66"/>
      <c r="I47" s="26">
        <f t="shared" si="6"/>
        <v>100</v>
      </c>
      <c r="J47" s="170"/>
    </row>
    <row r="48" spans="1:10" s="551" customFormat="1" ht="15.75" customHeight="1">
      <c r="A48" s="562">
        <v>54109</v>
      </c>
      <c r="B48" s="563" t="s">
        <v>136</v>
      </c>
      <c r="C48" s="549">
        <f>'EGRE FONDO COMUN'!H31</f>
        <v>4000</v>
      </c>
      <c r="D48" s="549">
        <f>'Egr. FODES LIBRE DISPONIBILIDAD'!H28+'Egr. FODES LIBRE DISPONIBILIDAD'!H158</f>
        <v>9062.49</v>
      </c>
      <c r="E48" s="549">
        <f>+'FONDOS FAM'!H19</f>
        <v>3600</v>
      </c>
      <c r="F48" s="549"/>
      <c r="G48" s="550"/>
      <c r="H48" s="549"/>
      <c r="I48" s="550">
        <f t="shared" si="6"/>
        <v>16662.489999999998</v>
      </c>
      <c r="J48" s="561"/>
    </row>
    <row r="49" spans="1:10" s="551" customFormat="1" ht="15.75" customHeight="1">
      <c r="A49" s="562">
        <v>54110</v>
      </c>
      <c r="B49" s="563" t="s">
        <v>35</v>
      </c>
      <c r="C49" s="549">
        <f>'EGRE FONDO COMUN'!H32</f>
        <v>12000</v>
      </c>
      <c r="D49" s="549">
        <f>'Egr. FODES LIBRE DISPONIBILIDAD'!H29+'Egr. FODES LIBRE DISPONIBILIDAD'!H159</f>
        <v>20000</v>
      </c>
      <c r="E49" s="549">
        <f>+'FONDOS FAM'!H20</f>
        <v>24022.44</v>
      </c>
      <c r="F49" s="549"/>
      <c r="G49" s="550"/>
      <c r="H49" s="549"/>
      <c r="I49" s="550">
        <f t="shared" si="6"/>
        <v>56022.44</v>
      </c>
      <c r="J49" s="561"/>
    </row>
    <row r="50" spans="1:10" s="551" customFormat="1" ht="22.5" customHeight="1">
      <c r="A50" s="562">
        <v>54111</v>
      </c>
      <c r="B50" s="563" t="s">
        <v>258</v>
      </c>
      <c r="C50" s="549">
        <f>'EGRE FONDO COMUN'!H33</f>
        <v>3794.87</v>
      </c>
      <c r="D50" s="549">
        <f>'Egr. FODES LIBRE DISPONIBILIDAD'!H30</f>
        <v>15000</v>
      </c>
      <c r="E50" s="549">
        <f>+'FONDOS FAM'!H41+'FONDOS FAM'!H64</f>
        <v>15000</v>
      </c>
      <c r="F50" s="549"/>
      <c r="G50" s="550">
        <f>'FONDOS GOES'!H19</f>
        <v>10000</v>
      </c>
      <c r="H50" s="549"/>
      <c r="I50" s="550">
        <f t="shared" si="6"/>
        <v>43794.869999999995</v>
      </c>
      <c r="J50" s="561"/>
    </row>
    <row r="51" spans="1:10" s="551" customFormat="1" ht="25.5" customHeight="1">
      <c r="A51" s="562">
        <v>54112</v>
      </c>
      <c r="B51" s="563" t="s">
        <v>257</v>
      </c>
      <c r="C51" s="549">
        <f>'EGRE FONDO COMUN'!H34</f>
        <v>3500</v>
      </c>
      <c r="D51" s="549">
        <f>'Egr. FODES LIBRE DISPONIBILIDAD'!H31</f>
        <v>7000</v>
      </c>
      <c r="E51" s="549">
        <f>+'FONDOS FAM'!H32+'FONDOS FAM'!H42+'FONDOS FAM'!H52+'FONDOS FAM'!H63+'FONDOS FAM'!H70</f>
        <v>19500</v>
      </c>
      <c r="F51" s="549"/>
      <c r="G51" s="549">
        <f>'FONDOS GOES'!H20</f>
        <v>10000</v>
      </c>
      <c r="H51" s="549"/>
      <c r="I51" s="550">
        <f t="shared" si="6"/>
        <v>40000</v>
      </c>
      <c r="J51" s="561"/>
    </row>
    <row r="52" spans="1:10" ht="27.6" customHeight="1">
      <c r="A52" s="162">
        <v>54113</v>
      </c>
      <c r="B52" s="163" t="s">
        <v>508</v>
      </c>
      <c r="C52" s="85"/>
      <c r="D52" s="164"/>
      <c r="E52" s="164"/>
      <c r="F52" s="164"/>
      <c r="G52" s="164"/>
      <c r="H52" s="164"/>
      <c r="I52" s="26">
        <f t="shared" si="5"/>
        <v>0</v>
      </c>
      <c r="J52" s="170"/>
    </row>
    <row r="53" spans="1:10" s="551" customFormat="1" ht="15.75" customHeight="1">
      <c r="A53" s="562">
        <v>54114</v>
      </c>
      <c r="B53" s="563" t="s">
        <v>36</v>
      </c>
      <c r="C53" s="549">
        <f>'EGRE FONDO COMUN'!H36</f>
        <v>2000</v>
      </c>
      <c r="D53" s="549">
        <f>'Egr. FODES LIBRE DISPONIBILIDAD'!H32</f>
        <v>5000</v>
      </c>
      <c r="E53" s="549"/>
      <c r="F53" s="549"/>
      <c r="G53" s="550"/>
      <c r="H53" s="549"/>
      <c r="I53" s="550">
        <f>SUM(C53:H53)</f>
        <v>7000</v>
      </c>
      <c r="J53" s="561"/>
    </row>
    <row r="54" spans="1:10" s="551" customFormat="1" ht="15.75" customHeight="1">
      <c r="A54" s="562">
        <v>54115</v>
      </c>
      <c r="B54" s="563" t="s">
        <v>67</v>
      </c>
      <c r="C54" s="549">
        <f>'EGRE FONDO COMUN'!H37</f>
        <v>6720</v>
      </c>
      <c r="D54" s="549">
        <f>'Egr. FODES LIBRE DISPONIBILIDAD'!H33</f>
        <v>10000</v>
      </c>
      <c r="E54" s="549"/>
      <c r="F54" s="549"/>
      <c r="G54" s="550"/>
      <c r="H54" s="549"/>
      <c r="I54" s="550">
        <f>SUM(C54:H54)</f>
        <v>16720</v>
      </c>
      <c r="J54" s="561"/>
    </row>
    <row r="55" spans="1:10" s="551" customFormat="1" ht="24.75" customHeight="1">
      <c r="A55" s="562">
        <v>54116</v>
      </c>
      <c r="B55" s="563" t="s">
        <v>323</v>
      </c>
      <c r="C55" s="549">
        <f>'EGRE FONDO COMUN'!H38</f>
        <v>500</v>
      </c>
      <c r="D55" s="549">
        <f>'Egr. FODES LIBRE DISPONIBILIDAD'!H34</f>
        <v>125</v>
      </c>
      <c r="E55" s="549"/>
      <c r="F55" s="549"/>
      <c r="G55" s="550"/>
      <c r="H55" s="549"/>
      <c r="I55" s="550">
        <f>SUM(C55:H55)</f>
        <v>625</v>
      </c>
      <c r="J55" s="561"/>
    </row>
    <row r="56" spans="1:10" ht="12.75" customHeight="1">
      <c r="A56" s="74"/>
      <c r="B56" s="68"/>
      <c r="C56" s="85"/>
      <c r="D56" s="164"/>
      <c r="E56" s="66"/>
      <c r="F56" s="66"/>
      <c r="G56" s="26"/>
      <c r="H56" s="66"/>
      <c r="I56" s="26"/>
      <c r="J56" s="170"/>
    </row>
    <row r="57" spans="1:10" ht="12.75" customHeight="1">
      <c r="A57" s="74"/>
      <c r="B57" s="68"/>
      <c r="C57" s="85"/>
      <c r="D57" s="164"/>
      <c r="E57" s="66"/>
      <c r="F57" s="66"/>
      <c r="G57" s="26"/>
      <c r="H57" s="66"/>
      <c r="I57" s="26"/>
      <c r="J57" s="170"/>
    </row>
    <row r="58" spans="1:10" s="551" customFormat="1" ht="24" customHeight="1">
      <c r="A58" s="562">
        <v>54117</v>
      </c>
      <c r="B58" s="563" t="s">
        <v>462</v>
      </c>
      <c r="C58" s="549">
        <f>'EGRE FONDO COMUN'!H39</f>
        <v>1000</v>
      </c>
      <c r="D58" s="549">
        <f>'Egr. FODES LIBRE DISPONIBILIDAD'!H35</f>
        <v>0</v>
      </c>
      <c r="E58" s="549"/>
      <c r="F58" s="549"/>
      <c r="G58" s="550"/>
      <c r="H58" s="549"/>
      <c r="I58" s="550">
        <f>SUM(C58:H58)</f>
        <v>1000</v>
      </c>
      <c r="J58" s="561"/>
    </row>
    <row r="59" spans="1:10" s="551" customFormat="1" ht="25.5" customHeight="1">
      <c r="A59" s="562">
        <v>54118</v>
      </c>
      <c r="B59" s="563" t="s">
        <v>318</v>
      </c>
      <c r="C59" s="549">
        <f>'EGRE FONDO COMUN'!H40</f>
        <v>1463</v>
      </c>
      <c r="D59" s="549">
        <f>'Egr. FODES LIBRE DISPONIBILIDAD'!H36</f>
        <v>5000</v>
      </c>
      <c r="E59" s="549">
        <f>'FONDOS FAM'!H60+'FONDOS FAM'!H55</f>
        <v>0</v>
      </c>
      <c r="F59" s="549"/>
      <c r="G59" s="550"/>
      <c r="H59" s="549"/>
      <c r="I59" s="550">
        <f>SUM(C59:H59)</f>
        <v>6463</v>
      </c>
      <c r="J59" s="561"/>
    </row>
    <row r="60" spans="1:10" s="551" customFormat="1" ht="15.75" customHeight="1">
      <c r="A60" s="562">
        <v>54119</v>
      </c>
      <c r="B60" s="563" t="s">
        <v>78</v>
      </c>
      <c r="C60" s="549">
        <f>'EGRE FONDO COMUN'!H41</f>
        <v>2600</v>
      </c>
      <c r="D60" s="549">
        <f>'Egr. FODES LIBRE DISPONIBILIDAD'!H37</f>
        <v>7000</v>
      </c>
      <c r="E60" s="549"/>
      <c r="F60" s="549"/>
      <c r="G60" s="550"/>
      <c r="H60" s="549"/>
      <c r="I60" s="550">
        <f>SUM(C60:H60)</f>
        <v>9600</v>
      </c>
      <c r="J60" s="561"/>
    </row>
    <row r="61" spans="1:10" s="551" customFormat="1" ht="15.75" customHeight="1">
      <c r="A61" s="562">
        <v>54121</v>
      </c>
      <c r="B61" s="563" t="s">
        <v>259</v>
      </c>
      <c r="C61" s="549"/>
      <c r="D61" s="549">
        <f>'Egr. FODES LIBRE DISPONIBILIDAD'!H38</f>
        <v>4000</v>
      </c>
      <c r="E61" s="549"/>
      <c r="F61" s="549"/>
      <c r="G61" s="550"/>
      <c r="H61" s="549"/>
      <c r="I61" s="550">
        <f>SUM(C61:H61)</f>
        <v>4000</v>
      </c>
      <c r="J61" s="561"/>
    </row>
    <row r="62" spans="1:10" s="551" customFormat="1" ht="20.25" customHeight="1">
      <c r="A62" s="562">
        <v>54199</v>
      </c>
      <c r="B62" s="563" t="s">
        <v>260</v>
      </c>
      <c r="C62" s="549">
        <f>'EGRE FONDO COMUN'!H42</f>
        <v>27000</v>
      </c>
      <c r="D62" s="549">
        <f>'Egr. FODES LIBRE DISPONIBILIDAD'!H39</f>
        <v>5000</v>
      </c>
      <c r="E62" s="549">
        <f>+'FONDOS FAM'!H21+'FONDOS FAM'!H26+'FONDOS FAM'!H35+'FONDOS FAM'!H45+'FONDOS FAM'!H58</f>
        <v>3300</v>
      </c>
      <c r="F62" s="549"/>
      <c r="G62" s="550"/>
      <c r="H62" s="549">
        <f>'INT CRECER'!H12</f>
        <v>5713.25</v>
      </c>
      <c r="I62" s="550">
        <f>SUM(C62:H62)</f>
        <v>41013.25</v>
      </c>
      <c r="J62" s="561"/>
    </row>
    <row r="63" spans="1:10" ht="18" customHeight="1">
      <c r="A63" s="74"/>
      <c r="B63" s="68"/>
      <c r="C63" s="85"/>
      <c r="D63" s="164"/>
      <c r="E63" s="66"/>
      <c r="F63" s="66"/>
      <c r="G63" s="26"/>
      <c r="H63" s="66"/>
      <c r="I63" s="26"/>
      <c r="J63" s="170"/>
    </row>
    <row r="64" spans="1:10" ht="20.25" customHeight="1">
      <c r="A64" s="74"/>
      <c r="B64" s="68"/>
      <c r="C64" s="85"/>
      <c r="D64" s="164"/>
      <c r="E64" s="66"/>
      <c r="F64" s="66"/>
      <c r="G64" s="26"/>
      <c r="H64" s="66"/>
      <c r="I64" s="26"/>
      <c r="J64" s="170"/>
    </row>
    <row r="65" spans="1:10" ht="15.75" customHeight="1">
      <c r="A65" s="201">
        <v>542</v>
      </c>
      <c r="B65" s="202" t="s">
        <v>261</v>
      </c>
      <c r="C65" s="264">
        <f>SUM(C66:C70)</f>
        <v>0</v>
      </c>
      <c r="D65" s="203">
        <f t="shared" ref="D65:H65" si="7">SUM(D66:D70)</f>
        <v>0</v>
      </c>
      <c r="E65" s="203">
        <f t="shared" si="7"/>
        <v>109200</v>
      </c>
      <c r="F65" s="203">
        <f t="shared" si="7"/>
        <v>0</v>
      </c>
      <c r="G65" s="203">
        <f t="shared" si="7"/>
        <v>0</v>
      </c>
      <c r="H65" s="203">
        <f t="shared" si="7"/>
        <v>0</v>
      </c>
      <c r="I65" s="203">
        <f>SUM(I66:I70)</f>
        <v>109200</v>
      </c>
      <c r="J65" s="171"/>
    </row>
    <row r="66" spans="1:10" s="551" customFormat="1" ht="19.5" customHeight="1">
      <c r="A66" s="562">
        <v>54201</v>
      </c>
      <c r="B66" s="563" t="s">
        <v>37</v>
      </c>
      <c r="C66" s="549">
        <f>'EGRE FONDO COMUN'!H43</f>
        <v>0</v>
      </c>
      <c r="D66" s="549">
        <f>'Egr. FODES LIBRE DISPONIBILIDAD'!H40</f>
        <v>0</v>
      </c>
      <c r="E66" s="549">
        <f>'FONDOS FAM'!H10</f>
        <v>10800</v>
      </c>
      <c r="F66" s="549"/>
      <c r="G66" s="550"/>
      <c r="H66" s="549"/>
      <c r="I66" s="550">
        <f>SUM(C66:H66)</f>
        <v>10800</v>
      </c>
      <c r="J66" s="561"/>
    </row>
    <row r="67" spans="1:10" s="551" customFormat="1" ht="15.75" customHeight="1">
      <c r="A67" s="562">
        <v>54202</v>
      </c>
      <c r="B67" s="563" t="s">
        <v>38</v>
      </c>
      <c r="C67" s="549">
        <f>'EGRE FONDO COMUN'!H44</f>
        <v>0</v>
      </c>
      <c r="D67" s="549">
        <f>'Egr. FODES LIBRE DISPONIBILIDAD'!H41</f>
        <v>0</v>
      </c>
      <c r="E67" s="549">
        <f>'FONDOS FAM'!H11</f>
        <v>3600</v>
      </c>
      <c r="F67" s="549"/>
      <c r="G67" s="550"/>
      <c r="H67" s="549"/>
      <c r="I67" s="550">
        <f>SUM(C67:H67)</f>
        <v>3600</v>
      </c>
      <c r="J67" s="561"/>
    </row>
    <row r="68" spans="1:10" s="551" customFormat="1" ht="23.25" customHeight="1">
      <c r="A68" s="562">
        <v>54203</v>
      </c>
      <c r="B68" s="563" t="s">
        <v>39</v>
      </c>
      <c r="C68" s="549">
        <f>'EGRE FONDO COMUN'!H45</f>
        <v>0</v>
      </c>
      <c r="D68" s="549">
        <f>'Egr. FODES LIBRE DISPONIBILIDAD'!H42</f>
        <v>0</v>
      </c>
      <c r="E68" s="549">
        <f>'FONDOS FAM'!H12</f>
        <v>4800</v>
      </c>
      <c r="F68" s="549"/>
      <c r="G68" s="550"/>
      <c r="H68" s="549"/>
      <c r="I68" s="550">
        <f>SUM(C68:H68)</f>
        <v>4800</v>
      </c>
      <c r="J68" s="561"/>
    </row>
    <row r="69" spans="1:10" ht="15.75" customHeight="1">
      <c r="A69" s="74">
        <v>54204</v>
      </c>
      <c r="B69" s="68" t="s">
        <v>463</v>
      </c>
      <c r="C69" s="85"/>
      <c r="D69" s="66"/>
      <c r="E69" s="66"/>
      <c r="F69" s="66"/>
      <c r="G69" s="26"/>
      <c r="H69" s="66"/>
      <c r="I69" s="26">
        <f>SUM(C69:H69)</f>
        <v>0</v>
      </c>
      <c r="J69" s="170"/>
    </row>
    <row r="70" spans="1:10" ht="15.75" customHeight="1">
      <c r="A70" s="74">
        <v>54205</v>
      </c>
      <c r="B70" s="68" t="s">
        <v>262</v>
      </c>
      <c r="C70" s="85"/>
      <c r="D70" s="164"/>
      <c r="E70" s="164">
        <f>'FONDOS FAM'!H13</f>
        <v>90000</v>
      </c>
      <c r="F70" s="66"/>
      <c r="G70" s="66"/>
      <c r="H70" s="66">
        <f>SUM('EGRE FONDO COMUN'!S46)</f>
        <v>0</v>
      </c>
      <c r="I70" s="26">
        <f>SUM(C70:H70)</f>
        <v>90000</v>
      </c>
      <c r="J70" s="170"/>
    </row>
    <row r="71" spans="1:10" ht="15.75" customHeight="1">
      <c r="A71" s="74"/>
      <c r="B71" s="68"/>
      <c r="C71" s="85"/>
      <c r="D71" s="66"/>
      <c r="E71" s="66"/>
      <c r="F71" s="66"/>
      <c r="G71" s="66"/>
      <c r="H71" s="66"/>
      <c r="I71" s="66"/>
    </row>
    <row r="72" spans="1:10" ht="23.25" customHeight="1">
      <c r="A72" s="201">
        <v>543</v>
      </c>
      <c r="B72" s="202" t="s">
        <v>305</v>
      </c>
      <c r="C72" s="264">
        <f t="shared" ref="C72:I72" si="8">SUM(C73:C86)</f>
        <v>68452.39</v>
      </c>
      <c r="D72" s="203">
        <f t="shared" si="8"/>
        <v>25900</v>
      </c>
      <c r="E72" s="203">
        <f t="shared" si="8"/>
        <v>496323.35000000003</v>
      </c>
      <c r="F72" s="203">
        <f t="shared" si="8"/>
        <v>0</v>
      </c>
      <c r="G72" s="203">
        <f t="shared" si="8"/>
        <v>0</v>
      </c>
      <c r="H72" s="203">
        <f t="shared" si="8"/>
        <v>0</v>
      </c>
      <c r="I72" s="203">
        <f t="shared" si="8"/>
        <v>590675.74</v>
      </c>
      <c r="J72" s="171"/>
    </row>
    <row r="73" spans="1:10" s="551" customFormat="1" ht="21" customHeight="1">
      <c r="A73" s="562">
        <v>54301</v>
      </c>
      <c r="B73" s="563" t="s">
        <v>263</v>
      </c>
      <c r="C73" s="549">
        <f>'EGRE FONDO COMUN'!H47</f>
        <v>3048.42</v>
      </c>
      <c r="D73" s="549">
        <f>'Egr. FODES LIBRE DISPONIBILIDAD'!H43</f>
        <v>5900</v>
      </c>
      <c r="E73" s="549"/>
      <c r="F73" s="549"/>
      <c r="G73" s="550"/>
      <c r="H73" s="549"/>
      <c r="I73" s="550">
        <f>SUM(C73:H73)</f>
        <v>8948.42</v>
      </c>
      <c r="J73" s="561"/>
    </row>
    <row r="74" spans="1:10" s="551" customFormat="1" ht="15.75" customHeight="1">
      <c r="A74" s="562">
        <v>54302</v>
      </c>
      <c r="B74" s="563" t="s">
        <v>264</v>
      </c>
      <c r="C74" s="549">
        <f>'EGRE FONDO COMUN'!H48</f>
        <v>8000</v>
      </c>
      <c r="D74" s="549">
        <f>'Egr. FODES LIBRE DISPONIBILIDAD'!H44</f>
        <v>7000</v>
      </c>
      <c r="E74" s="549">
        <f>+'FONDOS FAM'!H22</f>
        <v>43858.96</v>
      </c>
      <c r="F74" s="549"/>
      <c r="G74" s="549"/>
      <c r="H74" s="549"/>
      <c r="I74" s="550">
        <f>SUM(C74:H74)</f>
        <v>58858.96</v>
      </c>
      <c r="J74" s="561"/>
    </row>
    <row r="75" spans="1:10" s="551" customFormat="1" ht="22.5" customHeight="1">
      <c r="A75" s="562">
        <v>54303</v>
      </c>
      <c r="B75" s="563" t="s">
        <v>265</v>
      </c>
      <c r="C75" s="549">
        <f>'EGRE FONDO COMUN'!H49</f>
        <v>3000</v>
      </c>
      <c r="D75" s="549">
        <f>'Egr. FODES LIBRE DISPONIBILIDAD'!H45</f>
        <v>2000</v>
      </c>
      <c r="E75" s="549"/>
      <c r="F75" s="549"/>
      <c r="G75" s="550"/>
      <c r="H75" s="549"/>
      <c r="I75" s="550">
        <f>SUM(C75:H75)</f>
        <v>5000</v>
      </c>
      <c r="J75" s="561"/>
    </row>
    <row r="76" spans="1:10" s="551" customFormat="1" ht="25.5">
      <c r="A76" s="562">
        <v>54304</v>
      </c>
      <c r="B76" s="563" t="s">
        <v>266</v>
      </c>
      <c r="C76" s="549">
        <f>'EGRE FONDO COMUN'!H50</f>
        <v>2000</v>
      </c>
      <c r="D76" s="549">
        <f>'Egr. FODES LIBRE DISPONIBILIDAD'!H46</f>
        <v>500</v>
      </c>
      <c r="E76" s="549"/>
      <c r="F76" s="549"/>
      <c r="G76" s="550"/>
      <c r="H76" s="549"/>
      <c r="I76" s="550">
        <f>SUM(C76:H76)</f>
        <v>2500</v>
      </c>
      <c r="J76" s="561"/>
    </row>
    <row r="77" spans="1:10" s="551" customFormat="1">
      <c r="A77" s="562">
        <v>54305</v>
      </c>
      <c r="B77" s="563" t="s">
        <v>64</v>
      </c>
      <c r="C77" s="549">
        <f>'EGRE FONDO COMUN'!H51</f>
        <v>1000</v>
      </c>
      <c r="D77" s="549">
        <f>'Egr. FODES LIBRE DISPONIBILIDAD'!H47</f>
        <v>1500</v>
      </c>
      <c r="E77" s="549"/>
      <c r="F77" s="549"/>
      <c r="G77" s="550"/>
      <c r="H77" s="549"/>
      <c r="I77" s="550">
        <f>SUM(C77:H77)</f>
        <v>2500</v>
      </c>
      <c r="J77" s="561"/>
    </row>
    <row r="78" spans="1:10" ht="25.5">
      <c r="A78" s="74">
        <v>54307</v>
      </c>
      <c r="B78" s="68" t="s">
        <v>267</v>
      </c>
      <c r="C78" s="85"/>
      <c r="D78" s="66"/>
      <c r="E78" s="66"/>
      <c r="F78" s="66"/>
      <c r="G78" s="26"/>
      <c r="H78" s="66"/>
      <c r="I78" s="26">
        <f t="shared" ref="I78:I81" si="9">SUM(C78:H78)</f>
        <v>0</v>
      </c>
      <c r="J78" s="170"/>
    </row>
    <row r="79" spans="1:10" ht="25.5">
      <c r="A79" s="71">
        <v>54308</v>
      </c>
      <c r="B79" s="70" t="s">
        <v>513</v>
      </c>
      <c r="C79" s="85"/>
      <c r="D79" s="66"/>
      <c r="E79" s="66"/>
      <c r="F79" s="66"/>
      <c r="G79" s="26"/>
      <c r="H79" s="66"/>
      <c r="I79" s="26">
        <f t="shared" si="9"/>
        <v>0</v>
      </c>
      <c r="J79" s="170"/>
    </row>
    <row r="80" spans="1:10">
      <c r="A80" s="71">
        <v>54310</v>
      </c>
      <c r="B80" s="70" t="s">
        <v>144</v>
      </c>
      <c r="C80" s="85"/>
      <c r="D80" s="66"/>
      <c r="E80" s="66"/>
      <c r="F80" s="66"/>
      <c r="G80" s="26"/>
      <c r="H80" s="66"/>
      <c r="I80" s="26">
        <f t="shared" si="9"/>
        <v>0</v>
      </c>
      <c r="J80" s="170"/>
    </row>
    <row r="81" spans="1:10">
      <c r="A81" s="71">
        <v>54311</v>
      </c>
      <c r="B81" s="70" t="s">
        <v>268</v>
      </c>
      <c r="C81" s="85"/>
      <c r="D81" s="164"/>
      <c r="E81" s="66"/>
      <c r="F81" s="66"/>
      <c r="G81" s="26"/>
      <c r="H81" s="66"/>
      <c r="I81" s="26">
        <f t="shared" si="9"/>
        <v>0</v>
      </c>
      <c r="J81" s="170"/>
    </row>
    <row r="82" spans="1:10" s="551" customFormat="1" ht="25.5">
      <c r="A82" s="622">
        <v>54313</v>
      </c>
      <c r="B82" s="623" t="s">
        <v>269</v>
      </c>
      <c r="C82" s="549">
        <f>'EGRE FONDO COMUN'!H56</f>
        <v>1000</v>
      </c>
      <c r="D82" s="549">
        <f>'Egr. FODES LIBRE DISPONIBILIDAD'!H48</f>
        <v>2000</v>
      </c>
      <c r="E82" s="549"/>
      <c r="F82" s="549"/>
      <c r="G82" s="550"/>
      <c r="H82" s="549"/>
      <c r="I82" s="550">
        <f>SUM(C82:H82)</f>
        <v>3000</v>
      </c>
      <c r="J82" s="561"/>
    </row>
    <row r="83" spans="1:10" s="551" customFormat="1">
      <c r="A83" s="622">
        <v>54314</v>
      </c>
      <c r="B83" s="623" t="s">
        <v>70</v>
      </c>
      <c r="C83" s="549">
        <f>'EGRE FONDO COMUN'!H57</f>
        <v>15000</v>
      </c>
      <c r="D83" s="549">
        <f>'Egr. FODES LIBRE DISPONIBILIDAD'!H49</f>
        <v>1000</v>
      </c>
      <c r="E83" s="549"/>
      <c r="F83" s="549"/>
      <c r="G83" s="549"/>
      <c r="H83" s="549"/>
      <c r="I83" s="550">
        <f>SUM(C83:H83)</f>
        <v>16000</v>
      </c>
      <c r="J83" s="561"/>
    </row>
    <row r="84" spans="1:10" s="551" customFormat="1" ht="25.5">
      <c r="A84" s="622">
        <v>54316</v>
      </c>
      <c r="B84" s="623" t="s">
        <v>157</v>
      </c>
      <c r="C84" s="549">
        <f>'EGRE FONDO COMUN'!H58</f>
        <v>1000</v>
      </c>
      <c r="D84" s="549">
        <f>'Egr. FODES LIBRE DISPONIBILIDAD'!H50</f>
        <v>500</v>
      </c>
      <c r="E84" s="549"/>
      <c r="F84" s="549"/>
      <c r="G84" s="550"/>
      <c r="H84" s="549"/>
      <c r="I84" s="550">
        <f>SUM(C84:H84)</f>
        <v>1500</v>
      </c>
      <c r="J84" s="561"/>
    </row>
    <row r="85" spans="1:10" s="551" customFormat="1" ht="25.5">
      <c r="A85" s="622">
        <v>54317</v>
      </c>
      <c r="B85" s="623" t="s">
        <v>270</v>
      </c>
      <c r="C85" s="549">
        <f>'EGRE FONDO COMUN'!H59</f>
        <v>3000</v>
      </c>
      <c r="D85" s="549">
        <f>'Egr. FODES LIBRE DISPONIBILIDAD'!H51</f>
        <v>4000</v>
      </c>
      <c r="E85" s="549"/>
      <c r="F85" s="549"/>
      <c r="G85" s="550"/>
      <c r="H85" s="549"/>
      <c r="I85" s="550">
        <f>SUM(C85:H85)</f>
        <v>7000</v>
      </c>
      <c r="J85" s="561"/>
    </row>
    <row r="86" spans="1:10" s="551" customFormat="1" ht="25.5">
      <c r="A86" s="622">
        <v>54399</v>
      </c>
      <c r="B86" s="623" t="s">
        <v>271</v>
      </c>
      <c r="C86" s="549">
        <f>'EGRE FONDO COMUN'!H60</f>
        <v>31403.97</v>
      </c>
      <c r="D86" s="549">
        <f>'Egr. FODES LIBRE DISPONIBILIDAD'!H52</f>
        <v>1500</v>
      </c>
      <c r="E86" s="549">
        <f>+'FONDOS FAM'!H16+'FONDOS FAM'!H25+'FONDOS FAM'!H33+'FONDOS FAM'!H43+'FONDOS FAM'!H53+'FONDOS FAM'!H65+'FONDOS FAM'!H71+'FONDOS FAM'!H75+'FONDOS FAM'!H80+FAM!N67</f>
        <v>452464.39</v>
      </c>
      <c r="F86" s="549"/>
      <c r="G86" s="550"/>
      <c r="H86" s="549"/>
      <c r="I86" s="550">
        <f>SUM(C86:H86)</f>
        <v>485368.36</v>
      </c>
      <c r="J86" s="561"/>
    </row>
    <row r="87" spans="1:10">
      <c r="A87" s="71"/>
      <c r="B87" s="70"/>
      <c r="C87" s="85"/>
      <c r="D87" s="66"/>
      <c r="E87" s="66"/>
      <c r="F87" s="66"/>
      <c r="G87" s="66"/>
      <c r="H87" s="66"/>
      <c r="I87" s="66"/>
    </row>
    <row r="88" spans="1:10">
      <c r="A88" s="207">
        <v>544</v>
      </c>
      <c r="B88" s="208" t="s">
        <v>272</v>
      </c>
      <c r="C88" s="264">
        <f>SUM(C89:C92)</f>
        <v>0</v>
      </c>
      <c r="D88" s="203">
        <f>SUM(D89:D92)</f>
        <v>0</v>
      </c>
      <c r="E88" s="264">
        <f>SUM(E89:E92)</f>
        <v>0</v>
      </c>
      <c r="F88" s="203">
        <f>SUM(F89:F91)</f>
        <v>0</v>
      </c>
      <c r="G88" s="203">
        <f>SUM(G89:G91)</f>
        <v>0</v>
      </c>
      <c r="H88" s="203">
        <f>SUM(H89:H91)</f>
        <v>0</v>
      </c>
      <c r="I88" s="203">
        <f>SUM(I89:I92)</f>
        <v>0</v>
      </c>
      <c r="J88" s="171"/>
    </row>
    <row r="89" spans="1:10" s="551" customFormat="1">
      <c r="A89" s="562">
        <v>54401</v>
      </c>
      <c r="B89" s="563" t="s">
        <v>199</v>
      </c>
      <c r="C89" s="549">
        <f>'EGRE FONDO COMUN'!H61</f>
        <v>0</v>
      </c>
      <c r="D89" s="624"/>
      <c r="E89" s="624"/>
      <c r="F89" s="624"/>
      <c r="G89" s="625"/>
      <c r="H89" s="549"/>
      <c r="I89" s="550">
        <f>SUM(C89:H89)</f>
        <v>0</v>
      </c>
      <c r="J89" s="561"/>
    </row>
    <row r="90" spans="1:10">
      <c r="A90" s="71">
        <v>54402</v>
      </c>
      <c r="B90" s="70" t="s">
        <v>200</v>
      </c>
      <c r="C90" s="85"/>
      <c r="D90" s="66"/>
      <c r="E90" s="66"/>
      <c r="F90" s="66"/>
      <c r="G90" s="26"/>
      <c r="H90" s="66"/>
      <c r="I90" s="26">
        <f>SUM(C90:H90)</f>
        <v>0</v>
      </c>
      <c r="J90" s="170"/>
    </row>
    <row r="91" spans="1:10" s="551" customFormat="1" ht="25.5">
      <c r="A91" s="622">
        <v>54403</v>
      </c>
      <c r="B91" s="623" t="s">
        <v>273</v>
      </c>
      <c r="C91" s="549">
        <f>'EGRE FONDO COMUN'!H63</f>
        <v>0</v>
      </c>
      <c r="D91" s="549"/>
      <c r="E91" s="549"/>
      <c r="F91" s="549"/>
      <c r="G91" s="550"/>
      <c r="H91" s="549"/>
      <c r="I91" s="550">
        <f>SUM(C91:H91)</f>
        <v>0</v>
      </c>
      <c r="J91" s="561"/>
    </row>
    <row r="92" spans="1:10" ht="25.5">
      <c r="A92" s="71">
        <v>54404</v>
      </c>
      <c r="B92" s="70" t="s">
        <v>514</v>
      </c>
      <c r="C92" s="85"/>
      <c r="D92" s="66"/>
      <c r="E92" s="66"/>
      <c r="F92" s="66"/>
      <c r="G92" s="26"/>
      <c r="H92" s="66"/>
      <c r="I92" s="26">
        <f>SUM(C92:H92)</f>
        <v>0</v>
      </c>
      <c r="J92" s="170"/>
    </row>
    <row r="93" spans="1:10">
      <c r="A93" s="71"/>
      <c r="B93" s="70"/>
      <c r="C93" s="85"/>
      <c r="D93" s="66"/>
      <c r="E93" s="66"/>
      <c r="F93" s="66"/>
      <c r="G93" s="66"/>
      <c r="H93" s="66"/>
      <c r="I93" s="66"/>
    </row>
    <row r="94" spans="1:10" ht="25.5">
      <c r="A94" s="207">
        <v>545</v>
      </c>
      <c r="B94" s="208" t="s">
        <v>274</v>
      </c>
      <c r="C94" s="264">
        <f t="shared" ref="C94:H94" si="10">SUM(C95:C101)</f>
        <v>17000</v>
      </c>
      <c r="D94" s="203">
        <f>SUM(D95:D101)</f>
        <v>18600</v>
      </c>
      <c r="E94" s="203">
        <f t="shared" si="10"/>
        <v>0</v>
      </c>
      <c r="F94" s="203">
        <f t="shared" si="10"/>
        <v>0</v>
      </c>
      <c r="G94" s="203">
        <f t="shared" si="10"/>
        <v>0</v>
      </c>
      <c r="H94" s="203">
        <f t="shared" si="10"/>
        <v>0</v>
      </c>
      <c r="I94" s="203">
        <f>SUM(I95:I101)</f>
        <v>35600</v>
      </c>
      <c r="J94" s="171"/>
    </row>
    <row r="95" spans="1:10" ht="25.5">
      <c r="A95" s="71">
        <v>54502</v>
      </c>
      <c r="B95" s="70" t="s">
        <v>275</v>
      </c>
      <c r="C95" s="85"/>
      <c r="D95" s="66"/>
      <c r="E95" s="66"/>
      <c r="F95" s="66"/>
      <c r="G95" s="26"/>
      <c r="H95" s="66"/>
      <c r="I95" s="26">
        <f t="shared" ref="I95" si="11">SUM(C95:H95)</f>
        <v>0</v>
      </c>
      <c r="J95" s="170"/>
    </row>
    <row r="96" spans="1:10" s="551" customFormat="1">
      <c r="A96" s="622">
        <v>54503</v>
      </c>
      <c r="B96" s="623" t="s">
        <v>66</v>
      </c>
      <c r="C96" s="549">
        <f>'EGRE FONDO COMUN'!H66</f>
        <v>0</v>
      </c>
      <c r="D96" s="549">
        <f>'Egr. FODES LIBRE DISPONIBILIDAD'!H53</f>
        <v>500</v>
      </c>
      <c r="E96" s="549"/>
      <c r="F96" s="549"/>
      <c r="G96" s="550"/>
      <c r="H96" s="549"/>
      <c r="I96" s="550">
        <f t="shared" ref="I96:I101" si="12">SUM(C96:H96)</f>
        <v>500</v>
      </c>
      <c r="J96" s="561"/>
    </row>
    <row r="97" spans="1:10" s="551" customFormat="1" ht="25.5">
      <c r="A97" s="622">
        <v>54504</v>
      </c>
      <c r="B97" s="623" t="s">
        <v>71</v>
      </c>
      <c r="C97" s="549">
        <f>'EGRE FONDO COMUN'!H67</f>
        <v>8000</v>
      </c>
      <c r="D97" s="549">
        <f>'Egr. FODES LIBRE DISPONIBILIDAD'!H54</f>
        <v>9100</v>
      </c>
      <c r="E97" s="549"/>
      <c r="F97" s="549"/>
      <c r="G97" s="550"/>
      <c r="H97" s="549"/>
      <c r="I97" s="550">
        <f t="shared" si="12"/>
        <v>17100</v>
      </c>
      <c r="J97" s="561"/>
    </row>
    <row r="98" spans="1:10" s="551" customFormat="1">
      <c r="A98" s="622">
        <v>54505</v>
      </c>
      <c r="B98" s="623" t="s">
        <v>276</v>
      </c>
      <c r="C98" s="549">
        <f>'EGRE FONDO COMUN'!H68</f>
        <v>2000</v>
      </c>
      <c r="D98" s="549"/>
      <c r="E98" s="549"/>
      <c r="F98" s="549"/>
      <c r="G98" s="549"/>
      <c r="H98" s="549"/>
      <c r="I98" s="550">
        <f t="shared" si="12"/>
        <v>2000</v>
      </c>
      <c r="J98" s="561"/>
    </row>
    <row r="99" spans="1:10" s="551" customFormat="1">
      <c r="A99" s="622">
        <v>54506</v>
      </c>
      <c r="B99" s="623" t="s">
        <v>1003</v>
      </c>
      <c r="C99" s="549"/>
      <c r="D99" s="549">
        <f>+'Egr. FODES LIBRE DISPONIBILIDAD'!H55</f>
        <v>2000</v>
      </c>
      <c r="E99" s="549"/>
      <c r="F99" s="549"/>
      <c r="G99" s="549"/>
      <c r="H99" s="549"/>
      <c r="I99" s="550">
        <f t="shared" si="12"/>
        <v>2000</v>
      </c>
      <c r="J99" s="561"/>
    </row>
    <row r="100" spans="1:10">
      <c r="A100" s="71">
        <v>54507</v>
      </c>
      <c r="B100" s="70" t="s">
        <v>277</v>
      </c>
      <c r="C100" s="85">
        <f>'EGRE FONDO COMUN'!H69</f>
        <v>2000</v>
      </c>
      <c r="D100" s="549">
        <f>+'Egr. FODES LIBRE DISPONIBILIDAD'!H56</f>
        <v>4000</v>
      </c>
      <c r="E100" s="66"/>
      <c r="F100" s="66"/>
      <c r="G100" s="66"/>
      <c r="H100" s="66"/>
      <c r="I100" s="26">
        <f t="shared" si="12"/>
        <v>6000</v>
      </c>
      <c r="J100" s="170"/>
    </row>
    <row r="101" spans="1:10" s="551" customFormat="1" ht="25.5">
      <c r="A101" s="622">
        <v>54599</v>
      </c>
      <c r="B101" s="623" t="s">
        <v>274</v>
      </c>
      <c r="C101" s="549">
        <f>'EGRE FONDO COMUN'!H70</f>
        <v>5000</v>
      </c>
      <c r="D101" s="549">
        <f>'Egr. FODES LIBRE DISPONIBILIDAD'!H57</f>
        <v>3000</v>
      </c>
      <c r="E101" s="549"/>
      <c r="F101" s="549"/>
      <c r="G101" s="550"/>
      <c r="H101" s="549"/>
      <c r="I101" s="550">
        <f t="shared" si="12"/>
        <v>8000</v>
      </c>
      <c r="J101" s="561"/>
    </row>
    <row r="102" spans="1:10">
      <c r="A102" s="71"/>
      <c r="B102" s="70"/>
      <c r="C102" s="85"/>
      <c r="D102" s="66"/>
      <c r="E102" s="66"/>
      <c r="F102" s="66"/>
      <c r="G102" s="26"/>
      <c r="H102" s="66"/>
      <c r="I102" s="26"/>
    </row>
    <row r="103" spans="1:10">
      <c r="A103" s="207">
        <v>546</v>
      </c>
      <c r="B103" s="208" t="s">
        <v>278</v>
      </c>
      <c r="C103" s="264">
        <f t="shared" ref="C103:I103" si="13">SUM(C104:C106)</f>
        <v>0</v>
      </c>
      <c r="D103" s="203">
        <f t="shared" si="13"/>
        <v>0</v>
      </c>
      <c r="E103" s="203">
        <f t="shared" si="13"/>
        <v>0</v>
      </c>
      <c r="F103" s="203">
        <f t="shared" si="13"/>
        <v>0</v>
      </c>
      <c r="G103" s="203">
        <f t="shared" si="13"/>
        <v>0</v>
      </c>
      <c r="H103" s="203">
        <f t="shared" si="13"/>
        <v>0</v>
      </c>
      <c r="I103" s="203">
        <f t="shared" si="13"/>
        <v>0</v>
      </c>
      <c r="J103" s="171"/>
    </row>
    <row r="104" spans="1:10">
      <c r="A104" s="71">
        <v>54602</v>
      </c>
      <c r="B104" s="70" t="s">
        <v>161</v>
      </c>
      <c r="C104" s="85"/>
      <c r="D104" s="66"/>
      <c r="E104" s="66"/>
      <c r="F104" s="66"/>
      <c r="G104" s="66"/>
      <c r="H104" s="66"/>
      <c r="I104" s="26">
        <f>SUM(C104:H104)</f>
        <v>0</v>
      </c>
      <c r="J104" s="170"/>
    </row>
    <row r="105" spans="1:10">
      <c r="A105" s="71">
        <v>54603</v>
      </c>
      <c r="B105" s="70" t="s">
        <v>279</v>
      </c>
      <c r="C105" s="85"/>
      <c r="D105" s="66"/>
      <c r="E105" s="66"/>
      <c r="F105" s="66"/>
      <c r="G105" s="66"/>
      <c r="H105" s="66"/>
      <c r="I105" s="26">
        <f>SUM(C105:H105)</f>
        <v>0</v>
      </c>
      <c r="J105" s="170"/>
    </row>
    <row r="106" spans="1:10">
      <c r="A106" s="71">
        <v>54699</v>
      </c>
      <c r="B106" s="70" t="s">
        <v>23</v>
      </c>
      <c r="C106" s="85">
        <f>'EGRE FONDO COMUN'!H72</f>
        <v>0</v>
      </c>
      <c r="D106" s="66"/>
      <c r="E106" s="66"/>
      <c r="F106" s="66"/>
      <c r="G106" s="26"/>
      <c r="H106" s="66"/>
      <c r="I106" s="26">
        <f>SUM(C106:H106)</f>
        <v>0</v>
      </c>
      <c r="J106" s="170"/>
    </row>
    <row r="107" spans="1:10">
      <c r="A107" s="71"/>
      <c r="B107" s="70"/>
      <c r="C107" s="85"/>
      <c r="D107" s="66"/>
      <c r="E107" s="66"/>
      <c r="F107" s="66"/>
      <c r="G107" s="26"/>
      <c r="H107" s="66"/>
      <c r="I107" s="26"/>
    </row>
    <row r="108" spans="1:10" ht="25.5">
      <c r="A108" s="216">
        <v>55</v>
      </c>
      <c r="B108" s="217" t="s">
        <v>306</v>
      </c>
      <c r="C108" s="264">
        <f t="shared" ref="C108:G108" si="14">+C111+C116</f>
        <v>7600</v>
      </c>
      <c r="D108" s="215">
        <f>+D111+D116</f>
        <v>6021.4400000000005</v>
      </c>
      <c r="E108" s="215"/>
      <c r="F108" s="215">
        <f t="shared" si="14"/>
        <v>0</v>
      </c>
      <c r="G108" s="215">
        <f t="shared" si="14"/>
        <v>0</v>
      </c>
      <c r="H108" s="215">
        <f>+H111+H116</f>
        <v>100</v>
      </c>
      <c r="I108" s="215">
        <f>+I111+I116</f>
        <v>13721.44</v>
      </c>
      <c r="J108" s="172"/>
    </row>
    <row r="109" spans="1:10" ht="12" customHeight="1">
      <c r="A109" s="216"/>
      <c r="B109" s="217"/>
      <c r="C109" s="264"/>
      <c r="D109" s="215"/>
      <c r="E109" s="215"/>
      <c r="F109" s="215"/>
      <c r="G109" s="215"/>
      <c r="H109" s="215"/>
      <c r="I109" s="215"/>
      <c r="J109" s="172"/>
    </row>
    <row r="110" spans="1:10">
      <c r="A110" s="216"/>
      <c r="B110" s="217"/>
      <c r="C110" s="264"/>
      <c r="D110" s="215"/>
      <c r="E110" s="215"/>
      <c r="F110" s="215"/>
      <c r="G110" s="215"/>
      <c r="H110" s="215"/>
      <c r="I110" s="215"/>
      <c r="J110" s="172"/>
    </row>
    <row r="111" spans="1:10" ht="24" customHeight="1">
      <c r="A111" s="207">
        <v>556</v>
      </c>
      <c r="B111" s="208" t="s">
        <v>293</v>
      </c>
      <c r="C111" s="264">
        <f>SUM(C112:C115)</f>
        <v>6600</v>
      </c>
      <c r="D111" s="203">
        <f>SUM(D112:D114)</f>
        <v>6021.4400000000005</v>
      </c>
      <c r="E111" s="203"/>
      <c r="F111" s="203">
        <f>SUM(F112:F114)</f>
        <v>0</v>
      </c>
      <c r="G111" s="203">
        <f>SUM(G112:G114)</f>
        <v>0</v>
      </c>
      <c r="H111" s="203">
        <f>SUM(H112:H114)</f>
        <v>100</v>
      </c>
      <c r="I111" s="203">
        <f>SUM(I112:I115)</f>
        <v>12721.44</v>
      </c>
      <c r="J111" s="171"/>
    </row>
    <row r="112" spans="1:10" s="551" customFormat="1" ht="25.5" customHeight="1">
      <c r="A112" s="622">
        <v>55601</v>
      </c>
      <c r="B112" s="623" t="s">
        <v>302</v>
      </c>
      <c r="C112" s="549">
        <f>'EGRE FONDO COMUN'!H73</f>
        <v>1500</v>
      </c>
      <c r="D112" s="549">
        <f>'Egr. FODES LIBRE DISPONIBILIDAD'!H58</f>
        <v>1921.44</v>
      </c>
      <c r="E112" s="626"/>
      <c r="F112" s="549"/>
      <c r="G112" s="550"/>
      <c r="H112" s="549"/>
      <c r="I112" s="550">
        <f>SUM(C112:H112)</f>
        <v>3421.44</v>
      </c>
      <c r="J112" s="561"/>
    </row>
    <row r="113" spans="1:10" s="551" customFormat="1" ht="24" customHeight="1">
      <c r="A113" s="622">
        <v>55602</v>
      </c>
      <c r="B113" s="623" t="s">
        <v>203</v>
      </c>
      <c r="C113" s="549">
        <f>'EGRE FONDO COMUN'!H74</f>
        <v>5000</v>
      </c>
      <c r="D113" s="549">
        <f>'Egr. FODES LIBRE DISPONIBILIDAD'!H59</f>
        <v>4000</v>
      </c>
      <c r="E113" s="626"/>
      <c r="F113" s="549"/>
      <c r="G113" s="550"/>
      <c r="H113" s="549"/>
      <c r="I113" s="550">
        <f>SUM(C113:H113)</f>
        <v>9000</v>
      </c>
    </row>
    <row r="114" spans="1:10" s="551" customFormat="1" ht="25.5">
      <c r="A114" s="622">
        <v>55603</v>
      </c>
      <c r="B114" s="623" t="s">
        <v>145</v>
      </c>
      <c r="C114" s="549">
        <f>'EGRE FONDO COMUN'!H75</f>
        <v>100</v>
      </c>
      <c r="D114" s="549">
        <f>'Egr. FODES LIBRE DISPONIBILIDAD'!H60</f>
        <v>100</v>
      </c>
      <c r="E114" s="549"/>
      <c r="F114" s="549"/>
      <c r="G114" s="550"/>
      <c r="H114" s="549">
        <f>'INT CRECER'!H13</f>
        <v>100</v>
      </c>
      <c r="I114" s="550">
        <f>SUM(C114:H114)</f>
        <v>300</v>
      </c>
    </row>
    <row r="115" spans="1:10">
      <c r="A115" s="71"/>
      <c r="B115" s="70"/>
      <c r="C115" s="85"/>
      <c r="D115" s="66"/>
      <c r="E115" s="66"/>
      <c r="F115" s="85"/>
      <c r="G115" s="26"/>
      <c r="H115" s="66"/>
      <c r="I115" s="26"/>
    </row>
    <row r="116" spans="1:10" ht="25.5">
      <c r="A116" s="207">
        <v>557</v>
      </c>
      <c r="B116" s="208" t="s">
        <v>303</v>
      </c>
      <c r="C116" s="264">
        <f>SUM(C117:C118)</f>
        <v>1000</v>
      </c>
      <c r="D116" s="203">
        <f t="shared" ref="D116:H116" si="15">+D117</f>
        <v>0</v>
      </c>
      <c r="E116" s="203"/>
      <c r="F116" s="203">
        <f t="shared" si="15"/>
        <v>0</v>
      </c>
      <c r="G116" s="203">
        <f t="shared" si="15"/>
        <v>0</v>
      </c>
      <c r="H116" s="203">
        <f t="shared" si="15"/>
        <v>0</v>
      </c>
      <c r="I116" s="203">
        <f>+I117+I118</f>
        <v>1000</v>
      </c>
    </row>
    <row r="117" spans="1:10" s="551" customFormat="1">
      <c r="A117" s="622">
        <v>55703</v>
      </c>
      <c r="B117" s="627" t="s">
        <v>146</v>
      </c>
      <c r="C117" s="549">
        <f>'EGRE FONDO COMUN'!H76</f>
        <v>0</v>
      </c>
      <c r="D117" s="549">
        <f>'Egr. FODES LIBRE DISPONIBILIDAD'!H61</f>
        <v>0</v>
      </c>
      <c r="E117" s="549"/>
      <c r="F117" s="549"/>
      <c r="G117" s="550"/>
      <c r="H117" s="549"/>
      <c r="I117" s="550">
        <f>SUM(C117:H117)</f>
        <v>0</v>
      </c>
    </row>
    <row r="118" spans="1:10" s="551" customFormat="1">
      <c r="A118" s="622">
        <v>55799</v>
      </c>
      <c r="B118" s="823" t="s">
        <v>189</v>
      </c>
      <c r="C118" s="549">
        <f>'EGRE FONDO COMUN'!H77</f>
        <v>1000</v>
      </c>
      <c r="D118" s="549"/>
      <c r="E118" s="549"/>
      <c r="F118" s="549"/>
      <c r="G118" s="550"/>
      <c r="H118" s="549"/>
      <c r="I118" s="550">
        <f>SUM(C118:H118)</f>
        <v>1000</v>
      </c>
    </row>
    <row r="119" spans="1:10">
      <c r="A119" s="71"/>
      <c r="B119" s="70"/>
      <c r="C119" s="85"/>
      <c r="D119" s="66"/>
      <c r="E119" s="66"/>
      <c r="F119" s="85"/>
      <c r="G119" s="26"/>
      <c r="H119" s="66"/>
      <c r="I119" s="26"/>
    </row>
    <row r="120" spans="1:10">
      <c r="A120" s="160">
        <v>56</v>
      </c>
      <c r="B120" s="161" t="s">
        <v>239</v>
      </c>
      <c r="C120" s="264">
        <f>+C121+C124</f>
        <v>6000</v>
      </c>
      <c r="D120" s="159">
        <f>+D121+D124</f>
        <v>0</v>
      </c>
      <c r="E120" s="159"/>
      <c r="F120" s="159">
        <f t="shared" ref="F120:H120" si="16">+F121+F124</f>
        <v>0</v>
      </c>
      <c r="G120" s="159">
        <f t="shared" si="16"/>
        <v>0</v>
      </c>
      <c r="H120" s="159">
        <f t="shared" si="16"/>
        <v>12000</v>
      </c>
      <c r="I120" s="159">
        <f>+I121+I124</f>
        <v>18500</v>
      </c>
      <c r="J120" s="156"/>
    </row>
    <row r="121" spans="1:10" ht="25.5">
      <c r="A121" s="207">
        <v>562</v>
      </c>
      <c r="B121" s="208" t="s">
        <v>296</v>
      </c>
      <c r="C121" s="264">
        <f>+C122</f>
        <v>0</v>
      </c>
      <c r="D121" s="203">
        <f t="shared" ref="D121:I121" si="17">+D122</f>
        <v>0</v>
      </c>
      <c r="E121" s="203"/>
      <c r="F121" s="203">
        <f t="shared" si="17"/>
        <v>0</v>
      </c>
      <c r="G121" s="203">
        <f t="shared" si="17"/>
        <v>0</v>
      </c>
      <c r="H121" s="203">
        <f>+H122</f>
        <v>0</v>
      </c>
      <c r="I121" s="203">
        <f t="shared" si="17"/>
        <v>0</v>
      </c>
    </row>
    <row r="122" spans="1:10" s="551" customFormat="1" ht="25.5">
      <c r="A122" s="622">
        <v>56201</v>
      </c>
      <c r="B122" s="623" t="s">
        <v>594</v>
      </c>
      <c r="C122" s="549"/>
      <c r="D122" s="549">
        <f>'Egr. FODES LIBRE DISPONIBILIDAD'!H63</f>
        <v>0</v>
      </c>
      <c r="E122" s="549"/>
      <c r="F122" s="549"/>
      <c r="G122" s="550"/>
      <c r="H122" s="549"/>
      <c r="I122" s="550">
        <f>SUM(C122:H122)</f>
        <v>0</v>
      </c>
    </row>
    <row r="123" spans="1:10">
      <c r="A123" s="71"/>
      <c r="B123" s="70"/>
      <c r="C123" s="85"/>
      <c r="D123" s="66"/>
      <c r="E123" s="66"/>
      <c r="F123" s="85"/>
      <c r="G123" s="26"/>
      <c r="H123" s="66"/>
      <c r="I123" s="26"/>
    </row>
    <row r="124" spans="1:10" ht="25.5">
      <c r="A124" s="207">
        <v>563</v>
      </c>
      <c r="B124" s="208" t="s">
        <v>294</v>
      </c>
      <c r="C124" s="264">
        <f>+C126+C127+C128+C125</f>
        <v>6000</v>
      </c>
      <c r="D124" s="203">
        <f>+D126+D127+D128+D125</f>
        <v>0</v>
      </c>
      <c r="E124" s="203">
        <f>+E126+E127+E128+E125</f>
        <v>500</v>
      </c>
      <c r="F124" s="203">
        <f>+F126</f>
        <v>0</v>
      </c>
      <c r="G124" s="203">
        <f>+G126</f>
        <v>0</v>
      </c>
      <c r="H124" s="203">
        <f>SUM(H126:H127)</f>
        <v>12000</v>
      </c>
      <c r="I124" s="203">
        <f>SUM(C124:H124)</f>
        <v>18500</v>
      </c>
    </row>
    <row r="125" spans="1:10" s="551" customFormat="1" ht="33" customHeight="1">
      <c r="A125" s="622">
        <v>56301</v>
      </c>
      <c r="B125" s="623" t="s">
        <v>595</v>
      </c>
      <c r="C125" s="549">
        <f>'EGRE FONDO COMUN'!H78</f>
        <v>0</v>
      </c>
      <c r="D125" s="549">
        <f>'Egr. FODES LIBRE DISPONIBILIDAD'!H64</f>
        <v>0</v>
      </c>
      <c r="E125" s="549"/>
      <c r="F125" s="576"/>
      <c r="G125" s="576"/>
      <c r="H125" s="576"/>
      <c r="I125" s="550">
        <f>SUM(C125:H125)</f>
        <v>0</v>
      </c>
    </row>
    <row r="126" spans="1:10" s="551" customFormat="1" ht="25.5">
      <c r="A126" s="562">
        <v>56303</v>
      </c>
      <c r="B126" s="563" t="s">
        <v>280</v>
      </c>
      <c r="C126" s="549">
        <f>'EGRE FONDO COMUN'!H79</f>
        <v>1000</v>
      </c>
      <c r="D126" s="549"/>
      <c r="E126" s="549"/>
      <c r="F126" s="549"/>
      <c r="G126" s="550"/>
      <c r="H126" s="549"/>
      <c r="I126" s="550">
        <f>SUM(C126:H126)</f>
        <v>1000</v>
      </c>
    </row>
    <row r="127" spans="1:10" s="551" customFormat="1" ht="15" customHeight="1">
      <c r="A127" s="622">
        <v>56304</v>
      </c>
      <c r="B127" s="623" t="s">
        <v>324</v>
      </c>
      <c r="C127" s="549">
        <f>'EGRE FONDO COMUN'!H80</f>
        <v>5000</v>
      </c>
      <c r="D127" s="549"/>
      <c r="E127" s="549"/>
      <c r="F127" s="549"/>
      <c r="G127" s="550"/>
      <c r="H127" s="549">
        <f>'INT CRECER'!H14</f>
        <v>12000</v>
      </c>
      <c r="I127" s="550">
        <f>SUM(C127:H127)</f>
        <v>17000</v>
      </c>
    </row>
    <row r="128" spans="1:10" ht="44.25" customHeight="1">
      <c r="A128" s="71">
        <v>56305</v>
      </c>
      <c r="B128" s="70" t="s">
        <v>663</v>
      </c>
      <c r="C128" s="85"/>
      <c r="D128" s="66"/>
      <c r="E128" s="66">
        <f>'FONDOS FAM'!H78</f>
        <v>500</v>
      </c>
      <c r="F128" s="85"/>
      <c r="G128" s="26"/>
      <c r="H128" s="66"/>
      <c r="I128" s="26">
        <f>SUM(C128:H128)</f>
        <v>500</v>
      </c>
    </row>
    <row r="129" spans="1:10">
      <c r="A129" s="71"/>
      <c r="B129" s="70"/>
      <c r="C129" s="85"/>
      <c r="D129" s="66"/>
      <c r="E129" s="66"/>
      <c r="F129" s="85"/>
      <c r="G129" s="26"/>
      <c r="H129" s="66"/>
      <c r="I129" s="26"/>
    </row>
    <row r="130" spans="1:10" ht="25.5">
      <c r="A130" s="216">
        <v>61</v>
      </c>
      <c r="B130" s="217" t="s">
        <v>281</v>
      </c>
      <c r="C130" s="264">
        <f>+C131+C140+C144</f>
        <v>8400.81</v>
      </c>
      <c r="D130" s="215">
        <f>+D131+D138+D144</f>
        <v>34288.300000000003</v>
      </c>
      <c r="E130" s="215"/>
      <c r="F130" s="215">
        <f>+F131+F140+F144</f>
        <v>0</v>
      </c>
      <c r="G130" s="215">
        <f>+G131+G140+G144</f>
        <v>0</v>
      </c>
      <c r="H130" s="215">
        <f>+H131+H140+H144</f>
        <v>0</v>
      </c>
      <c r="I130" s="215">
        <f>+I131+I138+I140+I144</f>
        <v>42689.11</v>
      </c>
      <c r="J130" s="156"/>
    </row>
    <row r="131" spans="1:10">
      <c r="A131" s="207">
        <v>611</v>
      </c>
      <c r="B131" s="208" t="s">
        <v>282</v>
      </c>
      <c r="C131" s="264">
        <f>SUM(C132:C137)</f>
        <v>8400.81</v>
      </c>
      <c r="D131" s="203">
        <f>SUM(D132:D137)</f>
        <v>22288.3</v>
      </c>
      <c r="E131" s="203"/>
      <c r="F131" s="203">
        <f>SUM(F132:F137)</f>
        <v>0</v>
      </c>
      <c r="G131" s="203">
        <f>SUM(G132:G137)</f>
        <v>0</v>
      </c>
      <c r="H131" s="203">
        <f>SUM(H132:H137)</f>
        <v>0</v>
      </c>
      <c r="I131" s="203">
        <f>SUM(I132:I137)</f>
        <v>30689.11</v>
      </c>
    </row>
    <row r="132" spans="1:10" s="551" customFormat="1">
      <c r="A132" s="622">
        <v>61101</v>
      </c>
      <c r="B132" s="623" t="s">
        <v>148</v>
      </c>
      <c r="C132" s="549">
        <f>'EGRE FONDO COMUN'!H81</f>
        <v>1500</v>
      </c>
      <c r="D132" s="549">
        <f>'Egr. FODES LIBRE DISPONIBILIDAD'!H67</f>
        <v>2288.3000000000002</v>
      </c>
      <c r="E132" s="549"/>
      <c r="F132" s="549"/>
      <c r="G132" s="550"/>
      <c r="H132" s="549"/>
      <c r="I132" s="550">
        <f t="shared" ref="I132:I139" si="18">SUM(C132:H132)</f>
        <v>3788.3</v>
      </c>
    </row>
    <row r="133" spans="1:10">
      <c r="A133" s="71">
        <v>61102</v>
      </c>
      <c r="B133" s="70" t="s">
        <v>304</v>
      </c>
      <c r="C133" s="85">
        <f>'EGRE FONDO COMUN'!H82</f>
        <v>1400</v>
      </c>
      <c r="D133" s="164">
        <f>'Egr. FODES LIBRE DISPONIBILIDAD'!H68</f>
        <v>2000</v>
      </c>
      <c r="E133" s="272"/>
      <c r="F133" s="66"/>
      <c r="G133" s="26"/>
      <c r="H133" s="66"/>
      <c r="I133" s="26">
        <f t="shared" si="18"/>
        <v>3400</v>
      </c>
    </row>
    <row r="134" spans="1:10">
      <c r="A134" s="71">
        <v>61104</v>
      </c>
      <c r="B134" s="70" t="s">
        <v>283</v>
      </c>
      <c r="C134" s="85">
        <f>'EGRE FONDO COMUN'!H83</f>
        <v>5000</v>
      </c>
      <c r="D134" s="164">
        <f>'Egr. FODES LIBRE DISPONIBILIDAD'!H69</f>
        <v>16500</v>
      </c>
      <c r="E134" s="66"/>
      <c r="F134" s="66"/>
      <c r="G134" s="26"/>
      <c r="H134" s="66"/>
      <c r="I134" s="26">
        <f t="shared" si="18"/>
        <v>21500</v>
      </c>
    </row>
    <row r="135" spans="1:10">
      <c r="A135" s="71">
        <v>61105</v>
      </c>
      <c r="B135" s="70" t="s">
        <v>602</v>
      </c>
      <c r="C135" s="85"/>
      <c r="D135" s="66"/>
      <c r="E135" s="66"/>
      <c r="F135" s="66"/>
      <c r="G135" s="26"/>
      <c r="H135" s="66"/>
      <c r="I135" s="26">
        <f t="shared" si="18"/>
        <v>0</v>
      </c>
      <c r="J135" s="166"/>
    </row>
    <row r="136" spans="1:10" ht="25.5">
      <c r="A136" s="71">
        <v>61109</v>
      </c>
      <c r="B136" s="70" t="s">
        <v>536</v>
      </c>
      <c r="C136" s="85"/>
      <c r="D136" s="66"/>
      <c r="E136" s="66"/>
      <c r="F136" s="66"/>
      <c r="G136" s="26"/>
      <c r="H136" s="66"/>
      <c r="I136" s="26">
        <f t="shared" si="18"/>
        <v>0</v>
      </c>
    </row>
    <row r="137" spans="1:10" ht="38.25">
      <c r="A137" s="71">
        <v>61199</v>
      </c>
      <c r="B137" s="70" t="s">
        <v>596</v>
      </c>
      <c r="C137" s="85">
        <f>'EGRE FONDO COMUN'!H84</f>
        <v>500.81</v>
      </c>
      <c r="D137" s="164">
        <f>'Egr. FODES LIBRE DISPONIBILIDAD'!H70</f>
        <v>1500</v>
      </c>
      <c r="E137" s="66"/>
      <c r="F137" s="66"/>
      <c r="G137" s="26"/>
      <c r="H137" s="66"/>
      <c r="I137" s="26">
        <f t="shared" si="18"/>
        <v>2000.81</v>
      </c>
    </row>
    <row r="138" spans="1:10">
      <c r="A138" s="69">
        <v>614</v>
      </c>
      <c r="B138" s="72" t="s">
        <v>1019</v>
      </c>
      <c r="C138" s="85"/>
      <c r="D138" s="290">
        <f>+D139</f>
        <v>11000</v>
      </c>
      <c r="E138" s="66"/>
      <c r="F138" s="66"/>
      <c r="G138" s="26"/>
      <c r="H138" s="66"/>
      <c r="I138" s="864">
        <f t="shared" si="18"/>
        <v>11000</v>
      </c>
    </row>
    <row r="139" spans="1:10" ht="25.5">
      <c r="A139" s="71">
        <v>61403</v>
      </c>
      <c r="B139" s="70" t="s">
        <v>1002</v>
      </c>
      <c r="C139" s="85">
        <v>0</v>
      </c>
      <c r="D139" s="66">
        <f>+'Egr. FODES LIBRE DISPONIBILIDAD'!H71</f>
        <v>11000</v>
      </c>
      <c r="E139" s="66"/>
      <c r="F139" s="66"/>
      <c r="G139" s="26"/>
      <c r="H139" s="66"/>
      <c r="I139" s="26">
        <f t="shared" si="18"/>
        <v>11000</v>
      </c>
    </row>
    <row r="140" spans="1:10">
      <c r="A140" s="207">
        <v>615</v>
      </c>
      <c r="B140" s="208" t="s">
        <v>284</v>
      </c>
      <c r="C140" s="203">
        <f>SUM(C141:C143)</f>
        <v>0</v>
      </c>
      <c r="D140" s="203">
        <f>D143</f>
        <v>0</v>
      </c>
      <c r="E140" s="203"/>
      <c r="F140" s="203">
        <f>SUM(F141:F143)</f>
        <v>0</v>
      </c>
      <c r="G140" s="203">
        <f>SUM(G141:G143)</f>
        <v>0</v>
      </c>
      <c r="H140" s="203">
        <f>SUM(H141:H143)</f>
        <v>0</v>
      </c>
      <c r="I140" s="203">
        <f>SUM(D140:H140)</f>
        <v>0</v>
      </c>
    </row>
    <row r="141" spans="1:10">
      <c r="A141" s="71">
        <v>61502</v>
      </c>
      <c r="B141" s="70" t="s">
        <v>285</v>
      </c>
      <c r="C141" s="85"/>
      <c r="D141" s="66"/>
      <c r="E141" s="66"/>
      <c r="F141" s="66"/>
      <c r="G141" s="26"/>
      <c r="H141" s="66"/>
      <c r="I141" s="26">
        <f t="shared" ref="I141:I146" si="19">SUM(C141:H141)</f>
        <v>0</v>
      </c>
    </row>
    <row r="142" spans="1:10" ht="25.5">
      <c r="A142" s="71">
        <v>61503</v>
      </c>
      <c r="B142" s="70" t="s">
        <v>286</v>
      </c>
      <c r="C142" s="85"/>
      <c r="D142" s="66"/>
      <c r="E142" s="66"/>
      <c r="F142" s="66"/>
      <c r="G142" s="26"/>
      <c r="H142" s="66"/>
      <c r="I142" s="26">
        <f t="shared" si="19"/>
        <v>0</v>
      </c>
    </row>
    <row r="143" spans="1:10" ht="25.5">
      <c r="A143" s="187">
        <v>61599</v>
      </c>
      <c r="B143" s="186" t="s">
        <v>287</v>
      </c>
      <c r="C143" s="85"/>
      <c r="D143" s="66"/>
      <c r="E143" s="66"/>
      <c r="F143" s="66"/>
      <c r="G143" s="26"/>
      <c r="H143" s="66"/>
      <c r="I143" s="26">
        <f t="shared" si="19"/>
        <v>0</v>
      </c>
    </row>
    <row r="144" spans="1:10">
      <c r="A144" s="207">
        <v>616</v>
      </c>
      <c r="B144" s="208" t="s">
        <v>288</v>
      </c>
      <c r="C144" s="298">
        <f t="shared" ref="C144:H144" si="20">SUM(C145:C152)</f>
        <v>0</v>
      </c>
      <c r="D144" s="298">
        <f>SUM(D145:D153)</f>
        <v>1000</v>
      </c>
      <c r="E144" s="298"/>
      <c r="F144" s="298">
        <f t="shared" si="20"/>
        <v>0</v>
      </c>
      <c r="G144" s="298">
        <f t="shared" si="20"/>
        <v>0</v>
      </c>
      <c r="H144" s="298">
        <f t="shared" si="20"/>
        <v>0</v>
      </c>
      <c r="I144" s="299">
        <f>SUM(C144:H144)</f>
        <v>1000</v>
      </c>
    </row>
    <row r="145" spans="1:13">
      <c r="A145" s="71">
        <v>61601</v>
      </c>
      <c r="B145" s="70" t="s">
        <v>1020</v>
      </c>
      <c r="C145" s="85"/>
      <c r="D145" s="66"/>
      <c r="E145" s="66"/>
      <c r="F145" s="66"/>
      <c r="G145" s="26"/>
      <c r="H145" s="66"/>
      <c r="I145" s="26">
        <f t="shared" si="19"/>
        <v>0</v>
      </c>
    </row>
    <row r="146" spans="1:13">
      <c r="A146" s="71">
        <v>61601</v>
      </c>
      <c r="B146" s="70" t="s">
        <v>515</v>
      </c>
      <c r="C146" s="85"/>
      <c r="D146" s="66"/>
      <c r="E146" s="66"/>
      <c r="F146" s="66"/>
      <c r="G146" s="26"/>
      <c r="H146" s="66"/>
      <c r="I146" s="26">
        <f t="shared" si="19"/>
        <v>0</v>
      </c>
    </row>
    <row r="147" spans="1:13">
      <c r="A147" s="71"/>
      <c r="B147" s="70"/>
      <c r="C147" s="85"/>
      <c r="D147" s="66"/>
      <c r="E147" s="66"/>
      <c r="F147" s="66"/>
      <c r="G147" s="26"/>
      <c r="H147" s="66"/>
      <c r="I147" s="26"/>
    </row>
    <row r="148" spans="1:13">
      <c r="A148" s="71"/>
      <c r="B148" s="70"/>
      <c r="C148" s="85"/>
      <c r="D148" s="66"/>
      <c r="E148" s="66"/>
      <c r="F148" s="66"/>
      <c r="G148" s="26"/>
      <c r="H148" s="66"/>
      <c r="I148" s="26"/>
    </row>
    <row r="149" spans="1:13" ht="25.5">
      <c r="A149" s="71">
        <v>61602</v>
      </c>
      <c r="B149" s="70" t="s">
        <v>217</v>
      </c>
      <c r="C149" s="85"/>
      <c r="D149" s="66"/>
      <c r="E149" s="66"/>
      <c r="F149" s="66"/>
      <c r="G149" s="26"/>
      <c r="H149" s="66"/>
      <c r="I149" s="26">
        <f>SUM(C149:H149)</f>
        <v>0</v>
      </c>
    </row>
    <row r="150" spans="1:13">
      <c r="A150" s="71">
        <v>61603</v>
      </c>
      <c r="B150" s="70" t="s">
        <v>292</v>
      </c>
      <c r="C150" s="85"/>
      <c r="D150" s="66"/>
      <c r="E150" s="66"/>
      <c r="F150" s="66"/>
      <c r="G150" s="26"/>
      <c r="H150" s="66"/>
      <c r="I150" s="26">
        <f>SUM(C150:H150)</f>
        <v>0</v>
      </c>
      <c r="J150" s="156"/>
    </row>
    <row r="151" spans="1:13" ht="25.5">
      <c r="A151" s="71">
        <v>61607</v>
      </c>
      <c r="B151" s="70" t="s">
        <v>289</v>
      </c>
      <c r="C151" s="85"/>
      <c r="D151" s="66"/>
      <c r="E151" s="66"/>
      <c r="F151" s="66"/>
      <c r="G151" s="26"/>
      <c r="H151" s="66"/>
      <c r="I151" s="26">
        <f>SUM(C151:H151)</f>
        <v>0</v>
      </c>
    </row>
    <row r="152" spans="1:13" ht="25.5">
      <c r="A152" s="71">
        <v>61608</v>
      </c>
      <c r="B152" s="70" t="s">
        <v>290</v>
      </c>
      <c r="C152" s="85"/>
      <c r="D152" s="66"/>
      <c r="E152" s="66"/>
      <c r="F152" s="66"/>
      <c r="G152" s="26"/>
      <c r="H152" s="66"/>
      <c r="I152" s="26">
        <f>SUM(C152:H152)</f>
        <v>0</v>
      </c>
    </row>
    <row r="153" spans="1:13" ht="28.5" customHeight="1">
      <c r="A153" s="71">
        <v>61699</v>
      </c>
      <c r="B153" s="70" t="s">
        <v>1021</v>
      </c>
      <c r="C153" s="85"/>
      <c r="D153" s="66">
        <f>+'Egr. FODES LIBRE DISPONIBILIDAD'!H72</f>
        <v>1000</v>
      </c>
      <c r="E153" s="66"/>
      <c r="F153" s="66"/>
      <c r="G153" s="26"/>
      <c r="H153" s="66"/>
      <c r="I153" s="26"/>
    </row>
    <row r="154" spans="1:13">
      <c r="A154" s="71">
        <v>61201</v>
      </c>
      <c r="B154" s="70" t="s">
        <v>319</v>
      </c>
      <c r="C154" s="66"/>
      <c r="D154" s="66"/>
      <c r="E154" s="66"/>
      <c r="F154" s="66"/>
      <c r="G154" s="26"/>
      <c r="H154" s="66"/>
      <c r="I154" s="26">
        <f>SUM(F154:H154)</f>
        <v>0</v>
      </c>
    </row>
    <row r="155" spans="1:13">
      <c r="A155" s="71"/>
      <c r="B155" s="70"/>
      <c r="C155" s="66"/>
      <c r="D155" s="66"/>
      <c r="E155" s="66"/>
      <c r="F155" s="66"/>
      <c r="G155" s="26"/>
      <c r="H155" s="66"/>
      <c r="I155" s="26"/>
    </row>
    <row r="156" spans="1:13">
      <c r="A156" s="216">
        <v>62</v>
      </c>
      <c r="B156" s="217" t="s">
        <v>240</v>
      </c>
      <c r="C156" s="215">
        <f>+C157</f>
        <v>0</v>
      </c>
      <c r="D156" s="215">
        <f t="shared" ref="D156:I157" si="21">+D157</f>
        <v>0</v>
      </c>
      <c r="E156" s="215"/>
      <c r="F156" s="215">
        <f t="shared" si="21"/>
        <v>0</v>
      </c>
      <c r="G156" s="215">
        <f t="shared" si="21"/>
        <v>0</v>
      </c>
      <c r="H156" s="215">
        <f>+H157</f>
        <v>0</v>
      </c>
      <c r="I156" s="215">
        <f>+I157</f>
        <v>0</v>
      </c>
    </row>
    <row r="157" spans="1:13" ht="25.5">
      <c r="A157" s="207">
        <v>623</v>
      </c>
      <c r="B157" s="208" t="s">
        <v>295</v>
      </c>
      <c r="C157" s="203">
        <f>+C158</f>
        <v>0</v>
      </c>
      <c r="D157" s="203">
        <f t="shared" si="21"/>
        <v>0</v>
      </c>
      <c r="E157" s="203"/>
      <c r="F157" s="203">
        <f t="shared" si="21"/>
        <v>0</v>
      </c>
      <c r="G157" s="203">
        <f t="shared" si="21"/>
        <v>0</v>
      </c>
      <c r="H157" s="203">
        <f>+H158</f>
        <v>0</v>
      </c>
      <c r="I157" s="203">
        <f t="shared" si="21"/>
        <v>0</v>
      </c>
    </row>
    <row r="158" spans="1:13" ht="25.5">
      <c r="A158" s="71">
        <v>62303</v>
      </c>
      <c r="B158" s="70" t="s">
        <v>291</v>
      </c>
      <c r="C158" s="66"/>
      <c r="D158" s="66"/>
      <c r="E158" s="66"/>
      <c r="F158" s="66"/>
      <c r="G158" s="26"/>
      <c r="H158" s="66"/>
      <c r="I158" s="26">
        <f>SUM(C158:H158)</f>
        <v>0</v>
      </c>
    </row>
    <row r="159" spans="1:13">
      <c r="A159" s="71"/>
      <c r="B159" s="68"/>
      <c r="C159" s="66"/>
      <c r="D159" s="66"/>
      <c r="E159" s="66"/>
      <c r="F159" s="66"/>
      <c r="G159" s="26"/>
      <c r="H159" s="66"/>
      <c r="I159" s="26"/>
    </row>
    <row r="160" spans="1:13" ht="15">
      <c r="A160" s="216">
        <v>72</v>
      </c>
      <c r="B160" s="218" t="s">
        <v>243</v>
      </c>
      <c r="C160" s="215">
        <f>+C161</f>
        <v>0</v>
      </c>
      <c r="D160" s="290">
        <f>+D162</f>
        <v>108281</v>
      </c>
      <c r="E160" s="215"/>
      <c r="F160" s="215">
        <f>+F161</f>
        <v>1272.25</v>
      </c>
      <c r="G160" s="215">
        <f>+G161</f>
        <v>0</v>
      </c>
      <c r="H160" s="215">
        <f>+H161</f>
        <v>0</v>
      </c>
      <c r="I160" s="215">
        <f>+I161</f>
        <v>189553.25</v>
      </c>
      <c r="M160" s="144"/>
    </row>
    <row r="161" spans="1:13" ht="21" customHeight="1">
      <c r="A161" s="207">
        <v>721</v>
      </c>
      <c r="B161" s="366" t="s">
        <v>502</v>
      </c>
      <c r="C161" s="203">
        <f>SUM(C162:C163)</f>
        <v>0</v>
      </c>
      <c r="D161" s="203"/>
      <c r="E161" s="203"/>
      <c r="F161" s="203">
        <f>SUM(F162:F163)</f>
        <v>1272.25</v>
      </c>
      <c r="G161" s="203">
        <f>SUM(G162:G163)</f>
        <v>0</v>
      </c>
      <c r="H161" s="203">
        <f>SUM(H162:H163)</f>
        <v>0</v>
      </c>
      <c r="I161" s="203">
        <f>SUM(I162:I163)</f>
        <v>189553.25</v>
      </c>
      <c r="M161" s="144"/>
    </row>
    <row r="162" spans="1:13" ht="28.5">
      <c r="A162" s="71">
        <v>72101</v>
      </c>
      <c r="B162" s="314" t="s">
        <v>511</v>
      </c>
      <c r="C162" s="66"/>
      <c r="D162" s="66">
        <f>+'Egr. FODES LIBRE DISPONIBILIDAD'!H73</f>
        <v>108281</v>
      </c>
      <c r="E162" s="66">
        <v>80000</v>
      </c>
      <c r="F162" s="164">
        <f>FISDL!H11</f>
        <v>1272.25</v>
      </c>
      <c r="G162" s="26"/>
      <c r="H162" s="66"/>
      <c r="I162" s="26">
        <f>SUM(C162:H162)</f>
        <v>189553.25</v>
      </c>
      <c r="M162" s="145"/>
    </row>
    <row r="163" spans="1:13" ht="13.5" thickBot="1">
      <c r="A163" s="71"/>
      <c r="B163" s="70"/>
      <c r="C163" s="66"/>
      <c r="D163" s="66"/>
      <c r="E163" s="66"/>
      <c r="F163" s="66"/>
      <c r="G163" s="26"/>
      <c r="H163" s="66"/>
      <c r="I163" s="26">
        <f>SUM(C163:H163)</f>
        <v>0</v>
      </c>
    </row>
    <row r="164" spans="1:13" s="52" customFormat="1" ht="24.95" customHeight="1" thickBot="1">
      <c r="A164" s="316"/>
      <c r="B164" s="317" t="s">
        <v>116</v>
      </c>
      <c r="C164" s="880">
        <f>+C9+C39+C108+C120+C130+C156+C160</f>
        <v>550647.99500000011</v>
      </c>
      <c r="D164" s="880">
        <f>+D9+D39+D108+D120+D130+D156+D160</f>
        <v>877007.58</v>
      </c>
      <c r="E164" s="880">
        <f>E160+E130+E120+E108+E40+E9+E124+E103+E72+E65+E162</f>
        <v>781070.79</v>
      </c>
      <c r="F164" s="880">
        <f>+F9+F39+F108+F120+F130+F156+F160</f>
        <v>1272.25</v>
      </c>
      <c r="G164" s="880">
        <f>+G9+G39+G108+G120+G130+G156+G160</f>
        <v>23309.82</v>
      </c>
      <c r="H164" s="338">
        <f>+H9+H39+H108+H120+H130+H156+H160</f>
        <v>29813.25</v>
      </c>
      <c r="I164" s="338">
        <f>I160+I140+I130+I120+I108+I39+I9</f>
        <v>2263121.6849999996</v>
      </c>
      <c r="J164" s="158"/>
    </row>
    <row r="165" spans="1:13" s="52" customFormat="1" ht="11.25" customHeight="1">
      <c r="A165" s="361"/>
      <c r="B165" s="364"/>
      <c r="C165" s="362"/>
      <c r="D165" s="365"/>
      <c r="E165" s="362"/>
      <c r="F165" s="362"/>
      <c r="G165" s="362"/>
      <c r="H165" s="362"/>
      <c r="I165" s="365"/>
      <c r="J165" s="158"/>
    </row>
    <row r="166" spans="1:13">
      <c r="A166" s="1030" t="s">
        <v>1022</v>
      </c>
      <c r="B166" s="1030"/>
      <c r="C166" s="1030"/>
      <c r="D166" s="1030"/>
      <c r="E166" s="1030"/>
      <c r="F166" s="1030"/>
      <c r="J166" s="156"/>
    </row>
    <row r="167" spans="1:13">
      <c r="A167" s="1030" t="s">
        <v>647</v>
      </c>
      <c r="B167" s="1030"/>
      <c r="C167" s="1030"/>
      <c r="D167" s="1030"/>
      <c r="E167" s="1030"/>
      <c r="F167" s="1030"/>
      <c r="J167" s="165"/>
    </row>
    <row r="168" spans="1:13" ht="27.75" customHeight="1">
      <c r="A168" s="1031" t="s">
        <v>1170</v>
      </c>
      <c r="B168" s="1031"/>
      <c r="C168" s="1031"/>
      <c r="D168" s="1031"/>
      <c r="E168" s="1031"/>
      <c r="F168" s="1031"/>
      <c r="J168" s="156"/>
    </row>
    <row r="169" spans="1:13">
      <c r="A169" s="1002"/>
      <c r="B169" s="1002"/>
      <c r="C169" s="1002"/>
      <c r="D169" s="1002"/>
      <c r="E169" s="1002"/>
      <c r="F169" s="1002"/>
      <c r="G169" s="1002"/>
    </row>
  </sheetData>
  <mergeCells count="16">
    <mergeCell ref="C6:D6"/>
    <mergeCell ref="A169:G169"/>
    <mergeCell ref="A1:I1"/>
    <mergeCell ref="A2:I2"/>
    <mergeCell ref="A3:I3"/>
    <mergeCell ref="A4:I4"/>
    <mergeCell ref="A5:I5"/>
    <mergeCell ref="H6:H8"/>
    <mergeCell ref="I6:I8"/>
    <mergeCell ref="A166:F166"/>
    <mergeCell ref="A167:F167"/>
    <mergeCell ref="A168:F168"/>
    <mergeCell ref="A6:A8"/>
    <mergeCell ref="B6:B8"/>
    <mergeCell ref="F6:F8"/>
    <mergeCell ref="G6:G8"/>
  </mergeCells>
  <printOptions horizontalCentered="1"/>
  <pageMargins left="0.7" right="0.7" top="0.75" bottom="1.02" header="0.3" footer="0.28000000000000003"/>
  <pageSetup paperSize="5" scale="65" fitToHeight="0"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/>
  </sheetPr>
  <dimension ref="A1:I154"/>
  <sheetViews>
    <sheetView view="pageBreakPreview" zoomScale="80" zoomScaleNormal="84" zoomScaleSheetLayoutView="80" zoomScalePageLayoutView="40" workbookViewId="0">
      <selection activeCell="A5" sqref="A5"/>
    </sheetView>
  </sheetViews>
  <sheetFormatPr baseColWidth="10" defaultColWidth="11.42578125" defaultRowHeight="15"/>
  <cols>
    <col min="1" max="1" width="24" style="678" customWidth="1"/>
    <col min="2" max="2" width="11" style="678" customWidth="1"/>
    <col min="3" max="3" width="37.5703125" style="678" customWidth="1"/>
    <col min="4" max="4" width="28.42578125" style="678" customWidth="1"/>
    <col min="5" max="5" width="18" style="678" customWidth="1"/>
    <col min="6" max="6" width="20.42578125" style="678" customWidth="1"/>
    <col min="7" max="7" width="21.140625" style="678" customWidth="1"/>
    <col min="8" max="8" width="20" style="678" customWidth="1"/>
    <col min="9" max="9" width="22.28515625" style="749" customWidth="1"/>
    <col min="10" max="16384" width="11.42578125" style="678"/>
  </cols>
  <sheetData>
    <row r="1" spans="1:9" ht="12.75">
      <c r="A1" s="1057" t="s">
        <v>1046</v>
      </c>
      <c r="B1" s="1058"/>
      <c r="C1" s="1058"/>
      <c r="D1" s="1058"/>
      <c r="E1" s="1058"/>
      <c r="F1" s="1058"/>
      <c r="G1" s="1058"/>
      <c r="H1" s="1058"/>
      <c r="I1" s="1059"/>
    </row>
    <row r="2" spans="1:9" ht="13.5" thickBot="1">
      <c r="A2" s="1060"/>
      <c r="B2" s="1061"/>
      <c r="C2" s="1061"/>
      <c r="D2" s="1061"/>
      <c r="E2" s="1061"/>
      <c r="F2" s="1061"/>
      <c r="G2" s="1061"/>
      <c r="H2" s="1061"/>
      <c r="I2" s="1062"/>
    </row>
    <row r="3" spans="1:9" ht="12.75" customHeight="1">
      <c r="A3" s="1057" t="s">
        <v>1192</v>
      </c>
      <c r="B3" s="1058"/>
      <c r="C3" s="1058"/>
      <c r="D3" s="1058"/>
      <c r="E3" s="1058"/>
      <c r="F3" s="1058"/>
      <c r="G3" s="1058"/>
      <c r="H3" s="1058"/>
      <c r="I3" s="1059"/>
    </row>
    <row r="4" spans="1:9" ht="26.25" customHeight="1">
      <c r="A4" s="1060"/>
      <c r="B4" s="1061"/>
      <c r="C4" s="1061"/>
      <c r="D4" s="1061"/>
      <c r="E4" s="1061"/>
      <c r="F4" s="1061"/>
      <c r="G4" s="1061"/>
      <c r="H4" s="1061"/>
      <c r="I4" s="1062"/>
    </row>
    <row r="5" spans="1:9" ht="15.75" thickBot="1">
      <c r="F5" s="690"/>
    </row>
    <row r="6" spans="1:9" ht="44.25" customHeight="1" thickBot="1">
      <c r="A6" s="1035" t="s">
        <v>1129</v>
      </c>
      <c r="B6" s="1036"/>
      <c r="C6" s="1036"/>
      <c r="D6" s="1036"/>
      <c r="E6" s="1037"/>
      <c r="F6" s="1038"/>
      <c r="G6" s="726" t="s">
        <v>938</v>
      </c>
      <c r="H6" s="726" t="s">
        <v>1082</v>
      </c>
      <c r="I6" s="750" t="s">
        <v>939</v>
      </c>
    </row>
    <row r="7" spans="1:9" ht="16.5" thickBot="1">
      <c r="F7" s="690"/>
      <c r="G7" s="683" t="s">
        <v>940</v>
      </c>
      <c r="H7" s="683">
        <v>23309.82</v>
      </c>
      <c r="I7" s="741">
        <f>H7</f>
        <v>23309.82</v>
      </c>
    </row>
    <row r="8" spans="1:9">
      <c r="F8" s="690"/>
    </row>
    <row r="9" spans="1:9" ht="15.75" thickBot="1">
      <c r="F9" s="690"/>
    </row>
    <row r="10" spans="1:9" ht="12.75" customHeight="1">
      <c r="A10" s="1039" t="s">
        <v>941</v>
      </c>
      <c r="B10" s="1040"/>
      <c r="C10" s="1040"/>
      <c r="D10" s="1040"/>
      <c r="E10" s="1040"/>
      <c r="F10" s="1040"/>
      <c r="G10" s="1040"/>
      <c r="H10" s="1040"/>
      <c r="I10" s="1076">
        <f>+I7</f>
        <v>23309.82</v>
      </c>
    </row>
    <row r="11" spans="1:9" ht="13.5" customHeight="1" thickBot="1">
      <c r="A11" s="1041"/>
      <c r="B11" s="1042"/>
      <c r="C11" s="1042"/>
      <c r="D11" s="1042"/>
      <c r="E11" s="1042"/>
      <c r="F11" s="1042"/>
      <c r="G11" s="1042"/>
      <c r="H11" s="1042"/>
      <c r="I11" s="1077"/>
    </row>
    <row r="12" spans="1:9" ht="13.5" customHeight="1">
      <c r="A12" s="734"/>
      <c r="B12" s="734"/>
      <c r="C12" s="734"/>
      <c r="D12" s="734"/>
      <c r="E12" s="734"/>
      <c r="F12" s="734"/>
      <c r="G12" s="734"/>
      <c r="H12" s="734"/>
      <c r="I12" s="752"/>
    </row>
    <row r="13" spans="1:9" ht="13.5" customHeight="1">
      <c r="A13" s="734"/>
      <c r="B13" s="734"/>
      <c r="C13" s="734"/>
      <c r="D13" s="734"/>
      <c r="E13" s="734"/>
      <c r="F13" s="734"/>
      <c r="G13" s="734"/>
      <c r="H13" s="734"/>
      <c r="I13" s="752"/>
    </row>
    <row r="14" spans="1:9" ht="15.75" thickBot="1">
      <c r="F14" s="690"/>
    </row>
    <row r="15" spans="1:9" ht="33.75" customHeight="1" thickBot="1">
      <c r="A15" s="1035" t="s">
        <v>1079</v>
      </c>
      <c r="B15" s="1036"/>
      <c r="C15" s="1036"/>
      <c r="D15" s="1036"/>
      <c r="E15" s="1037"/>
      <c r="F15" s="1038"/>
      <c r="G15" s="735" t="s">
        <v>937</v>
      </c>
      <c r="H15" s="1063" t="s">
        <v>1082</v>
      </c>
      <c r="I15" s="1065" t="s">
        <v>939</v>
      </c>
    </row>
    <row r="16" spans="1:9" ht="39" thickBot="1">
      <c r="A16" s="680" t="s">
        <v>920</v>
      </c>
      <c r="B16" s="681" t="s">
        <v>921</v>
      </c>
      <c r="C16" s="680" t="s">
        <v>922</v>
      </c>
      <c r="D16" s="680" t="s">
        <v>923</v>
      </c>
      <c r="E16" s="682" t="s">
        <v>924</v>
      </c>
      <c r="F16" s="683" t="s">
        <v>925</v>
      </c>
      <c r="G16" s="726" t="s">
        <v>938</v>
      </c>
      <c r="H16" s="1064"/>
      <c r="I16" s="1066"/>
    </row>
    <row r="17" spans="1:9" ht="93.75" customHeight="1">
      <c r="A17" s="691" t="s">
        <v>1074</v>
      </c>
      <c r="B17" s="692" t="s">
        <v>1075</v>
      </c>
      <c r="C17" s="691" t="s">
        <v>1076</v>
      </c>
      <c r="D17" s="691" t="s">
        <v>1077</v>
      </c>
      <c r="E17" s="693" t="s">
        <v>1078</v>
      </c>
      <c r="F17" s="694">
        <v>17456</v>
      </c>
      <c r="G17" s="1067" t="s">
        <v>1081</v>
      </c>
      <c r="H17" s="1068">
        <v>50297.58</v>
      </c>
      <c r="I17" s="1055">
        <f>H17-F19</f>
        <v>15385.580000000002</v>
      </c>
    </row>
    <row r="18" spans="1:9" ht="97.5" customHeight="1">
      <c r="A18" s="691" t="s">
        <v>1074</v>
      </c>
      <c r="B18" s="692" t="s">
        <v>1080</v>
      </c>
      <c r="C18" s="691" t="s">
        <v>1076</v>
      </c>
      <c r="D18" s="691" t="s">
        <v>1077</v>
      </c>
      <c r="E18" s="693" t="s">
        <v>1078</v>
      </c>
      <c r="F18" s="694">
        <v>17456</v>
      </c>
      <c r="G18" s="1067"/>
      <c r="H18" s="1068"/>
      <c r="I18" s="1056"/>
    </row>
    <row r="19" spans="1:9" ht="15.75">
      <c r="F19" s="737">
        <f>SUM(F17:F18)</f>
        <v>34912</v>
      </c>
      <c r="G19" s="723"/>
      <c r="H19" s="725">
        <f>SUM(H17)</f>
        <v>50297.58</v>
      </c>
      <c r="I19" s="732">
        <f>SUM(I17)</f>
        <v>15385.580000000002</v>
      </c>
    </row>
    <row r="21" spans="1:9" ht="24.75" customHeight="1" thickBot="1"/>
    <row r="22" spans="1:9" ht="19.5" customHeight="1" thickBot="1">
      <c r="A22" s="1035" t="s">
        <v>1061</v>
      </c>
      <c r="B22" s="1036"/>
      <c r="C22" s="1036"/>
      <c r="D22" s="1036"/>
      <c r="E22" s="1037"/>
      <c r="F22" s="1037"/>
      <c r="G22" s="738" t="s">
        <v>937</v>
      </c>
      <c r="H22" s="1045" t="s">
        <v>1082</v>
      </c>
      <c r="I22" s="1047" t="s">
        <v>939</v>
      </c>
    </row>
    <row r="23" spans="1:9" ht="39" thickBot="1">
      <c r="A23" s="680" t="s">
        <v>920</v>
      </c>
      <c r="B23" s="681" t="s">
        <v>931</v>
      </c>
      <c r="C23" s="680" t="s">
        <v>922</v>
      </c>
      <c r="D23" s="680" t="s">
        <v>923</v>
      </c>
      <c r="E23" s="682" t="s">
        <v>924</v>
      </c>
      <c r="F23" s="722" t="s">
        <v>925</v>
      </c>
      <c r="G23" s="739" t="s">
        <v>938</v>
      </c>
      <c r="H23" s="1046"/>
      <c r="I23" s="1048"/>
    </row>
    <row r="24" spans="1:9" ht="66">
      <c r="A24" s="691" t="s">
        <v>932</v>
      </c>
      <c r="B24" s="692" t="s">
        <v>1086</v>
      </c>
      <c r="C24" s="691" t="s">
        <v>1087</v>
      </c>
      <c r="D24" s="691" t="s">
        <v>1062</v>
      </c>
      <c r="E24" s="693" t="s">
        <v>933</v>
      </c>
      <c r="F24" s="694">
        <v>119.44</v>
      </c>
      <c r="G24" s="1049" t="s">
        <v>1083</v>
      </c>
      <c r="H24" s="1052">
        <v>10768.72</v>
      </c>
      <c r="I24" s="1055">
        <f>H24-F28</f>
        <v>10197.949999999999</v>
      </c>
    </row>
    <row r="25" spans="1:9" ht="51.75" customHeight="1">
      <c r="A25" s="691" t="s">
        <v>1088</v>
      </c>
      <c r="B25" s="692" t="s">
        <v>1089</v>
      </c>
      <c r="C25" s="691" t="s">
        <v>1090</v>
      </c>
      <c r="D25" s="691" t="s">
        <v>1062</v>
      </c>
      <c r="E25" s="693" t="s">
        <v>933</v>
      </c>
      <c r="F25" s="857">
        <v>67.209999999999994</v>
      </c>
      <c r="G25" s="1050"/>
      <c r="H25" s="1053"/>
      <c r="I25" s="1055"/>
    </row>
    <row r="26" spans="1:9" ht="34.5" customHeight="1">
      <c r="A26" s="691" t="s">
        <v>1072</v>
      </c>
      <c r="B26" s="692" t="s">
        <v>1151</v>
      </c>
      <c r="C26" s="691" t="s">
        <v>1152</v>
      </c>
      <c r="D26" s="691" t="s">
        <v>1062</v>
      </c>
      <c r="E26" s="693" t="s">
        <v>1153</v>
      </c>
      <c r="F26" s="857">
        <v>63.96</v>
      </c>
      <c r="G26" s="1050"/>
      <c r="H26" s="1053"/>
      <c r="I26" s="1055"/>
    </row>
    <row r="27" spans="1:9" ht="49.5">
      <c r="A27" s="691" t="s">
        <v>934</v>
      </c>
      <c r="B27" s="685" t="s">
        <v>1084</v>
      </c>
      <c r="C27" s="691" t="s">
        <v>1085</v>
      </c>
      <c r="D27" s="691" t="s">
        <v>1062</v>
      </c>
      <c r="E27" s="693" t="s">
        <v>933</v>
      </c>
      <c r="F27" s="740">
        <v>320.16000000000003</v>
      </c>
      <c r="G27" s="1051"/>
      <c r="H27" s="1054"/>
      <c r="I27" s="1056"/>
    </row>
    <row r="28" spans="1:9" ht="15.75">
      <c r="F28" s="737">
        <f>+SUM(F24:F27)</f>
        <v>570.77</v>
      </c>
      <c r="G28" s="723"/>
      <c r="H28" s="881">
        <f>SUM(H24)</f>
        <v>10768.72</v>
      </c>
      <c r="I28" s="732">
        <f>SUM(I24)</f>
        <v>10197.949999999999</v>
      </c>
    </row>
    <row r="30" spans="1:9" ht="15.75" thickBot="1"/>
    <row r="31" spans="1:9" ht="36" customHeight="1" thickBot="1">
      <c r="A31" s="1035" t="s">
        <v>1091</v>
      </c>
      <c r="B31" s="1036"/>
      <c r="C31" s="1036"/>
      <c r="D31" s="1036"/>
      <c r="E31" s="1037"/>
      <c r="F31" s="1038"/>
      <c r="G31" s="738" t="s">
        <v>937</v>
      </c>
      <c r="H31" s="1045" t="s">
        <v>1082</v>
      </c>
      <c r="I31" s="1047" t="s">
        <v>939</v>
      </c>
    </row>
    <row r="32" spans="1:9" ht="39" thickBot="1">
      <c r="A32" s="698" t="s">
        <v>920</v>
      </c>
      <c r="B32" s="701" t="s">
        <v>921</v>
      </c>
      <c r="C32" s="699" t="s">
        <v>922</v>
      </c>
      <c r="D32" s="699" t="s">
        <v>923</v>
      </c>
      <c r="E32" s="679" t="s">
        <v>924</v>
      </c>
      <c r="F32" s="702" t="s">
        <v>925</v>
      </c>
      <c r="G32" s="739" t="s">
        <v>938</v>
      </c>
      <c r="H32" s="1046"/>
      <c r="I32" s="1048"/>
    </row>
    <row r="33" spans="1:9" ht="39" thickBot="1">
      <c r="A33" s="696" t="s">
        <v>1093</v>
      </c>
      <c r="B33" s="697" t="s">
        <v>1094</v>
      </c>
      <c r="C33" s="696" t="s">
        <v>1095</v>
      </c>
      <c r="D33" s="719" t="s">
        <v>1096</v>
      </c>
      <c r="E33" s="709" t="s">
        <v>935</v>
      </c>
      <c r="F33" s="706">
        <v>2092.38</v>
      </c>
      <c r="G33" s="1069" t="s">
        <v>1092</v>
      </c>
      <c r="H33" s="1071">
        <v>19655.759999999998</v>
      </c>
      <c r="I33" s="1055">
        <f>H33-F37</f>
        <v>14589.909999999998</v>
      </c>
    </row>
    <row r="34" spans="1:9" ht="39" thickBot="1">
      <c r="A34" s="686" t="s">
        <v>1093</v>
      </c>
      <c r="B34" s="685" t="s">
        <v>1097</v>
      </c>
      <c r="C34" s="696" t="s">
        <v>1098</v>
      </c>
      <c r="D34" s="719" t="s">
        <v>1096</v>
      </c>
      <c r="E34" s="709" t="s">
        <v>935</v>
      </c>
      <c r="F34" s="687">
        <v>1643.71</v>
      </c>
      <c r="G34" s="1070"/>
      <c r="H34" s="1072"/>
      <c r="I34" s="1056"/>
    </row>
    <row r="35" spans="1:9" ht="45.75" customHeight="1" thickBot="1">
      <c r="A35" s="686" t="s">
        <v>1072</v>
      </c>
      <c r="B35" s="685" t="s">
        <v>1145</v>
      </c>
      <c r="C35" s="696" t="s">
        <v>1146</v>
      </c>
      <c r="D35" s="719" t="s">
        <v>1096</v>
      </c>
      <c r="E35" s="709" t="s">
        <v>935</v>
      </c>
      <c r="F35" s="687">
        <v>63.75</v>
      </c>
      <c r="G35" s="1070"/>
      <c r="H35" s="1072"/>
      <c r="I35" s="1056"/>
    </row>
    <row r="36" spans="1:9" ht="109.5" customHeight="1">
      <c r="A36" s="686" t="s">
        <v>1099</v>
      </c>
      <c r="B36" s="685" t="s">
        <v>1100</v>
      </c>
      <c r="C36" s="696" t="s">
        <v>1101</v>
      </c>
      <c r="D36" s="703" t="s">
        <v>1096</v>
      </c>
      <c r="E36" s="709" t="s">
        <v>935</v>
      </c>
      <c r="F36" s="687">
        <v>1266.01</v>
      </c>
      <c r="G36" s="1070"/>
      <c r="H36" s="1072"/>
      <c r="I36" s="1056"/>
    </row>
    <row r="37" spans="1:9" ht="15.75">
      <c r="F37" s="737">
        <f>+SUM(F33:F36)</f>
        <v>5065.8500000000004</v>
      </c>
      <c r="G37" s="723"/>
      <c r="H37" s="730">
        <f>SUM(H33)</f>
        <v>19655.759999999998</v>
      </c>
      <c r="I37" s="730">
        <f>SUM(I33)</f>
        <v>14589.909999999998</v>
      </c>
    </row>
    <row r="38" spans="1:9">
      <c r="F38" s="690"/>
    </row>
    <row r="39" spans="1:9" ht="15.75" thickBot="1"/>
    <row r="40" spans="1:9" ht="27" customHeight="1" thickBot="1">
      <c r="A40" s="1035" t="s">
        <v>1102</v>
      </c>
      <c r="B40" s="1036"/>
      <c r="C40" s="1036"/>
      <c r="D40" s="1036"/>
      <c r="E40" s="1037"/>
      <c r="F40" s="1038"/>
    </row>
    <row r="41" spans="1:9" ht="39" thickBot="1">
      <c r="A41" s="698" t="s">
        <v>920</v>
      </c>
      <c r="B41" s="701" t="s">
        <v>921</v>
      </c>
      <c r="C41" s="699" t="s">
        <v>922</v>
      </c>
      <c r="D41" s="699" t="s">
        <v>923</v>
      </c>
      <c r="E41" s="679" t="s">
        <v>924</v>
      </c>
      <c r="F41" s="702" t="s">
        <v>925</v>
      </c>
      <c r="G41" s="726" t="s">
        <v>938</v>
      </c>
      <c r="H41" s="726" t="s">
        <v>1082</v>
      </c>
      <c r="I41" s="750" t="s">
        <v>939</v>
      </c>
    </row>
    <row r="42" spans="1:9" ht="115.5">
      <c r="A42" s="686" t="s">
        <v>1103</v>
      </c>
      <c r="B42" s="685"/>
      <c r="C42" s="686" t="s">
        <v>1104</v>
      </c>
      <c r="D42" s="721" t="s">
        <v>1105</v>
      </c>
      <c r="E42" s="693" t="s">
        <v>1078</v>
      </c>
      <c r="F42" s="687">
        <v>12619.1</v>
      </c>
      <c r="G42" s="727" t="s">
        <v>1106</v>
      </c>
      <c r="H42" s="728">
        <v>36698.870000000003</v>
      </c>
      <c r="I42" s="729">
        <f>H42-F44</f>
        <v>24050.33</v>
      </c>
    </row>
    <row r="43" spans="1:9" ht="68.25" customHeight="1">
      <c r="A43" s="720" t="s">
        <v>1150</v>
      </c>
      <c r="B43" s="688" t="s">
        <v>1148</v>
      </c>
      <c r="C43" s="720" t="s">
        <v>1149</v>
      </c>
      <c r="D43" s="873" t="s">
        <v>1105</v>
      </c>
      <c r="E43" s="874" t="s">
        <v>1147</v>
      </c>
      <c r="F43" s="687">
        <v>29.44</v>
      </c>
      <c r="G43" s="727"/>
      <c r="H43" s="728"/>
      <c r="I43" s="729"/>
    </row>
    <row r="44" spans="1:9" ht="15.75">
      <c r="F44" s="737">
        <f>SUM(F42:F43)</f>
        <v>12648.54</v>
      </c>
      <c r="G44" s="731"/>
      <c r="H44" s="732">
        <f>SUM(H42)</f>
        <v>36698.870000000003</v>
      </c>
      <c r="I44" s="730">
        <f>H44-F44</f>
        <v>24050.33</v>
      </c>
    </row>
    <row r="46" spans="1:9" ht="15.75" thickBot="1"/>
    <row r="47" spans="1:9" ht="31.5">
      <c r="A47" s="1084" t="s">
        <v>1107</v>
      </c>
      <c r="B47" s="1085"/>
      <c r="C47" s="1085"/>
      <c r="D47" s="1085"/>
      <c r="E47" s="1086"/>
      <c r="F47" s="1087"/>
      <c r="G47" s="726" t="s">
        <v>938</v>
      </c>
      <c r="H47" s="726" t="s">
        <v>1082</v>
      </c>
      <c r="I47" s="750" t="s">
        <v>939</v>
      </c>
    </row>
    <row r="48" spans="1:9" ht="15.75">
      <c r="A48" s="866"/>
      <c r="B48" s="866"/>
      <c r="C48" s="866"/>
      <c r="D48" s="866"/>
      <c r="E48" s="866"/>
      <c r="F48" s="866"/>
      <c r="G48" s="852"/>
      <c r="H48" s="852"/>
      <c r="I48" s="867"/>
    </row>
    <row r="49" spans="1:9" ht="33">
      <c r="A49" s="868" t="s">
        <v>1072</v>
      </c>
      <c r="B49" s="688" t="s">
        <v>1148</v>
      </c>
      <c r="C49" s="720" t="s">
        <v>1149</v>
      </c>
      <c r="D49" s="684" t="s">
        <v>1161</v>
      </c>
      <c r="E49" s="684" t="s">
        <v>1147</v>
      </c>
      <c r="F49" s="872">
        <v>15.12</v>
      </c>
      <c r="G49" s="707" t="s">
        <v>1108</v>
      </c>
      <c r="H49" s="707">
        <v>12894.37</v>
      </c>
      <c r="I49" s="877">
        <f>+H49-F49</f>
        <v>12879.25</v>
      </c>
    </row>
    <row r="50" spans="1:9" ht="16.5" thickBot="1">
      <c r="F50" s="690"/>
      <c r="G50" s="851" t="s">
        <v>1108</v>
      </c>
      <c r="H50" s="882">
        <v>12894.37</v>
      </c>
      <c r="I50" s="865">
        <f>+I49</f>
        <v>12879.25</v>
      </c>
    </row>
    <row r="51" spans="1:9" ht="26.25" customHeight="1" thickBot="1">
      <c r="F51" s="690"/>
      <c r="G51" s="733"/>
      <c r="H51" s="733"/>
      <c r="I51" s="751"/>
    </row>
    <row r="52" spans="1:9" ht="31.5">
      <c r="A52" s="1084" t="s">
        <v>1109</v>
      </c>
      <c r="B52" s="1085"/>
      <c r="C52" s="1085"/>
      <c r="D52" s="1085"/>
      <c r="E52" s="1086"/>
      <c r="F52" s="1087"/>
      <c r="G52" s="726" t="s">
        <v>938</v>
      </c>
      <c r="H52" s="726" t="s">
        <v>1082</v>
      </c>
      <c r="I52" s="750" t="s">
        <v>939</v>
      </c>
    </row>
    <row r="53" spans="1:9" ht="15.75">
      <c r="A53" s="866"/>
      <c r="B53" s="866"/>
      <c r="C53" s="871" t="s">
        <v>1142</v>
      </c>
      <c r="D53" s="866"/>
      <c r="E53" s="866"/>
      <c r="F53" s="866"/>
      <c r="G53" s="852"/>
      <c r="H53" s="852"/>
      <c r="I53" s="867"/>
    </row>
    <row r="54" spans="1:9" ht="38.25">
      <c r="A54" s="684" t="s">
        <v>1140</v>
      </c>
      <c r="B54" s="684" t="s">
        <v>1141</v>
      </c>
      <c r="C54" s="684" t="s">
        <v>1143</v>
      </c>
      <c r="D54" s="684" t="s">
        <v>1144</v>
      </c>
      <c r="E54" s="684" t="s">
        <v>1073</v>
      </c>
      <c r="F54" s="872">
        <f>100+58.4+41.98</f>
        <v>200.38</v>
      </c>
      <c r="G54" s="707" t="s">
        <v>1110</v>
      </c>
      <c r="H54" s="869">
        <v>1269.74</v>
      </c>
      <c r="I54" s="870">
        <f>+H54-F54</f>
        <v>1069.3600000000001</v>
      </c>
    </row>
    <row r="55" spans="1:9" ht="16.5" thickBot="1">
      <c r="F55" s="690"/>
      <c r="G55" s="851" t="s">
        <v>1110</v>
      </c>
      <c r="H55" s="851">
        <v>1269.74</v>
      </c>
      <c r="I55" s="865">
        <f>+I54</f>
        <v>1069.3600000000001</v>
      </c>
    </row>
    <row r="56" spans="1:9" ht="16.5" thickBot="1">
      <c r="F56" s="690"/>
      <c r="G56" s="733"/>
      <c r="H56" s="733"/>
      <c r="I56" s="751"/>
    </row>
    <row r="57" spans="1:9" ht="31.5">
      <c r="A57" s="1084" t="s">
        <v>1111</v>
      </c>
      <c r="B57" s="1085"/>
      <c r="C57" s="1085"/>
      <c r="D57" s="1085"/>
      <c r="E57" s="1086"/>
      <c r="F57" s="1087"/>
      <c r="G57" s="726" t="s">
        <v>938</v>
      </c>
      <c r="H57" s="726" t="s">
        <v>1082</v>
      </c>
      <c r="I57" s="750" t="s">
        <v>939</v>
      </c>
    </row>
    <row r="58" spans="1:9" ht="15.75">
      <c r="A58" s="871"/>
      <c r="B58" s="871" t="s">
        <v>1154</v>
      </c>
      <c r="C58" s="871"/>
      <c r="D58" s="871"/>
      <c r="E58" s="871"/>
      <c r="F58" s="871"/>
      <c r="G58" s="875"/>
      <c r="H58" s="875"/>
      <c r="I58" s="876"/>
    </row>
    <row r="59" spans="1:9" ht="25.5">
      <c r="A59" s="684" t="s">
        <v>1072</v>
      </c>
      <c r="B59" s="684" t="s">
        <v>1155</v>
      </c>
      <c r="C59" s="684" t="s">
        <v>1156</v>
      </c>
      <c r="D59" s="684" t="s">
        <v>1157</v>
      </c>
      <c r="E59" s="684" t="s">
        <v>1147</v>
      </c>
      <c r="F59" s="872">
        <v>110</v>
      </c>
      <c r="G59" s="707" t="s">
        <v>1115</v>
      </c>
      <c r="H59" s="707">
        <v>6617.01</v>
      </c>
      <c r="I59" s="877">
        <f>+H59-F59</f>
        <v>6507.01</v>
      </c>
    </row>
    <row r="60" spans="1:9" ht="16.5" thickBot="1">
      <c r="F60" s="690"/>
      <c r="G60" s="851" t="s">
        <v>1115</v>
      </c>
      <c r="H60" s="882">
        <v>6617.01</v>
      </c>
      <c r="I60" s="865">
        <f>+I59</f>
        <v>6507.01</v>
      </c>
    </row>
    <row r="61" spans="1:9" ht="16.5" thickBot="1">
      <c r="F61" s="690"/>
      <c r="G61" s="733"/>
      <c r="H61" s="733"/>
      <c r="I61" s="751"/>
    </row>
    <row r="62" spans="1:9" ht="32.25" thickBot="1">
      <c r="A62" s="1035" t="s">
        <v>1113</v>
      </c>
      <c r="B62" s="1036"/>
      <c r="C62" s="1036"/>
      <c r="D62" s="1036"/>
      <c r="E62" s="1037"/>
      <c r="F62" s="1038"/>
      <c r="G62" s="726" t="s">
        <v>938</v>
      </c>
      <c r="H62" s="726" t="s">
        <v>1082</v>
      </c>
      <c r="I62" s="750" t="s">
        <v>939</v>
      </c>
    </row>
    <row r="63" spans="1:9" ht="16.5" thickBot="1">
      <c r="F63" s="690"/>
      <c r="G63" s="683" t="s">
        <v>1114</v>
      </c>
      <c r="H63" s="683">
        <v>4850.05</v>
      </c>
      <c r="I63" s="741">
        <f>H63</f>
        <v>4850.05</v>
      </c>
    </row>
    <row r="64" spans="1:9" ht="15.75">
      <c r="F64" s="690"/>
      <c r="G64" s="733"/>
      <c r="H64" s="733"/>
      <c r="I64" s="751"/>
    </row>
    <row r="65" spans="1:9" ht="15.75" thickBot="1"/>
    <row r="66" spans="1:9" ht="31.5">
      <c r="A66" s="1084" t="s">
        <v>1117</v>
      </c>
      <c r="B66" s="1085"/>
      <c r="C66" s="1085"/>
      <c r="D66" s="1085"/>
      <c r="E66" s="1086"/>
      <c r="F66" s="1087"/>
      <c r="G66" s="726" t="s">
        <v>938</v>
      </c>
      <c r="H66" s="726" t="s">
        <v>1082</v>
      </c>
      <c r="I66" s="750" t="s">
        <v>939</v>
      </c>
    </row>
    <row r="67" spans="1:9" ht="15.75">
      <c r="A67" s="871"/>
      <c r="B67" s="871" t="s">
        <v>1154</v>
      </c>
      <c r="C67" s="871"/>
      <c r="D67" s="871"/>
      <c r="E67" s="871"/>
      <c r="F67" s="871"/>
      <c r="G67" s="875"/>
      <c r="H67" s="875"/>
      <c r="I67" s="876"/>
    </row>
    <row r="68" spans="1:9" ht="25.5">
      <c r="A68" s="684" t="s">
        <v>1072</v>
      </c>
      <c r="B68" s="684" t="s">
        <v>1155</v>
      </c>
      <c r="C68" s="684" t="s">
        <v>1158</v>
      </c>
      <c r="D68" s="684" t="s">
        <v>1159</v>
      </c>
      <c r="E68" s="684" t="s">
        <v>1147</v>
      </c>
      <c r="F68" s="872">
        <v>138.24</v>
      </c>
      <c r="G68" s="707" t="s">
        <v>1160</v>
      </c>
      <c r="H68" s="707">
        <f>+H69</f>
        <v>16317.47</v>
      </c>
      <c r="I68" s="877">
        <f>+H68-F68</f>
        <v>16179.23</v>
      </c>
    </row>
    <row r="69" spans="1:9" ht="16.5" thickBot="1">
      <c r="F69" s="690"/>
      <c r="G69" s="851" t="s">
        <v>1116</v>
      </c>
      <c r="H69" s="851">
        <v>16317.47</v>
      </c>
      <c r="I69" s="865">
        <f>+I68</f>
        <v>16179.23</v>
      </c>
    </row>
    <row r="70" spans="1:9" ht="16.5" thickBot="1">
      <c r="F70" s="690"/>
      <c r="G70" s="733"/>
      <c r="H70" s="733"/>
      <c r="I70" s="751"/>
    </row>
    <row r="71" spans="1:9" ht="32.25" customHeight="1" thickBot="1">
      <c r="A71" s="1035" t="s">
        <v>1112</v>
      </c>
      <c r="B71" s="1036"/>
      <c r="C71" s="1036"/>
      <c r="D71" s="1036"/>
      <c r="E71" s="1037"/>
      <c r="F71" s="1038"/>
      <c r="G71" s="726" t="s">
        <v>938</v>
      </c>
      <c r="H71" s="726" t="s">
        <v>1082</v>
      </c>
      <c r="I71" s="750" t="s">
        <v>939</v>
      </c>
    </row>
    <row r="72" spans="1:9" ht="16.5" thickBot="1">
      <c r="F72" s="690"/>
      <c r="G72" s="683" t="s">
        <v>942</v>
      </c>
      <c r="H72" s="683">
        <v>115362.09</v>
      </c>
      <c r="I72" s="741">
        <f>H72</f>
        <v>115362.09</v>
      </c>
    </row>
    <row r="73" spans="1:9" ht="15.75" thickBot="1"/>
    <row r="74" spans="1:9" ht="12.75">
      <c r="A74" s="1039" t="s">
        <v>943</v>
      </c>
      <c r="B74" s="1040"/>
      <c r="C74" s="1040"/>
      <c r="D74" s="1040"/>
      <c r="E74" s="1040"/>
      <c r="F74" s="1040"/>
      <c r="G74" s="1040"/>
      <c r="H74" s="1040"/>
      <c r="I74" s="1043">
        <f>+I19+I28+I37+I44+I50+I55+I60+I63+I69+I72</f>
        <v>221070.75999999998</v>
      </c>
    </row>
    <row r="75" spans="1:9" ht="13.5" thickBot="1">
      <c r="A75" s="1041"/>
      <c r="B75" s="1042"/>
      <c r="C75" s="1042"/>
      <c r="D75" s="1042"/>
      <c r="E75" s="1042"/>
      <c r="F75" s="1042"/>
      <c r="G75" s="1042"/>
      <c r="H75" s="1042"/>
      <c r="I75" s="1044"/>
    </row>
    <row r="76" spans="1:9">
      <c r="I76" s="743"/>
    </row>
    <row r="77" spans="1:9" ht="15.75" thickBot="1">
      <c r="F77" s="742"/>
    </row>
    <row r="78" spans="1:9" ht="15.75" thickBot="1">
      <c r="A78" s="1080" t="s">
        <v>929</v>
      </c>
      <c r="B78" s="1081"/>
      <c r="C78" s="1081"/>
      <c r="D78" s="1081"/>
      <c r="E78" s="1082"/>
      <c r="F78" s="1083"/>
    </row>
    <row r="79" spans="1:9" ht="39" thickBot="1">
      <c r="A79" s="710" t="s">
        <v>920</v>
      </c>
      <c r="B79" s="711" t="s">
        <v>921</v>
      </c>
      <c r="C79" s="712" t="s">
        <v>922</v>
      </c>
      <c r="D79" s="712" t="s">
        <v>923</v>
      </c>
      <c r="E79" s="713" t="s">
        <v>924</v>
      </c>
      <c r="F79" s="714" t="s">
        <v>925</v>
      </c>
      <c r="G79" s="736" t="s">
        <v>938</v>
      </c>
      <c r="H79" s="736" t="s">
        <v>1082</v>
      </c>
      <c r="I79" s="753" t="s">
        <v>939</v>
      </c>
    </row>
    <row r="80" spans="1:9" ht="73.5" customHeight="1">
      <c r="A80" s="715" t="s">
        <v>1047</v>
      </c>
      <c r="B80" s="716" t="s">
        <v>936</v>
      </c>
      <c r="C80" s="848" t="s">
        <v>1048</v>
      </c>
      <c r="D80" s="700" t="s">
        <v>930</v>
      </c>
      <c r="E80" s="717" t="s">
        <v>1001</v>
      </c>
      <c r="F80" s="718">
        <v>898.35</v>
      </c>
      <c r="G80" s="828" t="s">
        <v>1049</v>
      </c>
      <c r="H80" s="829">
        <v>10237.23</v>
      </c>
      <c r="I80" s="827">
        <f>H80-F83</f>
        <v>-6748.630000000001</v>
      </c>
    </row>
    <row r="81" spans="1:9" ht="73.5" customHeight="1">
      <c r="A81" s="686" t="s">
        <v>1135</v>
      </c>
      <c r="B81" s="685" t="s">
        <v>1136</v>
      </c>
      <c r="C81" s="848" t="s">
        <v>1137</v>
      </c>
      <c r="D81" s="700" t="s">
        <v>930</v>
      </c>
      <c r="E81" s="709" t="s">
        <v>1073</v>
      </c>
      <c r="F81" s="687">
        <f>108+5028.66+5039.7+2268.02</f>
        <v>12444.380000000001</v>
      </c>
      <c r="G81" s="828"/>
      <c r="H81" s="829"/>
      <c r="I81" s="827"/>
    </row>
    <row r="82" spans="1:9" ht="73.5" customHeight="1">
      <c r="A82" s="720" t="s">
        <v>1072</v>
      </c>
      <c r="B82" s="688" t="s">
        <v>936</v>
      </c>
      <c r="C82" s="848" t="s">
        <v>1138</v>
      </c>
      <c r="D82" s="700" t="s">
        <v>930</v>
      </c>
      <c r="E82" s="695" t="s">
        <v>1073</v>
      </c>
      <c r="F82" s="689">
        <f>150+3471.89+21.24</f>
        <v>3643.1299999999997</v>
      </c>
      <c r="G82" s="828"/>
      <c r="H82" s="829"/>
      <c r="I82" s="827"/>
    </row>
    <row r="83" spans="1:9" ht="15.75">
      <c r="F83" s="856">
        <f>SUM(F80:F82)</f>
        <v>16985.86</v>
      </c>
      <c r="G83" s="723"/>
      <c r="H83" s="730">
        <f>SUM(H80:H82)</f>
        <v>10237.23</v>
      </c>
      <c r="I83" s="730">
        <f>SUM(I80)</f>
        <v>-6748.630000000001</v>
      </c>
    </row>
    <row r="84" spans="1:9" ht="16.5" thickBot="1">
      <c r="F84" s="690"/>
      <c r="H84" s="746"/>
      <c r="I84" s="746"/>
    </row>
    <row r="85" spans="1:9" ht="32.25" thickBot="1">
      <c r="A85" s="1035" t="s">
        <v>1118</v>
      </c>
      <c r="B85" s="1036"/>
      <c r="C85" s="1036"/>
      <c r="D85" s="1036"/>
      <c r="E85" s="1037"/>
      <c r="F85" s="1038"/>
      <c r="G85" s="726" t="s">
        <v>938</v>
      </c>
      <c r="H85" s="726" t="s">
        <v>1082</v>
      </c>
      <c r="I85" s="750" t="s">
        <v>939</v>
      </c>
    </row>
    <row r="86" spans="1:9" ht="16.5" thickBot="1">
      <c r="F86" s="690"/>
      <c r="G86" s="683" t="s">
        <v>1119</v>
      </c>
      <c r="H86" s="683">
        <v>1095.07</v>
      </c>
      <c r="I86" s="741">
        <f>H86</f>
        <v>1095.07</v>
      </c>
    </row>
    <row r="87" spans="1:9" ht="16.5" thickBot="1">
      <c r="F87" s="690"/>
      <c r="H87" s="746"/>
      <c r="I87" s="746"/>
    </row>
    <row r="88" spans="1:9" ht="32.25" thickBot="1">
      <c r="A88" s="1035" t="s">
        <v>1121</v>
      </c>
      <c r="B88" s="1036"/>
      <c r="C88" s="1036"/>
      <c r="D88" s="1036"/>
      <c r="E88" s="1037"/>
      <c r="F88" s="1038"/>
      <c r="G88" s="726" t="s">
        <v>938</v>
      </c>
      <c r="H88" s="726" t="s">
        <v>1082</v>
      </c>
      <c r="I88" s="750" t="s">
        <v>939</v>
      </c>
    </row>
    <row r="89" spans="1:9" ht="16.5" thickBot="1">
      <c r="F89" s="690"/>
      <c r="G89" s="683" t="s">
        <v>1120</v>
      </c>
      <c r="H89" s="683">
        <v>80862.25</v>
      </c>
      <c r="I89" s="741">
        <f>H89</f>
        <v>80862.25</v>
      </c>
    </row>
    <row r="90" spans="1:9" ht="15.75">
      <c r="F90" s="690"/>
      <c r="H90" s="746"/>
      <c r="I90" s="746"/>
    </row>
    <row r="91" spans="1:9">
      <c r="F91" s="690"/>
    </row>
    <row r="92" spans="1:9" ht="15.75" thickBot="1">
      <c r="F92" s="690"/>
    </row>
    <row r="93" spans="1:9" ht="12.75">
      <c r="A93" s="1039" t="s">
        <v>944</v>
      </c>
      <c r="B93" s="1040"/>
      <c r="C93" s="1040"/>
      <c r="D93" s="1040"/>
      <c r="E93" s="1040"/>
      <c r="F93" s="1040"/>
      <c r="G93" s="1040"/>
      <c r="H93" s="1040"/>
      <c r="I93" s="1043">
        <f>+I83+I86+I89</f>
        <v>75208.69</v>
      </c>
    </row>
    <row r="94" spans="1:9" ht="13.5" thickBot="1">
      <c r="A94" s="1041"/>
      <c r="B94" s="1042"/>
      <c r="C94" s="1042"/>
      <c r="D94" s="1042"/>
      <c r="E94" s="1042"/>
      <c r="F94" s="1042"/>
      <c r="G94" s="1042"/>
      <c r="H94" s="1042"/>
      <c r="I94" s="1044"/>
    </row>
    <row r="95" spans="1:9">
      <c r="F95" s="690"/>
    </row>
    <row r="96" spans="1:9" ht="15.75" thickBot="1"/>
    <row r="97" spans="1:9" ht="20.25" customHeight="1" thickBot="1">
      <c r="A97" s="1035" t="s">
        <v>926</v>
      </c>
      <c r="B97" s="1036"/>
      <c r="C97" s="1036"/>
      <c r="D97" s="1036"/>
      <c r="E97" s="1037"/>
      <c r="F97" s="1038"/>
      <c r="G97" s="738" t="s">
        <v>937</v>
      </c>
      <c r="H97" s="1045" t="s">
        <v>1082</v>
      </c>
      <c r="I97" s="1047" t="s">
        <v>939</v>
      </c>
    </row>
    <row r="98" spans="1:9" ht="39" thickBot="1">
      <c r="A98" s="698" t="s">
        <v>920</v>
      </c>
      <c r="B98" s="701" t="s">
        <v>921</v>
      </c>
      <c r="C98" s="699" t="s">
        <v>922</v>
      </c>
      <c r="D98" s="699" t="s">
        <v>923</v>
      </c>
      <c r="E98" s="679" t="s">
        <v>924</v>
      </c>
      <c r="F98" s="702" t="s">
        <v>925</v>
      </c>
      <c r="G98" s="744" t="s">
        <v>938</v>
      </c>
      <c r="H98" s="1088"/>
      <c r="I98" s="1048"/>
    </row>
    <row r="99" spans="1:9" ht="51.75" customHeight="1">
      <c r="A99" s="703" t="s">
        <v>1037</v>
      </c>
      <c r="B99" s="704" t="s">
        <v>1038</v>
      </c>
      <c r="C99" s="848" t="s">
        <v>1039</v>
      </c>
      <c r="D99" s="696" t="s">
        <v>927</v>
      </c>
      <c r="E99" s="705" t="s">
        <v>928</v>
      </c>
      <c r="F99" s="706">
        <v>409.01</v>
      </c>
      <c r="G99" s="1056" t="s">
        <v>946</v>
      </c>
      <c r="H99" s="1056">
        <v>37616.43</v>
      </c>
      <c r="I99" s="1055">
        <f>H99-F106</f>
        <v>32409.510000000002</v>
      </c>
    </row>
    <row r="100" spans="1:9" ht="35.25" customHeight="1">
      <c r="A100" s="696" t="s">
        <v>1040</v>
      </c>
      <c r="B100" s="697" t="s">
        <v>1041</v>
      </c>
      <c r="C100" s="848" t="s">
        <v>1042</v>
      </c>
      <c r="D100" s="696" t="s">
        <v>927</v>
      </c>
      <c r="E100" s="684" t="s">
        <v>928</v>
      </c>
      <c r="F100" s="707">
        <v>48.4</v>
      </c>
      <c r="G100" s="1056"/>
      <c r="H100" s="1056"/>
      <c r="I100" s="1056"/>
    </row>
    <row r="101" spans="1:9" ht="99" customHeight="1">
      <c r="A101" s="696" t="s">
        <v>1043</v>
      </c>
      <c r="B101" s="697" t="s">
        <v>1044</v>
      </c>
      <c r="C101" s="848" t="s">
        <v>1045</v>
      </c>
      <c r="D101" s="696" t="s">
        <v>927</v>
      </c>
      <c r="E101" s="684" t="s">
        <v>928</v>
      </c>
      <c r="F101" s="707">
        <v>1325.63</v>
      </c>
      <c r="G101" s="1056"/>
      <c r="H101" s="1056"/>
      <c r="I101" s="1056"/>
    </row>
    <row r="102" spans="1:9" ht="99" customHeight="1">
      <c r="A102" s="696" t="s">
        <v>1063</v>
      </c>
      <c r="B102" s="697" t="s">
        <v>1064</v>
      </c>
      <c r="C102" s="848" t="s">
        <v>1066</v>
      </c>
      <c r="D102" s="696" t="s">
        <v>927</v>
      </c>
      <c r="E102" s="684" t="s">
        <v>1065</v>
      </c>
      <c r="F102" s="707">
        <v>330</v>
      </c>
      <c r="G102" s="1056"/>
      <c r="H102" s="1056"/>
      <c r="I102" s="1056"/>
    </row>
    <row r="103" spans="1:9" ht="99" customHeight="1">
      <c r="A103" s="696" t="s">
        <v>1067</v>
      </c>
      <c r="B103" s="697" t="s">
        <v>1068</v>
      </c>
      <c r="C103" s="855" t="s">
        <v>1069</v>
      </c>
      <c r="D103" s="696" t="s">
        <v>927</v>
      </c>
      <c r="E103" s="708" t="s">
        <v>928</v>
      </c>
      <c r="F103" s="707">
        <v>500</v>
      </c>
      <c r="G103" s="1056"/>
      <c r="H103" s="1056"/>
      <c r="I103" s="1056"/>
    </row>
    <row r="104" spans="1:9" ht="99" customHeight="1">
      <c r="A104" s="696" t="s">
        <v>1132</v>
      </c>
      <c r="B104" s="697" t="s">
        <v>1133</v>
      </c>
      <c r="C104" s="855" t="s">
        <v>1134</v>
      </c>
      <c r="D104" s="696" t="s">
        <v>927</v>
      </c>
      <c r="E104" s="708"/>
      <c r="F104" s="707">
        <f>48.28+1547.75</f>
        <v>1596.03</v>
      </c>
      <c r="G104" s="1056"/>
      <c r="H104" s="1056"/>
      <c r="I104" s="1056"/>
    </row>
    <row r="105" spans="1:9" ht="93" customHeight="1">
      <c r="A105" s="696" t="s">
        <v>1139</v>
      </c>
      <c r="B105" s="697" t="s">
        <v>1070</v>
      </c>
      <c r="C105" s="696" t="s">
        <v>1071</v>
      </c>
      <c r="D105" s="696" t="s">
        <v>927</v>
      </c>
      <c r="E105" s="708" t="s">
        <v>912</v>
      </c>
      <c r="F105" s="707">
        <v>997.85</v>
      </c>
      <c r="G105" s="1056"/>
      <c r="H105" s="1056"/>
      <c r="I105" s="1056"/>
    </row>
    <row r="106" spans="1:9" ht="18">
      <c r="F106" s="745">
        <f>SUM(F99:F105)</f>
        <v>5206.92</v>
      </c>
      <c r="G106" s="745"/>
      <c r="H106" s="883">
        <f>SUM(H99)</f>
        <v>37616.43</v>
      </c>
      <c r="I106" s="754">
        <f>SUM(I99)</f>
        <v>32409.510000000002</v>
      </c>
    </row>
    <row r="107" spans="1:9" ht="15.75" thickBot="1">
      <c r="F107" s="690"/>
    </row>
    <row r="108" spans="1:9" ht="32.25" thickBot="1">
      <c r="A108" s="1035" t="s">
        <v>1124</v>
      </c>
      <c r="B108" s="1036"/>
      <c r="C108" s="1036"/>
      <c r="D108" s="1036"/>
      <c r="E108" s="1037"/>
      <c r="F108" s="1038"/>
      <c r="G108" s="726" t="s">
        <v>938</v>
      </c>
      <c r="H108" s="726" t="s">
        <v>1082</v>
      </c>
      <c r="I108" s="750" t="s">
        <v>939</v>
      </c>
    </row>
    <row r="109" spans="1:9" ht="39" customHeight="1" thickBot="1">
      <c r="A109" s="976" t="s">
        <v>1183</v>
      </c>
      <c r="B109" s="976" t="s">
        <v>1184</v>
      </c>
      <c r="C109" s="976" t="s">
        <v>1185</v>
      </c>
      <c r="D109" s="976" t="s">
        <v>1186</v>
      </c>
      <c r="E109" s="976" t="s">
        <v>1187</v>
      </c>
      <c r="F109" s="978">
        <v>4500</v>
      </c>
      <c r="G109" s="850" t="s">
        <v>1123</v>
      </c>
      <c r="H109" s="850">
        <v>5195.2</v>
      </c>
      <c r="I109" s="849">
        <f>+H109-F109</f>
        <v>695.19999999999982</v>
      </c>
    </row>
    <row r="110" spans="1:9" ht="16.5" thickBot="1">
      <c r="F110" s="690"/>
      <c r="G110" s="683" t="s">
        <v>1123</v>
      </c>
      <c r="H110" s="683">
        <v>5195.2</v>
      </c>
      <c r="I110" s="741">
        <f>+I109</f>
        <v>695.19999999999982</v>
      </c>
    </row>
    <row r="112" spans="1:9" ht="15.75" thickBot="1"/>
    <row r="113" spans="1:9" ht="35.25" customHeight="1" thickBot="1">
      <c r="A113" s="1035" t="s">
        <v>1122</v>
      </c>
      <c r="B113" s="1036"/>
      <c r="C113" s="1036"/>
      <c r="D113" s="1036"/>
      <c r="E113" s="1037"/>
      <c r="F113" s="1038"/>
      <c r="G113" s="683" t="s">
        <v>938</v>
      </c>
      <c r="H113" s="683" t="s">
        <v>1082</v>
      </c>
      <c r="I113" s="982" t="s">
        <v>939</v>
      </c>
    </row>
    <row r="114" spans="1:9" ht="38.25" hidden="1" customHeight="1">
      <c r="A114" s="980"/>
      <c r="B114" s="980"/>
      <c r="C114" s="980"/>
      <c r="D114" s="980"/>
      <c r="E114" s="980"/>
      <c r="F114" s="981"/>
      <c r="G114" s="979"/>
      <c r="H114" s="854"/>
      <c r="I114" s="977"/>
    </row>
    <row r="115" spans="1:9" ht="27.75" customHeight="1" thickBot="1">
      <c r="F115" s="690"/>
      <c r="G115" s="851" t="s">
        <v>947</v>
      </c>
      <c r="H115" s="851">
        <v>11696.71</v>
      </c>
      <c r="I115" s="865">
        <f>H115</f>
        <v>11696.71</v>
      </c>
    </row>
    <row r="116" spans="1:9" ht="34.5" customHeight="1" thickBot="1"/>
    <row r="117" spans="1:9" ht="32.25" customHeight="1" thickBot="1">
      <c r="A117" s="1035" t="s">
        <v>948</v>
      </c>
      <c r="B117" s="1036"/>
      <c r="C117" s="1036"/>
      <c r="D117" s="1036"/>
      <c r="E117" s="1037"/>
      <c r="F117" s="1038"/>
      <c r="G117" s="726" t="s">
        <v>938</v>
      </c>
      <c r="H117" s="726" t="s">
        <v>1082</v>
      </c>
      <c r="I117" s="750" t="s">
        <v>939</v>
      </c>
    </row>
    <row r="118" spans="1:9" ht="24" customHeight="1" thickBot="1">
      <c r="F118" s="690"/>
      <c r="G118" s="747">
        <v>5400096087</v>
      </c>
      <c r="H118" s="860">
        <v>17.16</v>
      </c>
      <c r="I118" s="741">
        <f>H118</f>
        <v>17.16</v>
      </c>
    </row>
    <row r="119" spans="1:9" ht="21.75" customHeight="1" thickBot="1"/>
    <row r="120" spans="1:9" ht="52.5" customHeight="1" thickBot="1">
      <c r="A120" s="1035" t="s">
        <v>1125</v>
      </c>
      <c r="B120" s="1036"/>
      <c r="C120" s="1036"/>
      <c r="D120" s="1036"/>
      <c r="E120" s="1037"/>
      <c r="F120" s="1038"/>
      <c r="G120" s="726" t="s">
        <v>938</v>
      </c>
      <c r="H120" s="726" t="s">
        <v>1082</v>
      </c>
      <c r="I120" s="750" t="s">
        <v>939</v>
      </c>
    </row>
    <row r="121" spans="1:9" ht="16.5" thickBot="1">
      <c r="F121" s="690"/>
      <c r="G121" s="747" t="s">
        <v>1126</v>
      </c>
      <c r="H121" s="683">
        <v>1873.26</v>
      </c>
      <c r="I121" s="741">
        <f>H121</f>
        <v>1873.26</v>
      </c>
    </row>
    <row r="122" spans="1:9">
      <c r="F122" s="690"/>
      <c r="I122" s="743"/>
    </row>
    <row r="123" spans="1:9" ht="15.75" thickBot="1">
      <c r="F123" s="690"/>
      <c r="I123" s="743"/>
    </row>
    <row r="124" spans="1:9" ht="12.75">
      <c r="A124" s="1039" t="s">
        <v>949</v>
      </c>
      <c r="B124" s="1040"/>
      <c r="C124" s="1040"/>
      <c r="D124" s="1040"/>
      <c r="E124" s="1040"/>
      <c r="F124" s="1040"/>
      <c r="G124" s="1040"/>
      <c r="H124" s="1040"/>
      <c r="I124" s="1089">
        <f>+I106+I110+I115+I118+I121</f>
        <v>46691.840000000004</v>
      </c>
    </row>
    <row r="125" spans="1:9" ht="13.5" thickBot="1">
      <c r="A125" s="1041"/>
      <c r="B125" s="1042"/>
      <c r="C125" s="1042"/>
      <c r="D125" s="1042"/>
      <c r="E125" s="1042"/>
      <c r="F125" s="1042"/>
      <c r="G125" s="1042"/>
      <c r="H125" s="1042"/>
      <c r="I125" s="1090"/>
    </row>
    <row r="126" spans="1:9">
      <c r="F126" s="690"/>
      <c r="I126" s="743"/>
    </row>
    <row r="127" spans="1:9" ht="15.75" thickBot="1">
      <c r="F127" s="690"/>
      <c r="I127" s="743"/>
    </row>
    <row r="128" spans="1:9" ht="32.25" thickBot="1">
      <c r="A128" s="1035" t="s">
        <v>950</v>
      </c>
      <c r="B128" s="1036"/>
      <c r="C128" s="1036"/>
      <c r="D128" s="1036"/>
      <c r="E128" s="1037"/>
      <c r="F128" s="1038"/>
      <c r="G128" s="726" t="s">
        <v>938</v>
      </c>
      <c r="H128" s="726" t="s">
        <v>1082</v>
      </c>
      <c r="I128" s="750" t="s">
        <v>939</v>
      </c>
    </row>
    <row r="129" spans="1:9" ht="15.75">
      <c r="A129" s="858"/>
      <c r="B129" s="858"/>
      <c r="C129" s="858"/>
      <c r="D129" s="858"/>
      <c r="E129" s="858"/>
      <c r="F129" s="858"/>
      <c r="G129" s="850"/>
      <c r="H129" s="850"/>
      <c r="I129" s="849"/>
    </row>
    <row r="130" spans="1:9" ht="16.5" thickBot="1">
      <c r="A130" s="858"/>
      <c r="B130" s="858"/>
      <c r="C130" s="858"/>
      <c r="D130" s="858"/>
      <c r="E130" s="858"/>
      <c r="F130" s="858"/>
      <c r="G130" s="850"/>
      <c r="H130" s="850"/>
      <c r="I130" s="849"/>
    </row>
    <row r="131" spans="1:9" ht="16.5" thickBot="1">
      <c r="F131" s="690"/>
      <c r="G131" s="747" t="s">
        <v>951</v>
      </c>
      <c r="H131" s="860">
        <v>4975.33</v>
      </c>
      <c r="I131" s="741">
        <f>H131</f>
        <v>4975.33</v>
      </c>
    </row>
    <row r="132" spans="1:9" ht="16.5" thickBot="1">
      <c r="F132" s="690"/>
      <c r="G132" s="859"/>
      <c r="H132" s="733"/>
      <c r="I132" s="751">
        <v>4745.1000000000004</v>
      </c>
    </row>
    <row r="133" spans="1:9" ht="31.5">
      <c r="A133" s="1084" t="s">
        <v>1127</v>
      </c>
      <c r="B133" s="1085"/>
      <c r="C133" s="1085"/>
      <c r="D133" s="1085"/>
      <c r="E133" s="1086"/>
      <c r="F133" s="1087"/>
      <c r="G133" s="726" t="s">
        <v>938</v>
      </c>
      <c r="H133" s="726" t="s">
        <v>1082</v>
      </c>
      <c r="I133" s="750" t="s">
        <v>939</v>
      </c>
    </row>
    <row r="134" spans="1:9" ht="63.75">
      <c r="A134" s="871"/>
      <c r="B134" s="871"/>
      <c r="C134" s="871"/>
      <c r="D134" s="871" t="s">
        <v>1165</v>
      </c>
      <c r="E134" s="871"/>
      <c r="F134" s="871"/>
      <c r="G134" s="875"/>
      <c r="H134" s="875"/>
      <c r="I134" s="876"/>
    </row>
    <row r="135" spans="1:9" ht="25.5">
      <c r="A135" s="684" t="s">
        <v>1072</v>
      </c>
      <c r="B135" s="684" t="s">
        <v>1162</v>
      </c>
      <c r="C135" s="684" t="s">
        <v>1163</v>
      </c>
      <c r="D135" s="684" t="s">
        <v>1164</v>
      </c>
      <c r="E135" s="696" t="s">
        <v>1147</v>
      </c>
      <c r="F135" s="872">
        <f>220+10.23</f>
        <v>230.23</v>
      </c>
      <c r="G135" s="707" t="s">
        <v>1128</v>
      </c>
      <c r="H135" s="707"/>
      <c r="I135" s="877"/>
    </row>
    <row r="136" spans="1:9" ht="16.5" thickBot="1">
      <c r="F136" s="690"/>
      <c r="G136" s="878" t="s">
        <v>1128</v>
      </c>
      <c r="H136" s="851">
        <v>116.15</v>
      </c>
      <c r="I136" s="865">
        <f>H136</f>
        <v>116.15</v>
      </c>
    </row>
    <row r="137" spans="1:9" ht="15.75" thickBot="1">
      <c r="F137" s="690"/>
      <c r="I137" s="743"/>
    </row>
    <row r="138" spans="1:9" ht="12.75">
      <c r="A138" s="1039" t="s">
        <v>1130</v>
      </c>
      <c r="B138" s="1040"/>
      <c r="C138" s="1040"/>
      <c r="D138" s="1040"/>
      <c r="E138" s="1040"/>
      <c r="F138" s="1040"/>
      <c r="G138" s="1040"/>
      <c r="H138" s="1040"/>
      <c r="I138" s="1078">
        <f>I132+I136</f>
        <v>4861.25</v>
      </c>
    </row>
    <row r="139" spans="1:9" ht="13.5" thickBot="1">
      <c r="A139" s="1041"/>
      <c r="B139" s="1042"/>
      <c r="C139" s="1042"/>
      <c r="D139" s="1042"/>
      <c r="E139" s="1042"/>
      <c r="F139" s="1042"/>
      <c r="G139" s="1042"/>
      <c r="H139" s="1042"/>
      <c r="I139" s="1079"/>
    </row>
    <row r="140" spans="1:9">
      <c r="F140" s="690"/>
      <c r="I140" s="743"/>
    </row>
    <row r="141" spans="1:9" ht="15.75" thickBot="1">
      <c r="F141" s="690"/>
      <c r="I141" s="743"/>
    </row>
    <row r="142" spans="1:9" ht="32.25" thickBot="1">
      <c r="A142" s="1035" t="s">
        <v>952</v>
      </c>
      <c r="B142" s="1036"/>
      <c r="C142" s="1036"/>
      <c r="D142" s="1036"/>
      <c r="E142" s="1037"/>
      <c r="F142" s="1038"/>
      <c r="G142" s="726" t="s">
        <v>938</v>
      </c>
      <c r="H142" s="726" t="s">
        <v>1082</v>
      </c>
      <c r="I142" s="750" t="s">
        <v>939</v>
      </c>
    </row>
    <row r="143" spans="1:9" ht="16.5" thickBot="1">
      <c r="F143" s="690"/>
      <c r="G143" s="747" t="s">
        <v>953</v>
      </c>
      <c r="H143" s="683">
        <v>1272.25</v>
      </c>
      <c r="I143" s="741">
        <f>H143</f>
        <v>1272.25</v>
      </c>
    </row>
    <row r="144" spans="1:9">
      <c r="F144" s="690"/>
      <c r="I144" s="743"/>
    </row>
    <row r="145" spans="1:9">
      <c r="F145" s="690"/>
      <c r="I145" s="743"/>
    </row>
    <row r="146" spans="1:9" ht="15.75" thickBot="1">
      <c r="F146" s="690"/>
      <c r="I146" s="743"/>
    </row>
    <row r="147" spans="1:9" ht="12.75">
      <c r="A147" s="1039" t="s">
        <v>955</v>
      </c>
      <c r="B147" s="1040"/>
      <c r="C147" s="1040"/>
      <c r="D147" s="1040"/>
      <c r="E147" s="1040"/>
      <c r="F147" s="1040"/>
      <c r="G147" s="1040"/>
      <c r="H147" s="1040"/>
      <c r="I147" s="1078">
        <f>I143</f>
        <v>1272.25</v>
      </c>
    </row>
    <row r="148" spans="1:9" ht="13.5" thickBot="1">
      <c r="A148" s="1041"/>
      <c r="B148" s="1042"/>
      <c r="C148" s="1042"/>
      <c r="D148" s="1042"/>
      <c r="E148" s="1042"/>
      <c r="F148" s="1042"/>
      <c r="G148" s="1042"/>
      <c r="H148" s="1042"/>
      <c r="I148" s="1079"/>
    </row>
    <row r="149" spans="1:9">
      <c r="F149" s="690"/>
      <c r="I149" s="743"/>
    </row>
    <row r="150" spans="1:9" ht="15.75" thickBot="1">
      <c r="F150" s="690"/>
      <c r="I150" s="743"/>
    </row>
    <row r="151" spans="1:9" ht="33" customHeight="1" thickBot="1">
      <c r="A151" s="1073" t="s">
        <v>954</v>
      </c>
      <c r="B151" s="1074"/>
      <c r="C151" s="1074"/>
      <c r="D151" s="1074"/>
      <c r="E151" s="1074"/>
      <c r="F151" s="1074"/>
      <c r="G151" s="1074"/>
      <c r="H151" s="1075"/>
      <c r="I151" s="748">
        <f>+I10+I74+I93+I124+I138+I147</f>
        <v>372414.61000000004</v>
      </c>
    </row>
    <row r="152" spans="1:9">
      <c r="F152" s="690"/>
      <c r="G152" s="690">
        <f>+H152+I151</f>
        <v>452998.52</v>
      </c>
      <c r="H152" s="690">
        <f>+F19+F28+F37+F44+F83+F106+F49+F54+F59+F68+F135+F109</f>
        <v>80583.909999999989</v>
      </c>
      <c r="I152" s="743">
        <f>+H152+I151</f>
        <v>452998.52</v>
      </c>
    </row>
    <row r="154" spans="1:9">
      <c r="F154" s="690"/>
    </row>
  </sheetData>
  <mergeCells count="57">
    <mergeCell ref="A133:F133"/>
    <mergeCell ref="A147:H148"/>
    <mergeCell ref="I147:I148"/>
    <mergeCell ref="H97:H98"/>
    <mergeCell ref="I97:I98"/>
    <mergeCell ref="A120:F120"/>
    <mergeCell ref="A124:H125"/>
    <mergeCell ref="I124:I125"/>
    <mergeCell ref="G99:G105"/>
    <mergeCell ref="H99:H105"/>
    <mergeCell ref="I99:I105"/>
    <mergeCell ref="A113:F113"/>
    <mergeCell ref="A117:F117"/>
    <mergeCell ref="A151:H151"/>
    <mergeCell ref="A3:I4"/>
    <mergeCell ref="I10:I11"/>
    <mergeCell ref="A10:H11"/>
    <mergeCell ref="A128:F128"/>
    <mergeCell ref="A142:F142"/>
    <mergeCell ref="A138:H139"/>
    <mergeCell ref="I138:I139"/>
    <mergeCell ref="A97:F97"/>
    <mergeCell ref="A78:F78"/>
    <mergeCell ref="A47:F47"/>
    <mergeCell ref="A52:F52"/>
    <mergeCell ref="A66:F66"/>
    <mergeCell ref="A57:F57"/>
    <mergeCell ref="A62:F62"/>
    <mergeCell ref="A74:H75"/>
    <mergeCell ref="A1:I2"/>
    <mergeCell ref="A6:F6"/>
    <mergeCell ref="A22:F22"/>
    <mergeCell ref="A31:F31"/>
    <mergeCell ref="A40:F40"/>
    <mergeCell ref="A15:F15"/>
    <mergeCell ref="H15:H16"/>
    <mergeCell ref="I15:I16"/>
    <mergeCell ref="G17:G18"/>
    <mergeCell ref="H17:H18"/>
    <mergeCell ref="I17:I18"/>
    <mergeCell ref="I31:I32"/>
    <mergeCell ref="G33:G36"/>
    <mergeCell ref="H33:H36"/>
    <mergeCell ref="I33:I36"/>
    <mergeCell ref="H31:H32"/>
    <mergeCell ref="I74:I75"/>
    <mergeCell ref="A71:F71"/>
    <mergeCell ref="H22:H23"/>
    <mergeCell ref="I22:I23"/>
    <mergeCell ref="G24:G27"/>
    <mergeCell ref="H24:H27"/>
    <mergeCell ref="I24:I27"/>
    <mergeCell ref="A85:F85"/>
    <mergeCell ref="A108:F108"/>
    <mergeCell ref="A88:F88"/>
    <mergeCell ref="A93:H94"/>
    <mergeCell ref="I93:I94"/>
  </mergeCells>
  <pageMargins left="0.70866141732283472" right="0.70866141732283472" top="0.74803149606299213" bottom="0.74803149606299213" header="0.31496062992125984" footer="0.31496062992125984"/>
  <pageSetup paperSize="5" scale="45" fitToWidth="0" fitToHeight="0" orientation="portrait" r:id="rId1"/>
  <rowBreaks count="1" manualBreakCount="1">
    <brk id="15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">
    <tabColor theme="8"/>
  </sheetPr>
  <dimension ref="A1:AH93"/>
  <sheetViews>
    <sheetView view="pageBreakPreview" topLeftCell="A24" zoomScale="78" zoomScaleNormal="89" zoomScaleSheetLayoutView="78" workbookViewId="0">
      <selection activeCell="M34" sqref="M34"/>
    </sheetView>
  </sheetViews>
  <sheetFormatPr baseColWidth="10" defaultColWidth="11.42578125" defaultRowHeight="12.75"/>
  <cols>
    <col min="1" max="1" width="4.5703125" style="30" customWidth="1"/>
    <col min="2" max="2" width="4.42578125" style="30" customWidth="1"/>
    <col min="3" max="4" width="4.5703125" style="30" customWidth="1"/>
    <col min="5" max="5" width="6.140625" style="30" customWidth="1"/>
    <col min="6" max="6" width="8.42578125" style="30" customWidth="1"/>
    <col min="7" max="7" width="44.7109375" style="24" customWidth="1"/>
    <col min="8" max="8" width="20.85546875" style="263" customWidth="1"/>
    <col min="9" max="9" width="17.140625" style="24" customWidth="1"/>
    <col min="10" max="10" width="17.28515625" style="25" customWidth="1"/>
    <col min="11" max="11" width="15.85546875" style="25" customWidth="1"/>
    <col min="12" max="12" width="16.42578125" style="25" customWidth="1"/>
    <col min="13" max="13" width="15.7109375" style="25" customWidth="1"/>
    <col min="14" max="14" width="18" style="25" customWidth="1"/>
    <col min="15" max="15" width="12.7109375" style="25" customWidth="1"/>
    <col min="16" max="16" width="17.85546875" style="25" customWidth="1"/>
    <col min="17" max="17" width="16.7109375" style="25" customWidth="1"/>
    <col min="18" max="18" width="16.42578125" style="25" customWidth="1"/>
    <col min="19" max="19" width="17.28515625" style="25" customWidth="1"/>
    <col min="20" max="20" width="20" style="25" customWidth="1"/>
    <col min="21" max="21" width="17.140625" style="25" customWidth="1"/>
    <col min="22" max="22" width="16.140625" style="25" customWidth="1"/>
    <col min="23" max="23" width="15.85546875" style="25" customWidth="1"/>
    <col min="24" max="25" width="15.7109375" style="25" customWidth="1"/>
    <col min="26" max="27" width="17" style="25" customWidth="1"/>
    <col min="28" max="28" width="17.42578125" style="25" customWidth="1"/>
    <col min="29" max="29" width="16.140625" style="25" customWidth="1"/>
    <col min="30" max="30" width="16.7109375" style="25" customWidth="1"/>
    <col min="31" max="32" width="16.28515625" style="25" customWidth="1"/>
    <col min="33" max="33" width="19.140625" style="673" customWidth="1"/>
    <col min="34" max="34" width="20.5703125" style="25" customWidth="1"/>
    <col min="35" max="16384" width="11.42578125" style="25"/>
  </cols>
  <sheetData>
    <row r="1" spans="1:34" ht="20.25">
      <c r="A1" s="1104"/>
      <c r="B1" s="1104"/>
      <c r="C1" s="1104"/>
      <c r="D1" s="1104"/>
      <c r="E1" s="1104"/>
      <c r="F1" s="1104"/>
      <c r="G1" s="1104"/>
      <c r="H1" s="1104"/>
      <c r="I1" s="1105"/>
      <c r="J1" s="1106"/>
      <c r="K1" s="1106"/>
      <c r="L1" s="667"/>
      <c r="M1" s="667"/>
      <c r="N1" s="667"/>
      <c r="O1" s="667"/>
      <c r="AG1" s="25"/>
    </row>
    <row r="2" spans="1:34" ht="18">
      <c r="A2" s="1107" t="s">
        <v>1171</v>
      </c>
      <c r="B2" s="1107"/>
      <c r="C2" s="1107"/>
      <c r="D2" s="1107"/>
      <c r="E2" s="1107"/>
      <c r="F2" s="1107"/>
      <c r="G2" s="1107"/>
      <c r="H2" s="1107"/>
      <c r="I2" s="962"/>
      <c r="J2" s="963"/>
      <c r="K2" s="963"/>
      <c r="L2" s="963"/>
      <c r="M2" s="963"/>
      <c r="N2" s="970"/>
      <c r="O2" s="970"/>
      <c r="AG2" s="25"/>
    </row>
    <row r="3" spans="1:34" ht="15">
      <c r="A3" s="1107" t="s">
        <v>152</v>
      </c>
      <c r="B3" s="1107"/>
      <c r="C3" s="1107"/>
      <c r="D3" s="1107"/>
      <c r="E3" s="1107"/>
      <c r="F3" s="1107"/>
      <c r="G3" s="1107"/>
      <c r="H3" s="1107"/>
      <c r="I3" s="963"/>
      <c r="J3" s="963"/>
      <c r="K3" s="964"/>
      <c r="L3" s="964"/>
      <c r="M3" s="964"/>
      <c r="N3" s="35"/>
      <c r="O3" s="35"/>
      <c r="P3" s="35"/>
      <c r="Q3" s="35"/>
      <c r="R3" s="35"/>
      <c r="S3" s="35"/>
      <c r="AG3" s="25"/>
    </row>
    <row r="4" spans="1:34" ht="15">
      <c r="A4" s="1107" t="s">
        <v>967</v>
      </c>
      <c r="B4" s="1107"/>
      <c r="C4" s="1107"/>
      <c r="D4" s="1107"/>
      <c r="E4" s="1107"/>
      <c r="F4" s="1107"/>
      <c r="G4" s="1107"/>
      <c r="H4" s="1107"/>
      <c r="I4" s="963"/>
      <c r="J4" s="963"/>
      <c r="K4" s="964"/>
      <c r="L4" s="964"/>
      <c r="M4" s="964"/>
      <c r="N4" s="35"/>
      <c r="O4" s="35"/>
      <c r="P4" s="35"/>
      <c r="Q4" s="35"/>
      <c r="R4" s="35"/>
      <c r="S4" s="35"/>
      <c r="AG4" s="25"/>
    </row>
    <row r="5" spans="1:34" ht="14.25">
      <c r="A5" s="1108" t="s">
        <v>7</v>
      </c>
      <c r="B5" s="1108"/>
      <c r="C5" s="1108"/>
      <c r="D5" s="1108"/>
      <c r="E5" s="1108"/>
      <c r="F5" s="1108"/>
      <c r="G5" s="1108"/>
      <c r="H5" s="1108"/>
      <c r="I5" s="963"/>
      <c r="J5" s="963"/>
      <c r="K5" s="964"/>
      <c r="L5" s="964"/>
      <c r="M5" s="964"/>
      <c r="N5" s="35"/>
      <c r="O5" s="35"/>
      <c r="S5" s="35"/>
      <c r="AG5" s="25"/>
    </row>
    <row r="6" spans="1:34" ht="15">
      <c r="A6" s="1116" t="s">
        <v>9</v>
      </c>
      <c r="B6" s="1116"/>
      <c r="C6" s="1116"/>
      <c r="D6" s="1116"/>
      <c r="E6" s="1116"/>
      <c r="F6" s="1116"/>
      <c r="G6" s="1116"/>
      <c r="H6" s="1116"/>
      <c r="I6" s="963"/>
      <c r="J6" s="963"/>
      <c r="K6" s="964"/>
      <c r="L6" s="964"/>
      <c r="M6" s="964"/>
      <c r="N6" s="35"/>
      <c r="O6" s="35"/>
      <c r="S6" s="35"/>
      <c r="AG6" s="25"/>
    </row>
    <row r="7" spans="1:34" ht="15.75" thickBot="1">
      <c r="A7" s="1109" t="s">
        <v>47</v>
      </c>
      <c r="B7" s="1109"/>
      <c r="C7" s="1109"/>
      <c r="D7" s="1109"/>
      <c r="E7" s="1109"/>
      <c r="F7" s="1109"/>
      <c r="G7" s="1109"/>
      <c r="H7" s="1109"/>
      <c r="I7" s="963"/>
      <c r="J7" s="963"/>
      <c r="K7" s="964"/>
      <c r="L7" s="964"/>
      <c r="M7" s="964"/>
      <c r="N7" s="35"/>
      <c r="O7" s="35"/>
      <c r="P7" s="35"/>
      <c r="Q7" s="35"/>
      <c r="R7" s="35"/>
      <c r="S7" s="35"/>
      <c r="AG7" s="25"/>
    </row>
    <row r="8" spans="1:34" ht="13.5" customHeight="1" thickBot="1">
      <c r="A8" s="1110" t="s">
        <v>0</v>
      </c>
      <c r="B8" s="1111"/>
      <c r="C8" s="1111"/>
      <c r="D8" s="1111"/>
      <c r="E8" s="1111"/>
      <c r="F8" s="1111"/>
      <c r="G8" s="1112" t="s">
        <v>128</v>
      </c>
      <c r="H8" s="1114" t="s">
        <v>129</v>
      </c>
      <c r="I8" s="1100" t="s">
        <v>869</v>
      </c>
      <c r="J8" s="1100" t="s">
        <v>870</v>
      </c>
      <c r="K8" s="1100" t="s">
        <v>874</v>
      </c>
      <c r="L8" s="1100" t="s">
        <v>875</v>
      </c>
      <c r="M8" s="1100" t="s">
        <v>876</v>
      </c>
      <c r="N8" s="1093" t="s">
        <v>877</v>
      </c>
      <c r="O8" s="1095" t="s">
        <v>878</v>
      </c>
      <c r="P8" s="1095" t="s">
        <v>885</v>
      </c>
      <c r="Q8" s="1095" t="s">
        <v>913</v>
      </c>
      <c r="R8" s="1095" t="s">
        <v>956</v>
      </c>
      <c r="S8" s="1117" t="s">
        <v>886</v>
      </c>
      <c r="T8" s="1102" t="s">
        <v>887</v>
      </c>
      <c r="U8" s="1095" t="s">
        <v>890</v>
      </c>
      <c r="V8" s="1095" t="s">
        <v>891</v>
      </c>
      <c r="W8" s="1095" t="s">
        <v>892</v>
      </c>
      <c r="X8" s="1095" t="s">
        <v>893</v>
      </c>
      <c r="Y8" s="1095" t="s">
        <v>894</v>
      </c>
      <c r="Z8" s="1095" t="s">
        <v>899</v>
      </c>
      <c r="AA8" s="1093" t="s">
        <v>900</v>
      </c>
      <c r="AB8" s="1093" t="s">
        <v>901</v>
      </c>
      <c r="AC8" s="1093" t="s">
        <v>904</v>
      </c>
      <c r="AD8" s="1093" t="s">
        <v>905</v>
      </c>
      <c r="AE8" s="1093" t="s">
        <v>909</v>
      </c>
      <c r="AF8" s="1093" t="s">
        <v>1001</v>
      </c>
      <c r="AG8" s="1091" t="s">
        <v>957</v>
      </c>
      <c r="AH8" s="1091" t="s">
        <v>962</v>
      </c>
    </row>
    <row r="9" spans="1:34" ht="96.75" customHeight="1" thickBot="1">
      <c r="A9" s="965" t="s">
        <v>122</v>
      </c>
      <c r="B9" s="966" t="s">
        <v>131</v>
      </c>
      <c r="C9" s="966" t="s">
        <v>103</v>
      </c>
      <c r="D9" s="966" t="s">
        <v>124</v>
      </c>
      <c r="E9" s="967" t="s">
        <v>130</v>
      </c>
      <c r="F9" s="968" t="s">
        <v>88</v>
      </c>
      <c r="G9" s="1113"/>
      <c r="H9" s="1115"/>
      <c r="I9" s="1101"/>
      <c r="J9" s="1101"/>
      <c r="K9" s="1101"/>
      <c r="L9" s="1101"/>
      <c r="M9" s="1101"/>
      <c r="N9" s="1094"/>
      <c r="O9" s="1096"/>
      <c r="P9" s="1096"/>
      <c r="Q9" s="1096" t="s">
        <v>913</v>
      </c>
      <c r="R9" s="1096"/>
      <c r="S9" s="1118"/>
      <c r="T9" s="1103"/>
      <c r="U9" s="1096"/>
      <c r="V9" s="1096"/>
      <c r="W9" s="1096"/>
      <c r="X9" s="1096"/>
      <c r="Y9" s="1096"/>
      <c r="Z9" s="1096"/>
      <c r="AA9" s="1094"/>
      <c r="AB9" s="1094"/>
      <c r="AC9" s="1094"/>
      <c r="AD9" s="1094"/>
      <c r="AE9" s="1094"/>
      <c r="AF9" s="1094"/>
      <c r="AG9" s="1092"/>
      <c r="AH9" s="1092"/>
    </row>
    <row r="10" spans="1:34" s="551" customFormat="1" ht="15.75" customHeight="1">
      <c r="A10" s="945">
        <v>1</v>
      </c>
      <c r="B10" s="946" t="s">
        <v>43</v>
      </c>
      <c r="C10" s="946" t="s">
        <v>43</v>
      </c>
      <c r="D10" s="946" t="s">
        <v>44</v>
      </c>
      <c r="E10" s="947" t="s">
        <v>48</v>
      </c>
      <c r="F10" s="948">
        <v>51101</v>
      </c>
      <c r="G10" s="949" t="s">
        <v>30</v>
      </c>
      <c r="H10" s="950">
        <f>'ok-Planillas 2023'!E83</f>
        <v>158850</v>
      </c>
      <c r="I10" s="950"/>
      <c r="J10" s="950"/>
      <c r="K10" s="950"/>
      <c r="L10" s="950"/>
      <c r="M10" s="950"/>
      <c r="N10" s="322"/>
      <c r="O10" s="322"/>
      <c r="P10" s="322"/>
      <c r="Q10" s="322"/>
      <c r="R10" s="322"/>
      <c r="S10" s="322">
        <f>SUM(I10:R10)</f>
        <v>0</v>
      </c>
      <c r="T10" s="674"/>
      <c r="U10" s="322"/>
      <c r="V10" s="322"/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  <c r="AG10" s="674"/>
      <c r="AH10" s="674"/>
    </row>
    <row r="11" spans="1:34" s="551" customFormat="1" ht="15.75" customHeight="1">
      <c r="A11" s="945">
        <v>1</v>
      </c>
      <c r="B11" s="946" t="s">
        <v>43</v>
      </c>
      <c r="C11" s="946" t="s">
        <v>43</v>
      </c>
      <c r="D11" s="946" t="s">
        <v>44</v>
      </c>
      <c r="E11" s="947" t="s">
        <v>48</v>
      </c>
      <c r="F11" s="948">
        <v>51103</v>
      </c>
      <c r="G11" s="949" t="s">
        <v>31</v>
      </c>
      <c r="H11" s="950">
        <f>'ok-Planillas 2023'!D80</f>
        <v>39712.5</v>
      </c>
      <c r="I11" s="950"/>
      <c r="J11" s="950"/>
      <c r="K11" s="950"/>
      <c r="L11" s="950"/>
      <c r="M11" s="950"/>
      <c r="N11" s="322"/>
      <c r="O11" s="322"/>
      <c r="P11" s="322"/>
      <c r="Q11" s="322"/>
      <c r="R11" s="322"/>
      <c r="S11" s="322">
        <f>SUM(I11:R11)</f>
        <v>0</v>
      </c>
      <c r="T11" s="674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674"/>
      <c r="AH11" s="674"/>
    </row>
    <row r="12" spans="1:34" s="551" customFormat="1" ht="15.75" customHeight="1">
      <c r="A12" s="945">
        <v>1</v>
      </c>
      <c r="B12" s="946" t="s">
        <v>43</v>
      </c>
      <c r="C12" s="946" t="s">
        <v>43</v>
      </c>
      <c r="D12" s="946" t="s">
        <v>44</v>
      </c>
      <c r="E12" s="947" t="s">
        <v>48</v>
      </c>
      <c r="F12" s="948">
        <v>51105</v>
      </c>
      <c r="G12" s="949" t="s">
        <v>62</v>
      </c>
      <c r="H12" s="950">
        <f>'ok-Planillas 2023'!C104</f>
        <v>47040</v>
      </c>
      <c r="I12" s="950"/>
      <c r="J12" s="950"/>
      <c r="K12" s="950"/>
      <c r="L12" s="950"/>
      <c r="M12" s="950"/>
      <c r="N12" s="322"/>
      <c r="O12" s="322"/>
      <c r="P12" s="322"/>
      <c r="Q12" s="322"/>
      <c r="R12" s="322"/>
      <c r="S12" s="322">
        <f t="shared" ref="S12:S23" si="0">SUM(I12:R12)</f>
        <v>0</v>
      </c>
      <c r="T12" s="674"/>
      <c r="U12" s="322"/>
      <c r="V12" s="322"/>
      <c r="W12" s="322"/>
      <c r="X12" s="322"/>
      <c r="Y12" s="322"/>
      <c r="Z12" s="322"/>
      <c r="AA12" s="322"/>
      <c r="AB12" s="322"/>
      <c r="AC12" s="322"/>
      <c r="AD12" s="322"/>
      <c r="AE12" s="322"/>
      <c r="AF12" s="322"/>
      <c r="AG12" s="674"/>
      <c r="AH12" s="674"/>
    </row>
    <row r="13" spans="1:34" s="551" customFormat="1" ht="15.75" customHeight="1">
      <c r="A13" s="945">
        <v>1</v>
      </c>
      <c r="B13" s="946" t="s">
        <v>43</v>
      </c>
      <c r="C13" s="946" t="s">
        <v>43</v>
      </c>
      <c r="D13" s="946" t="s">
        <v>44</v>
      </c>
      <c r="E13" s="947" t="s">
        <v>48</v>
      </c>
      <c r="F13" s="948">
        <v>51106</v>
      </c>
      <c r="G13" s="949" t="s">
        <v>504</v>
      </c>
      <c r="H13" s="950">
        <v>2500</v>
      </c>
      <c r="I13" s="950"/>
      <c r="J13" s="950"/>
      <c r="K13" s="950"/>
      <c r="L13" s="950"/>
      <c r="M13" s="950"/>
      <c r="N13" s="322"/>
      <c r="O13" s="322"/>
      <c r="P13" s="322"/>
      <c r="Q13" s="322"/>
      <c r="R13" s="322"/>
      <c r="S13" s="322">
        <f t="shared" si="0"/>
        <v>0</v>
      </c>
      <c r="T13" s="674"/>
      <c r="U13" s="322"/>
      <c r="V13" s="322"/>
      <c r="W13" s="322"/>
      <c r="X13" s="322"/>
      <c r="Y13" s="322"/>
      <c r="Z13" s="322"/>
      <c r="AA13" s="322"/>
      <c r="AB13" s="322"/>
      <c r="AC13" s="322"/>
      <c r="AD13" s="322"/>
      <c r="AE13" s="322"/>
      <c r="AF13" s="322"/>
      <c r="AG13" s="674"/>
      <c r="AH13" s="674"/>
    </row>
    <row r="14" spans="1:34" s="551" customFormat="1" ht="15.75" customHeight="1">
      <c r="A14" s="945">
        <v>1</v>
      </c>
      <c r="B14" s="946" t="s">
        <v>43</v>
      </c>
      <c r="C14" s="946" t="s">
        <v>43</v>
      </c>
      <c r="D14" s="946" t="s">
        <v>44</v>
      </c>
      <c r="E14" s="947" t="s">
        <v>48</v>
      </c>
      <c r="F14" s="948">
        <v>51107</v>
      </c>
      <c r="G14" s="949" t="s">
        <v>461</v>
      </c>
      <c r="H14" s="950">
        <f>'ok-Planillas 2023'!C80</f>
        <v>13400</v>
      </c>
      <c r="I14" s="950"/>
      <c r="J14" s="950"/>
      <c r="K14" s="950"/>
      <c r="L14" s="950"/>
      <c r="M14" s="950"/>
      <c r="N14" s="322"/>
      <c r="O14" s="322"/>
      <c r="P14" s="322"/>
      <c r="Q14" s="322"/>
      <c r="R14" s="322"/>
      <c r="S14" s="322">
        <f t="shared" si="0"/>
        <v>0</v>
      </c>
      <c r="T14" s="674"/>
      <c r="U14" s="322"/>
      <c r="V14" s="322"/>
      <c r="W14" s="322"/>
      <c r="X14" s="322"/>
      <c r="Y14" s="322"/>
      <c r="Z14" s="322"/>
      <c r="AA14" s="322"/>
      <c r="AB14" s="322"/>
      <c r="AC14" s="322"/>
      <c r="AD14" s="322"/>
      <c r="AE14" s="322"/>
      <c r="AF14" s="322"/>
      <c r="AG14" s="674"/>
      <c r="AH14" s="674"/>
    </row>
    <row r="15" spans="1:34" ht="15.75" customHeight="1">
      <c r="A15" s="945">
        <v>1</v>
      </c>
      <c r="B15" s="946" t="s">
        <v>43</v>
      </c>
      <c r="C15" s="946" t="s">
        <v>43</v>
      </c>
      <c r="D15" s="946" t="s">
        <v>44</v>
      </c>
      <c r="E15" s="947" t="s">
        <v>48</v>
      </c>
      <c r="F15" s="948">
        <v>51201</v>
      </c>
      <c r="G15" s="949" t="s">
        <v>585</v>
      </c>
      <c r="H15" s="950">
        <f>+'ok-Planillas 2023'!F112</f>
        <v>5520</v>
      </c>
      <c r="I15" s="950"/>
      <c r="J15" s="950"/>
      <c r="K15" s="950"/>
      <c r="L15" s="950"/>
      <c r="M15" s="950"/>
      <c r="N15" s="322"/>
      <c r="O15" s="322"/>
      <c r="P15" s="322"/>
      <c r="Q15" s="322"/>
      <c r="R15" s="322"/>
      <c r="S15" s="322">
        <f t="shared" si="0"/>
        <v>0</v>
      </c>
      <c r="T15" s="674"/>
      <c r="U15" s="322"/>
      <c r="V15" s="322"/>
      <c r="W15" s="322"/>
      <c r="X15" s="322"/>
      <c r="Y15" s="322"/>
      <c r="Z15" s="322"/>
      <c r="AA15" s="322"/>
      <c r="AB15" s="322"/>
      <c r="AC15" s="322"/>
      <c r="AD15" s="322"/>
      <c r="AE15" s="322"/>
      <c r="AF15" s="322"/>
      <c r="AG15" s="674"/>
      <c r="AH15" s="674"/>
    </row>
    <row r="16" spans="1:34" s="551" customFormat="1" ht="15.6" customHeight="1">
      <c r="A16" s="945">
        <v>1</v>
      </c>
      <c r="B16" s="946" t="s">
        <v>43</v>
      </c>
      <c r="C16" s="946" t="s">
        <v>43</v>
      </c>
      <c r="D16" s="946" t="s">
        <v>44</v>
      </c>
      <c r="E16" s="947" t="s">
        <v>48</v>
      </c>
      <c r="F16" s="948">
        <v>51202</v>
      </c>
      <c r="G16" s="949" t="s">
        <v>316</v>
      </c>
      <c r="H16" s="950">
        <f>'ok-Planillas 2023'!D118</f>
        <v>6000</v>
      </c>
      <c r="I16" s="950"/>
      <c r="J16" s="950"/>
      <c r="K16" s="950"/>
      <c r="L16" s="950"/>
      <c r="M16" s="950"/>
      <c r="N16" s="322"/>
      <c r="O16" s="322"/>
      <c r="P16" s="322"/>
      <c r="Q16" s="322"/>
      <c r="R16" s="322"/>
      <c r="S16" s="322">
        <f t="shared" si="0"/>
        <v>0</v>
      </c>
      <c r="T16" s="674"/>
      <c r="U16" s="322">
        <v>5600</v>
      </c>
      <c r="V16" s="322"/>
      <c r="W16" s="322"/>
      <c r="X16" s="322"/>
      <c r="Y16" s="322"/>
      <c r="Z16" s="322"/>
      <c r="AA16" s="322"/>
      <c r="AB16" s="322"/>
      <c r="AC16" s="322"/>
      <c r="AD16" s="322"/>
      <c r="AE16" s="322"/>
      <c r="AF16" s="322"/>
      <c r="AG16" s="674"/>
      <c r="AH16" s="674"/>
    </row>
    <row r="17" spans="1:34" ht="15.75" customHeight="1">
      <c r="A17" s="951">
        <v>1</v>
      </c>
      <c r="B17" s="946" t="s">
        <v>43</v>
      </c>
      <c r="C17" s="947" t="s">
        <v>43</v>
      </c>
      <c r="D17" s="947" t="s">
        <v>44</v>
      </c>
      <c r="E17" s="947" t="s">
        <v>48</v>
      </c>
      <c r="F17" s="952">
        <v>51203</v>
      </c>
      <c r="G17" s="953" t="s">
        <v>31</v>
      </c>
      <c r="H17" s="954"/>
      <c r="I17" s="954"/>
      <c r="J17" s="954"/>
      <c r="K17" s="954"/>
      <c r="L17" s="954"/>
      <c r="M17" s="954"/>
      <c r="N17" s="323"/>
      <c r="O17" s="323"/>
      <c r="P17" s="323"/>
      <c r="Q17" s="322"/>
      <c r="R17" s="322"/>
      <c r="S17" s="322">
        <f t="shared" si="0"/>
        <v>0</v>
      </c>
      <c r="T17" s="674"/>
      <c r="U17" s="322"/>
      <c r="V17" s="322"/>
      <c r="W17" s="322"/>
      <c r="X17" s="322"/>
      <c r="Y17" s="322"/>
      <c r="Z17" s="322"/>
      <c r="AA17" s="322"/>
      <c r="AB17" s="322"/>
      <c r="AC17" s="322"/>
      <c r="AD17" s="322"/>
      <c r="AE17" s="322"/>
      <c r="AF17" s="322"/>
      <c r="AG17" s="674"/>
      <c r="AH17" s="674"/>
    </row>
    <row r="18" spans="1:34" ht="15.75" customHeight="1">
      <c r="A18" s="951">
        <v>1</v>
      </c>
      <c r="B18" s="946" t="s">
        <v>43</v>
      </c>
      <c r="C18" s="947" t="s">
        <v>43</v>
      </c>
      <c r="D18" s="947" t="s">
        <v>44</v>
      </c>
      <c r="E18" s="947" t="s">
        <v>48</v>
      </c>
      <c r="F18" s="952">
        <v>51301</v>
      </c>
      <c r="G18" s="953" t="s">
        <v>534</v>
      </c>
      <c r="H18" s="954">
        <f>+'ok-Planillas 2023'!F123</f>
        <v>900</v>
      </c>
      <c r="I18" s="954"/>
      <c r="J18" s="954"/>
      <c r="K18" s="954"/>
      <c r="L18" s="954"/>
      <c r="M18" s="954"/>
      <c r="N18" s="323"/>
      <c r="O18" s="323"/>
      <c r="P18" s="323"/>
      <c r="Q18" s="322"/>
      <c r="R18" s="322"/>
      <c r="S18" s="322">
        <f t="shared" si="0"/>
        <v>0</v>
      </c>
      <c r="T18" s="674"/>
      <c r="U18" s="322"/>
      <c r="V18" s="322"/>
      <c r="W18" s="322"/>
      <c r="X18" s="322"/>
      <c r="Y18" s="322"/>
      <c r="Z18" s="322"/>
      <c r="AA18" s="322"/>
      <c r="AB18" s="322"/>
      <c r="AC18" s="322"/>
      <c r="AD18" s="322"/>
      <c r="AE18" s="322"/>
      <c r="AF18" s="322"/>
      <c r="AG18" s="674"/>
      <c r="AH18" s="674"/>
    </row>
    <row r="19" spans="1:34" s="551" customFormat="1" ht="15.75" customHeight="1">
      <c r="A19" s="951">
        <v>1</v>
      </c>
      <c r="B19" s="946" t="s">
        <v>43</v>
      </c>
      <c r="C19" s="947" t="s">
        <v>43</v>
      </c>
      <c r="D19" s="947" t="s">
        <v>44</v>
      </c>
      <c r="E19" s="947" t="s">
        <v>48</v>
      </c>
      <c r="F19" s="952">
        <v>51401</v>
      </c>
      <c r="G19" s="953" t="s">
        <v>32</v>
      </c>
      <c r="H19" s="954">
        <f>'ok-Planillas 2023'!F104</f>
        <v>16603.05</v>
      </c>
      <c r="I19" s="954"/>
      <c r="J19" s="954"/>
      <c r="K19" s="954"/>
      <c r="L19" s="954"/>
      <c r="M19" s="954"/>
      <c r="N19" s="323"/>
      <c r="O19" s="323"/>
      <c r="P19" s="323"/>
      <c r="Q19" s="322"/>
      <c r="R19" s="322"/>
      <c r="S19" s="322">
        <f t="shared" si="0"/>
        <v>0</v>
      </c>
      <c r="T19" s="674"/>
      <c r="U19" s="322"/>
      <c r="V19" s="322"/>
      <c r="W19" s="322"/>
      <c r="X19" s="322"/>
      <c r="Y19" s="322"/>
      <c r="Z19" s="322"/>
      <c r="AA19" s="322"/>
      <c r="AB19" s="322"/>
      <c r="AC19" s="322"/>
      <c r="AD19" s="322"/>
      <c r="AE19" s="322"/>
      <c r="AF19" s="322"/>
      <c r="AG19" s="674"/>
      <c r="AH19" s="674"/>
    </row>
    <row r="20" spans="1:34" s="551" customFormat="1" ht="15.75" customHeight="1">
      <c r="A20" s="951">
        <v>1</v>
      </c>
      <c r="B20" s="946" t="s">
        <v>43</v>
      </c>
      <c r="C20" s="947" t="s">
        <v>43</v>
      </c>
      <c r="D20" s="947" t="s">
        <v>44</v>
      </c>
      <c r="E20" s="947" t="s">
        <v>48</v>
      </c>
      <c r="F20" s="952">
        <v>51501</v>
      </c>
      <c r="G20" s="953" t="s">
        <v>32</v>
      </c>
      <c r="H20" s="954">
        <f>'ok-Planillas 2023'!H104</f>
        <v>17091.375</v>
      </c>
      <c r="I20" s="954"/>
      <c r="J20" s="954"/>
      <c r="K20" s="954"/>
      <c r="L20" s="954"/>
      <c r="M20" s="954"/>
      <c r="N20" s="323"/>
      <c r="O20" s="323"/>
      <c r="P20" s="323"/>
      <c r="Q20" s="322"/>
      <c r="R20" s="322"/>
      <c r="S20" s="322">
        <f t="shared" si="0"/>
        <v>0</v>
      </c>
      <c r="T20" s="674"/>
      <c r="U20" s="322"/>
      <c r="V20" s="322"/>
      <c r="W20" s="322"/>
      <c r="X20" s="322"/>
      <c r="Y20" s="322"/>
      <c r="Z20" s="322"/>
      <c r="AA20" s="322"/>
      <c r="AB20" s="322"/>
      <c r="AC20" s="322"/>
      <c r="AD20" s="322"/>
      <c r="AE20" s="322"/>
      <c r="AF20" s="322"/>
      <c r="AG20" s="674"/>
      <c r="AH20" s="674"/>
    </row>
    <row r="21" spans="1:34" ht="15.75" customHeight="1">
      <c r="A21" s="951">
        <v>1</v>
      </c>
      <c r="B21" s="946" t="s">
        <v>43</v>
      </c>
      <c r="C21" s="947" t="s">
        <v>43</v>
      </c>
      <c r="D21" s="947" t="s">
        <v>44</v>
      </c>
      <c r="E21" s="947" t="s">
        <v>48</v>
      </c>
      <c r="F21" s="952">
        <v>51501</v>
      </c>
      <c r="G21" s="953" t="s">
        <v>516</v>
      </c>
      <c r="H21" s="954"/>
      <c r="I21" s="954"/>
      <c r="J21" s="954"/>
      <c r="K21" s="954"/>
      <c r="L21" s="954"/>
      <c r="M21" s="954"/>
      <c r="N21" s="323"/>
      <c r="O21" s="323"/>
      <c r="P21" s="323"/>
      <c r="Q21" s="322"/>
      <c r="R21" s="322"/>
      <c r="S21" s="322">
        <f t="shared" si="0"/>
        <v>0</v>
      </c>
      <c r="T21" s="674"/>
      <c r="U21" s="322"/>
      <c r="V21" s="322"/>
      <c r="W21" s="322"/>
      <c r="X21" s="322"/>
      <c r="Y21" s="322"/>
      <c r="Z21" s="322"/>
      <c r="AA21" s="322"/>
      <c r="AB21" s="322"/>
      <c r="AC21" s="322"/>
      <c r="AD21" s="322"/>
      <c r="AE21" s="322"/>
      <c r="AF21" s="322"/>
      <c r="AG21" s="674"/>
      <c r="AH21" s="674"/>
    </row>
    <row r="22" spans="1:34" ht="15.75" customHeight="1">
      <c r="A22" s="951">
        <v>1</v>
      </c>
      <c r="B22" s="946" t="s">
        <v>43</v>
      </c>
      <c r="C22" s="947" t="s">
        <v>43</v>
      </c>
      <c r="D22" s="947" t="s">
        <v>44</v>
      </c>
      <c r="E22" s="947" t="s">
        <v>48</v>
      </c>
      <c r="F22" s="952">
        <v>51602</v>
      </c>
      <c r="G22" s="953" t="s">
        <v>308</v>
      </c>
      <c r="H22" s="954"/>
      <c r="I22" s="954"/>
      <c r="J22" s="954"/>
      <c r="K22" s="954"/>
      <c r="L22" s="954"/>
      <c r="M22" s="954"/>
      <c r="N22" s="323"/>
      <c r="O22" s="323"/>
      <c r="P22" s="323"/>
      <c r="Q22" s="322"/>
      <c r="R22" s="322"/>
      <c r="S22" s="322">
        <f t="shared" si="0"/>
        <v>0</v>
      </c>
      <c r="T22" s="674"/>
      <c r="U22" s="322"/>
      <c r="V22" s="322"/>
      <c r="W22" s="322"/>
      <c r="X22" s="322"/>
      <c r="Y22" s="322"/>
      <c r="Z22" s="322"/>
      <c r="AA22" s="322"/>
      <c r="AB22" s="322"/>
      <c r="AC22" s="322"/>
      <c r="AD22" s="322"/>
      <c r="AE22" s="322"/>
      <c r="AF22" s="322"/>
      <c r="AG22" s="674"/>
      <c r="AH22" s="674"/>
    </row>
    <row r="23" spans="1:34" s="551" customFormat="1" ht="15.75" customHeight="1">
      <c r="A23" s="951">
        <v>1</v>
      </c>
      <c r="B23" s="946" t="s">
        <v>43</v>
      </c>
      <c r="C23" s="947" t="s">
        <v>43</v>
      </c>
      <c r="D23" s="947" t="s">
        <v>44</v>
      </c>
      <c r="E23" s="947" t="s">
        <v>48</v>
      </c>
      <c r="F23" s="952">
        <v>51701</v>
      </c>
      <c r="G23" s="953" t="s">
        <v>558</v>
      </c>
      <c r="H23" s="954">
        <v>45000</v>
      </c>
      <c r="I23" s="954"/>
      <c r="J23" s="954"/>
      <c r="K23" s="954"/>
      <c r="L23" s="954"/>
      <c r="M23" s="954"/>
      <c r="N23" s="323"/>
      <c r="O23" s="323"/>
      <c r="P23" s="323"/>
      <c r="Q23" s="322"/>
      <c r="R23" s="322"/>
      <c r="S23" s="322">
        <f t="shared" si="0"/>
        <v>0</v>
      </c>
      <c r="T23" s="674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674"/>
      <c r="AH23" s="674"/>
    </row>
    <row r="24" spans="1:34" s="551" customFormat="1" ht="15.75" customHeight="1">
      <c r="A24" s="951">
        <v>1</v>
      </c>
      <c r="B24" s="946" t="s">
        <v>43</v>
      </c>
      <c r="C24" s="947" t="s">
        <v>43</v>
      </c>
      <c r="D24" s="947" t="s">
        <v>44</v>
      </c>
      <c r="E24" s="947" t="s">
        <v>48</v>
      </c>
      <c r="F24" s="952">
        <v>51999</v>
      </c>
      <c r="G24" s="953" t="s">
        <v>517</v>
      </c>
      <c r="H24" s="954">
        <v>1000</v>
      </c>
      <c r="I24" s="954"/>
      <c r="J24" s="954"/>
      <c r="K24" s="954"/>
      <c r="L24" s="954"/>
      <c r="M24" s="954"/>
      <c r="N24" s="323"/>
      <c r="O24" s="323"/>
      <c r="P24" s="323"/>
      <c r="Q24" s="322"/>
      <c r="R24" s="322"/>
      <c r="S24" s="322">
        <f>SUM(I24:R24)</f>
        <v>0</v>
      </c>
      <c r="T24" s="674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674"/>
      <c r="AH24" s="674"/>
    </row>
    <row r="25" spans="1:34" s="551" customFormat="1" ht="15.75" customHeight="1">
      <c r="A25" s="951">
        <v>1</v>
      </c>
      <c r="B25" s="946" t="s">
        <v>43</v>
      </c>
      <c r="C25" s="947" t="s">
        <v>43</v>
      </c>
      <c r="D25" s="947" t="s">
        <v>44</v>
      </c>
      <c r="E25" s="947" t="s">
        <v>48</v>
      </c>
      <c r="F25" s="952">
        <v>54101</v>
      </c>
      <c r="G25" s="953" t="s">
        <v>33</v>
      </c>
      <c r="H25" s="954">
        <v>10000</v>
      </c>
      <c r="I25" s="954">
        <v>2500</v>
      </c>
      <c r="J25" s="954"/>
      <c r="K25" s="954">
        <v>1000</v>
      </c>
      <c r="L25" s="954">
        <v>800</v>
      </c>
      <c r="M25" s="954">
        <v>500</v>
      </c>
      <c r="N25" s="323">
        <v>295</v>
      </c>
      <c r="O25" s="323"/>
      <c r="P25" s="323">
        <v>500</v>
      </c>
      <c r="Q25" s="322">
        <v>700</v>
      </c>
      <c r="R25" s="322"/>
      <c r="S25" s="322">
        <f>SUM(I25:R25)</f>
        <v>6295</v>
      </c>
      <c r="T25" s="674">
        <f>H25-S25</f>
        <v>3705</v>
      </c>
      <c r="U25" s="322"/>
      <c r="V25" s="322"/>
      <c r="W25" s="322"/>
      <c r="X25" s="322">
        <v>0</v>
      </c>
      <c r="Y25" s="322">
        <v>700</v>
      </c>
      <c r="Z25" s="322">
        <v>500</v>
      </c>
      <c r="AA25" s="322"/>
      <c r="AB25" s="322"/>
      <c r="AC25" s="322"/>
      <c r="AD25" s="322">
        <v>25</v>
      </c>
      <c r="AE25" s="322"/>
      <c r="AF25" s="322"/>
      <c r="AG25" s="674">
        <f>SUM(U25:AF25)</f>
        <v>1225</v>
      </c>
      <c r="AH25" s="674">
        <f>T25-AG25</f>
        <v>2480</v>
      </c>
    </row>
    <row r="26" spans="1:34" s="551" customFormat="1" ht="15.75" customHeight="1">
      <c r="A26" s="951">
        <v>1</v>
      </c>
      <c r="B26" s="946" t="s">
        <v>43</v>
      </c>
      <c r="C26" s="947" t="s">
        <v>43</v>
      </c>
      <c r="D26" s="947" t="s">
        <v>44</v>
      </c>
      <c r="E26" s="947" t="s">
        <v>48</v>
      </c>
      <c r="F26" s="952">
        <v>54104</v>
      </c>
      <c r="G26" s="953" t="s">
        <v>133</v>
      </c>
      <c r="H26" s="954">
        <v>7000</v>
      </c>
      <c r="I26" s="954"/>
      <c r="J26" s="954"/>
      <c r="K26" s="954"/>
      <c r="L26" s="954"/>
      <c r="M26" s="954"/>
      <c r="N26" s="323"/>
      <c r="O26" s="323"/>
      <c r="P26" s="323"/>
      <c r="Q26" s="322"/>
      <c r="R26" s="322">
        <v>1000</v>
      </c>
      <c r="S26" s="322">
        <f>SUM(I26:R26)</f>
        <v>1000</v>
      </c>
      <c r="T26" s="674">
        <f t="shared" ref="T26:T55" si="1">H26-S26</f>
        <v>6000</v>
      </c>
      <c r="U26" s="322"/>
      <c r="V26" s="322"/>
      <c r="W26" s="322"/>
      <c r="X26" s="322">
        <v>0</v>
      </c>
      <c r="Y26" s="322"/>
      <c r="Z26" s="322"/>
      <c r="AA26" s="322"/>
      <c r="AB26" s="322"/>
      <c r="AC26" s="322"/>
      <c r="AD26" s="322"/>
      <c r="AE26" s="322">
        <v>4777</v>
      </c>
      <c r="AF26" s="322"/>
      <c r="AG26" s="674">
        <f t="shared" ref="AG26:AG85" si="2">SUM(U26:AF26)</f>
        <v>4777</v>
      </c>
      <c r="AH26" s="674">
        <f>T26-AG26</f>
        <v>1223</v>
      </c>
    </row>
    <row r="27" spans="1:34" s="551" customFormat="1" ht="15.75" customHeight="1">
      <c r="A27" s="951">
        <v>1</v>
      </c>
      <c r="B27" s="946" t="s">
        <v>43</v>
      </c>
      <c r="C27" s="947" t="s">
        <v>43</v>
      </c>
      <c r="D27" s="947" t="s">
        <v>44</v>
      </c>
      <c r="E27" s="947" t="s">
        <v>48</v>
      </c>
      <c r="F27" s="952">
        <v>54105</v>
      </c>
      <c r="G27" s="953" t="s">
        <v>34</v>
      </c>
      <c r="H27" s="954">
        <v>2900</v>
      </c>
      <c r="I27" s="954">
        <v>0</v>
      </c>
      <c r="J27" s="954"/>
      <c r="K27" s="954"/>
      <c r="L27" s="954"/>
      <c r="M27" s="954"/>
      <c r="N27" s="323"/>
      <c r="O27" s="323"/>
      <c r="P27" s="323"/>
      <c r="Q27" s="322"/>
      <c r="R27" s="322">
        <v>1000</v>
      </c>
      <c r="S27" s="322">
        <f t="shared" ref="S27:S85" si="3">SUM(I27:R27)</f>
        <v>1000</v>
      </c>
      <c r="T27" s="674">
        <f t="shared" si="1"/>
        <v>1900</v>
      </c>
      <c r="U27" s="322"/>
      <c r="V27" s="322">
        <v>1500</v>
      </c>
      <c r="W27" s="322"/>
      <c r="X27" s="322">
        <v>0</v>
      </c>
      <c r="Y27" s="322"/>
      <c r="Z27" s="322"/>
      <c r="AA27" s="322"/>
      <c r="AB27" s="322"/>
      <c r="AC27" s="322"/>
      <c r="AD27" s="322"/>
      <c r="AE27" s="322"/>
      <c r="AF27" s="322"/>
      <c r="AG27" s="674">
        <f t="shared" si="2"/>
        <v>1500</v>
      </c>
      <c r="AH27" s="674">
        <f t="shared" ref="AH27:AH76" si="4">T27-AG27</f>
        <v>400</v>
      </c>
    </row>
    <row r="28" spans="1:34" s="551" customFormat="1" ht="15.75" customHeight="1">
      <c r="A28" s="951">
        <v>1</v>
      </c>
      <c r="B28" s="946" t="s">
        <v>43</v>
      </c>
      <c r="C28" s="947" t="s">
        <v>43</v>
      </c>
      <c r="D28" s="947" t="s">
        <v>44</v>
      </c>
      <c r="E28" s="947" t="s">
        <v>48</v>
      </c>
      <c r="F28" s="952">
        <v>54106</v>
      </c>
      <c r="G28" s="953" t="s">
        <v>134</v>
      </c>
      <c r="H28" s="954">
        <v>3000</v>
      </c>
      <c r="I28" s="954"/>
      <c r="J28" s="954"/>
      <c r="K28" s="954"/>
      <c r="L28" s="954"/>
      <c r="M28" s="954"/>
      <c r="N28" s="323"/>
      <c r="O28" s="323"/>
      <c r="P28" s="323"/>
      <c r="Q28" s="322"/>
      <c r="R28" s="322"/>
      <c r="S28" s="322">
        <f t="shared" si="3"/>
        <v>0</v>
      </c>
      <c r="T28" s="674">
        <f t="shared" si="1"/>
        <v>3000</v>
      </c>
      <c r="U28" s="322">
        <v>1200</v>
      </c>
      <c r="V28" s="322">
        <v>12</v>
      </c>
      <c r="W28" s="322">
        <v>700</v>
      </c>
      <c r="X28" s="322">
        <v>10</v>
      </c>
      <c r="Y28" s="322"/>
      <c r="Z28" s="322"/>
      <c r="AA28" s="322"/>
      <c r="AB28" s="322"/>
      <c r="AC28" s="322"/>
      <c r="AD28" s="322"/>
      <c r="AE28" s="322"/>
      <c r="AF28" s="322"/>
      <c r="AG28" s="674">
        <f t="shared" si="2"/>
        <v>1922</v>
      </c>
      <c r="AH28" s="674">
        <f t="shared" si="4"/>
        <v>1078</v>
      </c>
    </row>
    <row r="29" spans="1:34" s="551" customFormat="1" ht="15.75" customHeight="1">
      <c r="A29" s="951">
        <v>1</v>
      </c>
      <c r="B29" s="946" t="s">
        <v>43</v>
      </c>
      <c r="C29" s="947" t="s">
        <v>43</v>
      </c>
      <c r="D29" s="947" t="s">
        <v>44</v>
      </c>
      <c r="E29" s="947" t="s">
        <v>48</v>
      </c>
      <c r="F29" s="952">
        <v>54107</v>
      </c>
      <c r="G29" s="953" t="s">
        <v>135</v>
      </c>
      <c r="H29" s="954">
        <v>2100</v>
      </c>
      <c r="I29" s="954">
        <v>0</v>
      </c>
      <c r="J29" s="954">
        <v>0</v>
      </c>
      <c r="K29" s="954"/>
      <c r="L29" s="954"/>
      <c r="M29" s="954"/>
      <c r="N29" s="323"/>
      <c r="O29" s="323"/>
      <c r="P29" s="323"/>
      <c r="Q29" s="322">
        <v>500</v>
      </c>
      <c r="R29" s="322">
        <v>1000</v>
      </c>
      <c r="S29" s="322">
        <f t="shared" si="3"/>
        <v>1500</v>
      </c>
      <c r="T29" s="674">
        <f t="shared" si="1"/>
        <v>600</v>
      </c>
      <c r="U29" s="322"/>
      <c r="V29" s="322"/>
      <c r="W29" s="322">
        <v>50</v>
      </c>
      <c r="X29" s="322">
        <v>0</v>
      </c>
      <c r="Y29" s="322"/>
      <c r="Z29" s="322"/>
      <c r="AA29" s="322"/>
      <c r="AB29" s="322"/>
      <c r="AC29" s="322"/>
      <c r="AD29" s="322">
        <v>200</v>
      </c>
      <c r="AE29" s="322">
        <v>342</v>
      </c>
      <c r="AF29" s="322"/>
      <c r="AG29" s="674">
        <f t="shared" si="2"/>
        <v>592</v>
      </c>
      <c r="AH29" s="674">
        <f t="shared" si="4"/>
        <v>8</v>
      </c>
    </row>
    <row r="30" spans="1:34" ht="15.75" customHeight="1">
      <c r="A30" s="951">
        <v>1</v>
      </c>
      <c r="B30" s="946" t="s">
        <v>43</v>
      </c>
      <c r="C30" s="947" t="s">
        <v>43</v>
      </c>
      <c r="D30" s="947" t="s">
        <v>44</v>
      </c>
      <c r="E30" s="947" t="s">
        <v>48</v>
      </c>
      <c r="F30" s="952">
        <v>54108</v>
      </c>
      <c r="G30" s="953" t="s">
        <v>195</v>
      </c>
      <c r="H30" s="954"/>
      <c r="I30" s="954"/>
      <c r="J30" s="954"/>
      <c r="K30" s="954"/>
      <c r="L30" s="954"/>
      <c r="M30" s="954"/>
      <c r="N30" s="323"/>
      <c r="O30" s="323"/>
      <c r="P30" s="323"/>
      <c r="Q30" s="322"/>
      <c r="R30" s="322"/>
      <c r="S30" s="322">
        <f t="shared" si="3"/>
        <v>0</v>
      </c>
      <c r="T30" s="674">
        <f t="shared" si="1"/>
        <v>0</v>
      </c>
      <c r="U30" s="322"/>
      <c r="V30" s="322"/>
      <c r="W30" s="322"/>
      <c r="X30" s="322"/>
      <c r="Y30" s="322"/>
      <c r="Z30" s="322"/>
      <c r="AA30" s="322"/>
      <c r="AB30" s="322"/>
      <c r="AC30" s="322"/>
      <c r="AD30" s="322"/>
      <c r="AE30" s="322"/>
      <c r="AF30" s="322"/>
      <c r="AG30" s="674">
        <f t="shared" si="2"/>
        <v>0</v>
      </c>
      <c r="AH30" s="674">
        <f>T30-AG30</f>
        <v>0</v>
      </c>
    </row>
    <row r="31" spans="1:34" s="551" customFormat="1" ht="15.75" customHeight="1">
      <c r="A31" s="951">
        <v>1</v>
      </c>
      <c r="B31" s="946" t="s">
        <v>43</v>
      </c>
      <c r="C31" s="947" t="s">
        <v>43</v>
      </c>
      <c r="D31" s="947" t="s">
        <v>44</v>
      </c>
      <c r="E31" s="947" t="s">
        <v>48</v>
      </c>
      <c r="F31" s="952">
        <v>54109</v>
      </c>
      <c r="G31" s="953" t="s">
        <v>136</v>
      </c>
      <c r="H31" s="954">
        <v>4000</v>
      </c>
      <c r="I31" s="954"/>
      <c r="J31" s="954"/>
      <c r="K31" s="954"/>
      <c r="L31" s="954"/>
      <c r="M31" s="954"/>
      <c r="N31" s="323"/>
      <c r="O31" s="323"/>
      <c r="P31" s="323"/>
      <c r="Q31" s="322"/>
      <c r="R31" s="322"/>
      <c r="S31" s="322">
        <f t="shared" si="3"/>
        <v>0</v>
      </c>
      <c r="T31" s="674">
        <f t="shared" si="1"/>
        <v>4000</v>
      </c>
      <c r="U31" s="322">
        <v>2400</v>
      </c>
      <c r="V31" s="322"/>
      <c r="W31" s="322"/>
      <c r="X31" s="322"/>
      <c r="Y31" s="322"/>
      <c r="Z31" s="322"/>
      <c r="AA31" s="322"/>
      <c r="AB31" s="322"/>
      <c r="AC31" s="322"/>
      <c r="AD31" s="322"/>
      <c r="AE31" s="322"/>
      <c r="AF31" s="322"/>
      <c r="AG31" s="674">
        <f t="shared" si="2"/>
        <v>2400</v>
      </c>
      <c r="AH31" s="674">
        <f>T31-AG31</f>
        <v>1600</v>
      </c>
    </row>
    <row r="32" spans="1:34" s="551" customFormat="1" ht="15.75" customHeight="1">
      <c r="A32" s="951">
        <v>1</v>
      </c>
      <c r="B32" s="946" t="s">
        <v>43</v>
      </c>
      <c r="C32" s="947" t="s">
        <v>43</v>
      </c>
      <c r="D32" s="947" t="s">
        <v>44</v>
      </c>
      <c r="E32" s="947" t="s">
        <v>48</v>
      </c>
      <c r="F32" s="952">
        <v>54110</v>
      </c>
      <c r="G32" s="953" t="s">
        <v>35</v>
      </c>
      <c r="H32" s="954">
        <v>12000</v>
      </c>
      <c r="I32" s="954"/>
      <c r="J32" s="954"/>
      <c r="K32" s="954"/>
      <c r="L32" s="954"/>
      <c r="M32" s="954"/>
      <c r="N32" s="323"/>
      <c r="O32" s="323"/>
      <c r="P32" s="323"/>
      <c r="Q32" s="322"/>
      <c r="R32" s="322"/>
      <c r="S32" s="322">
        <f t="shared" si="3"/>
        <v>0</v>
      </c>
      <c r="T32" s="674">
        <f t="shared" si="1"/>
        <v>12000</v>
      </c>
      <c r="U32" s="322"/>
      <c r="V32" s="322"/>
      <c r="W32" s="322"/>
      <c r="X32" s="322"/>
      <c r="Y32" s="322"/>
      <c r="Z32" s="322"/>
      <c r="AA32" s="322">
        <v>10000</v>
      </c>
      <c r="AB32" s="322"/>
      <c r="AC32" s="322"/>
      <c r="AD32" s="322"/>
      <c r="AE32" s="322"/>
      <c r="AF32" s="322"/>
      <c r="AG32" s="674">
        <f t="shared" si="2"/>
        <v>10000</v>
      </c>
      <c r="AH32" s="674">
        <f>T32-AG32</f>
        <v>2000</v>
      </c>
    </row>
    <row r="33" spans="1:34" s="551" customFormat="1" ht="15.75" customHeight="1">
      <c r="A33" s="951">
        <v>1</v>
      </c>
      <c r="B33" s="946" t="s">
        <v>43</v>
      </c>
      <c r="C33" s="947" t="s">
        <v>43</v>
      </c>
      <c r="D33" s="947" t="s">
        <v>44</v>
      </c>
      <c r="E33" s="947" t="s">
        <v>48</v>
      </c>
      <c r="F33" s="952">
        <v>54111</v>
      </c>
      <c r="G33" s="953" t="s">
        <v>137</v>
      </c>
      <c r="H33" s="954">
        <v>3794.87</v>
      </c>
      <c r="I33" s="954"/>
      <c r="J33" s="954"/>
      <c r="K33" s="954"/>
      <c r="L33" s="954"/>
      <c r="M33" s="954"/>
      <c r="N33" s="323"/>
      <c r="O33" s="323"/>
      <c r="P33" s="323"/>
      <c r="Q33" s="322">
        <v>0</v>
      </c>
      <c r="R33" s="322"/>
      <c r="S33" s="322">
        <f t="shared" si="3"/>
        <v>0</v>
      </c>
      <c r="T33" s="674">
        <f t="shared" si="1"/>
        <v>3794.87</v>
      </c>
      <c r="U33" s="322"/>
      <c r="V33" s="322">
        <v>9</v>
      </c>
      <c r="W33" s="322"/>
      <c r="X33" s="322"/>
      <c r="Y33" s="322"/>
      <c r="Z33" s="322"/>
      <c r="AA33" s="322"/>
      <c r="AB33" s="322"/>
      <c r="AC33" s="322"/>
      <c r="AD33" s="322"/>
      <c r="AE33" s="322"/>
      <c r="AF33" s="322"/>
      <c r="AG33" s="674">
        <f t="shared" si="2"/>
        <v>9</v>
      </c>
      <c r="AH33" s="674">
        <f>T33-AG33</f>
        <v>3785.87</v>
      </c>
    </row>
    <row r="34" spans="1:34" s="551" customFormat="1" ht="15.75" customHeight="1">
      <c r="A34" s="951">
        <v>1</v>
      </c>
      <c r="B34" s="946" t="s">
        <v>43</v>
      </c>
      <c r="C34" s="947" t="s">
        <v>43</v>
      </c>
      <c r="D34" s="947" t="s">
        <v>44</v>
      </c>
      <c r="E34" s="947" t="s">
        <v>48</v>
      </c>
      <c r="F34" s="952">
        <v>54112</v>
      </c>
      <c r="G34" s="953" t="s">
        <v>138</v>
      </c>
      <c r="H34" s="954">
        <v>3500</v>
      </c>
      <c r="I34" s="954"/>
      <c r="J34" s="954"/>
      <c r="K34" s="954"/>
      <c r="L34" s="954"/>
      <c r="M34" s="954"/>
      <c r="N34" s="323"/>
      <c r="O34" s="323"/>
      <c r="P34" s="323"/>
      <c r="Q34" s="322"/>
      <c r="R34" s="322"/>
      <c r="S34" s="322">
        <f t="shared" si="3"/>
        <v>0</v>
      </c>
      <c r="T34" s="674">
        <f t="shared" si="1"/>
        <v>3500</v>
      </c>
      <c r="U34" s="322"/>
      <c r="V34" s="322"/>
      <c r="W34" s="322"/>
      <c r="X34" s="322"/>
      <c r="Y34" s="322"/>
      <c r="Z34" s="322"/>
      <c r="AA34" s="322"/>
      <c r="AB34" s="322"/>
      <c r="AC34" s="322"/>
      <c r="AD34" s="322"/>
      <c r="AE34" s="322"/>
      <c r="AF34" s="322"/>
      <c r="AG34" s="674">
        <f t="shared" si="2"/>
        <v>0</v>
      </c>
      <c r="AH34" s="674">
        <f t="shared" si="4"/>
        <v>3500</v>
      </c>
    </row>
    <row r="35" spans="1:34" ht="15.75" customHeight="1">
      <c r="A35" s="951">
        <v>1</v>
      </c>
      <c r="B35" s="946" t="s">
        <v>43</v>
      </c>
      <c r="C35" s="947" t="s">
        <v>43</v>
      </c>
      <c r="D35" s="947" t="s">
        <v>44</v>
      </c>
      <c r="E35" s="947" t="s">
        <v>48</v>
      </c>
      <c r="F35" s="952">
        <v>54113</v>
      </c>
      <c r="G35" s="953" t="s">
        <v>518</v>
      </c>
      <c r="H35" s="954"/>
      <c r="I35" s="954"/>
      <c r="J35" s="954"/>
      <c r="K35" s="954"/>
      <c r="L35" s="954"/>
      <c r="M35" s="954"/>
      <c r="N35" s="323"/>
      <c r="O35" s="323"/>
      <c r="P35" s="323"/>
      <c r="Q35" s="322"/>
      <c r="R35" s="322"/>
      <c r="S35" s="322">
        <f t="shared" si="3"/>
        <v>0</v>
      </c>
      <c r="T35" s="674">
        <f t="shared" si="1"/>
        <v>0</v>
      </c>
      <c r="U35" s="322"/>
      <c r="V35" s="322"/>
      <c r="W35" s="322"/>
      <c r="X35" s="322"/>
      <c r="Y35" s="322"/>
      <c r="Z35" s="322"/>
      <c r="AA35" s="322"/>
      <c r="AB35" s="322"/>
      <c r="AC35" s="322"/>
      <c r="AD35" s="322"/>
      <c r="AE35" s="322"/>
      <c r="AF35" s="322"/>
      <c r="AG35" s="674">
        <f t="shared" si="2"/>
        <v>0</v>
      </c>
      <c r="AH35" s="674">
        <f t="shared" si="4"/>
        <v>0</v>
      </c>
    </row>
    <row r="36" spans="1:34" s="551" customFormat="1" ht="15.75" customHeight="1">
      <c r="A36" s="951">
        <v>1</v>
      </c>
      <c r="B36" s="946" t="s">
        <v>43</v>
      </c>
      <c r="C36" s="947" t="s">
        <v>43</v>
      </c>
      <c r="D36" s="947" t="s">
        <v>44</v>
      </c>
      <c r="E36" s="947" t="s">
        <v>48</v>
      </c>
      <c r="F36" s="952">
        <v>54114</v>
      </c>
      <c r="G36" s="953" t="s">
        <v>36</v>
      </c>
      <c r="H36" s="954">
        <v>2000</v>
      </c>
      <c r="I36" s="954"/>
      <c r="J36" s="954"/>
      <c r="K36" s="954"/>
      <c r="L36" s="954"/>
      <c r="M36" s="954"/>
      <c r="N36" s="323"/>
      <c r="O36" s="323"/>
      <c r="P36" s="323"/>
      <c r="Q36" s="322"/>
      <c r="R36" s="322"/>
      <c r="S36" s="322">
        <f t="shared" si="3"/>
        <v>0</v>
      </c>
      <c r="T36" s="674">
        <f t="shared" si="1"/>
        <v>2000</v>
      </c>
      <c r="U36" s="322"/>
      <c r="V36" s="322">
        <v>86</v>
      </c>
      <c r="W36" s="322">
        <v>0</v>
      </c>
      <c r="X36" s="322"/>
      <c r="Y36" s="322"/>
      <c r="Z36" s="322"/>
      <c r="AA36" s="322"/>
      <c r="AB36" s="322"/>
      <c r="AC36" s="322"/>
      <c r="AD36" s="322"/>
      <c r="AE36" s="322"/>
      <c r="AF36" s="322"/>
      <c r="AG36" s="674">
        <f t="shared" si="2"/>
        <v>86</v>
      </c>
      <c r="AH36" s="674">
        <f t="shared" si="4"/>
        <v>1914</v>
      </c>
    </row>
    <row r="37" spans="1:34" s="551" customFormat="1" ht="15.75" customHeight="1">
      <c r="A37" s="951">
        <v>1</v>
      </c>
      <c r="B37" s="946" t="s">
        <v>43</v>
      </c>
      <c r="C37" s="947" t="s">
        <v>43</v>
      </c>
      <c r="D37" s="947" t="s">
        <v>44</v>
      </c>
      <c r="E37" s="947" t="s">
        <v>48</v>
      </c>
      <c r="F37" s="952">
        <v>54115</v>
      </c>
      <c r="G37" s="953" t="s">
        <v>67</v>
      </c>
      <c r="H37" s="954">
        <v>6720</v>
      </c>
      <c r="I37" s="954"/>
      <c r="J37" s="954"/>
      <c r="K37" s="954"/>
      <c r="L37" s="954"/>
      <c r="M37" s="954"/>
      <c r="N37" s="323"/>
      <c r="O37" s="323"/>
      <c r="P37" s="323"/>
      <c r="Q37" s="322"/>
      <c r="R37" s="322"/>
      <c r="S37" s="322">
        <f t="shared" si="3"/>
        <v>0</v>
      </c>
      <c r="T37" s="674">
        <f t="shared" si="1"/>
        <v>6720</v>
      </c>
      <c r="U37" s="322"/>
      <c r="V37" s="322">
        <v>1000</v>
      </c>
      <c r="W37" s="322"/>
      <c r="X37" s="322">
        <v>1000</v>
      </c>
      <c r="Y37" s="322">
        <v>500</v>
      </c>
      <c r="Z37" s="322">
        <v>500</v>
      </c>
      <c r="AA37" s="322"/>
      <c r="AB37" s="322">
        <v>800</v>
      </c>
      <c r="AC37" s="322">
        <v>500</v>
      </c>
      <c r="AD37" s="322">
        <v>500</v>
      </c>
      <c r="AE37" s="322">
        <v>700</v>
      </c>
      <c r="AF37" s="322">
        <v>1000</v>
      </c>
      <c r="AG37" s="674">
        <f t="shared" si="2"/>
        <v>6500</v>
      </c>
      <c r="AH37" s="674">
        <f t="shared" si="4"/>
        <v>220</v>
      </c>
    </row>
    <row r="38" spans="1:34" s="551" customFormat="1" ht="15.75" customHeight="1">
      <c r="A38" s="951">
        <v>1</v>
      </c>
      <c r="B38" s="946" t="s">
        <v>43</v>
      </c>
      <c r="C38" s="947" t="s">
        <v>43</v>
      </c>
      <c r="D38" s="947" t="s">
        <v>44</v>
      </c>
      <c r="E38" s="947" t="s">
        <v>48</v>
      </c>
      <c r="F38" s="952">
        <v>54116</v>
      </c>
      <c r="G38" s="953" t="s">
        <v>196</v>
      </c>
      <c r="H38" s="954">
        <v>500</v>
      </c>
      <c r="I38" s="954"/>
      <c r="J38" s="954"/>
      <c r="K38" s="954"/>
      <c r="L38" s="954"/>
      <c r="M38" s="954"/>
      <c r="N38" s="323"/>
      <c r="O38" s="323"/>
      <c r="P38" s="323"/>
      <c r="Q38" s="322"/>
      <c r="R38" s="322"/>
      <c r="S38" s="322">
        <f t="shared" si="3"/>
        <v>0</v>
      </c>
      <c r="T38" s="674">
        <f t="shared" si="1"/>
        <v>500</v>
      </c>
      <c r="U38" s="322"/>
      <c r="V38" s="322"/>
      <c r="W38" s="322"/>
      <c r="X38" s="322"/>
      <c r="Y38" s="322"/>
      <c r="Z38" s="322"/>
      <c r="AA38" s="322"/>
      <c r="AB38" s="322"/>
      <c r="AC38" s="322"/>
      <c r="AD38" s="322"/>
      <c r="AE38" s="322"/>
      <c r="AF38" s="322"/>
      <c r="AG38" s="674">
        <f t="shared" si="2"/>
        <v>0</v>
      </c>
      <c r="AH38" s="674">
        <f t="shared" si="4"/>
        <v>500</v>
      </c>
    </row>
    <row r="39" spans="1:34" s="551" customFormat="1" ht="15.75" customHeight="1">
      <c r="A39" s="951">
        <v>1</v>
      </c>
      <c r="B39" s="946" t="s">
        <v>43</v>
      </c>
      <c r="C39" s="947" t="s">
        <v>43</v>
      </c>
      <c r="D39" s="947" t="s">
        <v>44</v>
      </c>
      <c r="E39" s="947" t="s">
        <v>48</v>
      </c>
      <c r="F39" s="952">
        <v>54116</v>
      </c>
      <c r="G39" s="953" t="s">
        <v>475</v>
      </c>
      <c r="H39" s="954">
        <v>1000</v>
      </c>
      <c r="I39" s="954"/>
      <c r="J39" s="954"/>
      <c r="K39" s="954"/>
      <c r="L39" s="954"/>
      <c r="M39" s="954"/>
      <c r="N39" s="323"/>
      <c r="O39" s="323"/>
      <c r="P39" s="323"/>
      <c r="Q39" s="322"/>
      <c r="R39" s="322"/>
      <c r="S39" s="322">
        <f t="shared" si="3"/>
        <v>0</v>
      </c>
      <c r="T39" s="674">
        <f t="shared" si="1"/>
        <v>1000</v>
      </c>
      <c r="U39" s="322"/>
      <c r="V39" s="322"/>
      <c r="W39" s="322">
        <v>600</v>
      </c>
      <c r="X39" s="322"/>
      <c r="Y39" s="322"/>
      <c r="Z39" s="322"/>
      <c r="AA39" s="322"/>
      <c r="AB39" s="322"/>
      <c r="AC39" s="322"/>
      <c r="AD39" s="322"/>
      <c r="AE39" s="322"/>
      <c r="AF39" s="322"/>
      <c r="AG39" s="674">
        <f t="shared" si="2"/>
        <v>600</v>
      </c>
      <c r="AH39" s="674">
        <f t="shared" si="4"/>
        <v>400</v>
      </c>
    </row>
    <row r="40" spans="1:34" s="551" customFormat="1" ht="15.75" customHeight="1">
      <c r="A40" s="951">
        <v>1</v>
      </c>
      <c r="B40" s="946" t="s">
        <v>43</v>
      </c>
      <c r="C40" s="947" t="s">
        <v>43</v>
      </c>
      <c r="D40" s="947" t="s">
        <v>44</v>
      </c>
      <c r="E40" s="947" t="s">
        <v>48</v>
      </c>
      <c r="F40" s="952">
        <v>54118</v>
      </c>
      <c r="G40" s="953" t="s">
        <v>139</v>
      </c>
      <c r="H40" s="954">
        <v>1463</v>
      </c>
      <c r="I40" s="954"/>
      <c r="J40" s="954"/>
      <c r="K40" s="954"/>
      <c r="L40" s="954"/>
      <c r="M40" s="954"/>
      <c r="N40" s="323"/>
      <c r="O40" s="323"/>
      <c r="P40" s="323"/>
      <c r="Q40" s="322"/>
      <c r="R40" s="322"/>
      <c r="S40" s="322">
        <f t="shared" si="3"/>
        <v>0</v>
      </c>
      <c r="T40" s="674">
        <f t="shared" si="1"/>
        <v>1463</v>
      </c>
      <c r="U40" s="322">
        <v>1395</v>
      </c>
      <c r="V40" s="322"/>
      <c r="W40" s="322"/>
      <c r="X40" s="322"/>
      <c r="Y40" s="322"/>
      <c r="Z40" s="322"/>
      <c r="AA40" s="322">
        <v>0</v>
      </c>
      <c r="AB40" s="322"/>
      <c r="AC40" s="322"/>
      <c r="AD40" s="322"/>
      <c r="AE40" s="322"/>
      <c r="AF40" s="322"/>
      <c r="AG40" s="674">
        <f t="shared" si="2"/>
        <v>1395</v>
      </c>
      <c r="AH40" s="674">
        <f t="shared" si="4"/>
        <v>68</v>
      </c>
    </row>
    <row r="41" spans="1:34" s="551" customFormat="1" ht="15.75" customHeight="1">
      <c r="A41" s="951">
        <v>1</v>
      </c>
      <c r="B41" s="946" t="s">
        <v>43</v>
      </c>
      <c r="C41" s="947" t="s">
        <v>43</v>
      </c>
      <c r="D41" s="947" t="s">
        <v>44</v>
      </c>
      <c r="E41" s="947" t="s">
        <v>48</v>
      </c>
      <c r="F41" s="952">
        <v>54119</v>
      </c>
      <c r="G41" s="953" t="s">
        <v>78</v>
      </c>
      <c r="H41" s="954">
        <v>2600</v>
      </c>
      <c r="I41" s="954"/>
      <c r="J41" s="954"/>
      <c r="K41" s="954"/>
      <c r="L41" s="954"/>
      <c r="M41" s="954"/>
      <c r="N41" s="323"/>
      <c r="O41" s="323"/>
      <c r="P41" s="323"/>
      <c r="Q41" s="322"/>
      <c r="R41" s="322"/>
      <c r="S41" s="322">
        <f>SUM(I41:R41)</f>
        <v>0</v>
      </c>
      <c r="T41" s="674">
        <f t="shared" si="1"/>
        <v>2600</v>
      </c>
      <c r="U41" s="322"/>
      <c r="V41" s="322"/>
      <c r="W41" s="322"/>
      <c r="X41" s="322"/>
      <c r="Y41" s="322"/>
      <c r="Z41" s="322"/>
      <c r="AA41" s="322">
        <v>0</v>
      </c>
      <c r="AB41" s="322"/>
      <c r="AC41" s="322"/>
      <c r="AD41" s="322"/>
      <c r="AE41" s="322"/>
      <c r="AF41" s="322"/>
      <c r="AG41" s="674">
        <f t="shared" si="2"/>
        <v>0</v>
      </c>
      <c r="AH41" s="674">
        <f t="shared" si="4"/>
        <v>2600</v>
      </c>
    </row>
    <row r="42" spans="1:34" s="551" customFormat="1" ht="15.75" customHeight="1">
      <c r="A42" s="951">
        <v>1</v>
      </c>
      <c r="B42" s="946" t="s">
        <v>43</v>
      </c>
      <c r="C42" s="947" t="s">
        <v>43</v>
      </c>
      <c r="D42" s="947" t="s">
        <v>44</v>
      </c>
      <c r="E42" s="947" t="s">
        <v>48</v>
      </c>
      <c r="F42" s="952">
        <v>54199</v>
      </c>
      <c r="G42" s="953" t="s">
        <v>140</v>
      </c>
      <c r="H42" s="954">
        <v>27000</v>
      </c>
      <c r="I42" s="954">
        <v>2000</v>
      </c>
      <c r="J42" s="954">
        <v>22000</v>
      </c>
      <c r="K42" s="954">
        <v>200</v>
      </c>
      <c r="L42" s="954">
        <v>195</v>
      </c>
      <c r="M42" s="954">
        <v>100</v>
      </c>
      <c r="N42" s="323">
        <v>1462</v>
      </c>
      <c r="O42" s="323"/>
      <c r="P42" s="323"/>
      <c r="Q42" s="322"/>
      <c r="R42" s="322"/>
      <c r="S42" s="322">
        <f>SUM(I42:R42)</f>
        <v>25957</v>
      </c>
      <c r="T42" s="674">
        <f t="shared" si="1"/>
        <v>1043</v>
      </c>
      <c r="U42" s="322">
        <v>0</v>
      </c>
      <c r="V42" s="322"/>
      <c r="W42" s="322"/>
      <c r="X42" s="322"/>
      <c r="Y42" s="322">
        <f>150+300</f>
        <v>450</v>
      </c>
      <c r="Z42" s="322"/>
      <c r="AA42" s="322"/>
      <c r="AB42" s="322"/>
      <c r="AC42" s="322"/>
      <c r="AD42" s="322"/>
      <c r="AE42" s="322"/>
      <c r="AF42" s="322"/>
      <c r="AG42" s="674">
        <f t="shared" si="2"/>
        <v>450</v>
      </c>
      <c r="AH42" s="674">
        <f t="shared" si="4"/>
        <v>593</v>
      </c>
    </row>
    <row r="43" spans="1:34" s="551" customFormat="1" ht="15.75" customHeight="1">
      <c r="A43" s="951">
        <v>1</v>
      </c>
      <c r="B43" s="946" t="s">
        <v>43</v>
      </c>
      <c r="C43" s="947" t="s">
        <v>43</v>
      </c>
      <c r="D43" s="947" t="s">
        <v>44</v>
      </c>
      <c r="E43" s="947" t="s">
        <v>48</v>
      </c>
      <c r="F43" s="952">
        <v>54201</v>
      </c>
      <c r="G43" s="953" t="s">
        <v>174</v>
      </c>
      <c r="H43" s="954"/>
      <c r="I43" s="954"/>
      <c r="J43" s="954"/>
      <c r="K43" s="954"/>
      <c r="L43" s="954"/>
      <c r="M43" s="954"/>
      <c r="N43" s="323"/>
      <c r="O43" s="323"/>
      <c r="P43" s="323"/>
      <c r="Q43" s="322"/>
      <c r="R43" s="322"/>
      <c r="S43" s="322">
        <f t="shared" si="3"/>
        <v>0</v>
      </c>
      <c r="T43" s="674">
        <f t="shared" si="1"/>
        <v>0</v>
      </c>
      <c r="U43" s="322"/>
      <c r="V43" s="322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674">
        <f t="shared" si="2"/>
        <v>0</v>
      </c>
      <c r="AH43" s="674">
        <f t="shared" si="4"/>
        <v>0</v>
      </c>
    </row>
    <row r="44" spans="1:34" s="551" customFormat="1" ht="15.75" customHeight="1">
      <c r="A44" s="951">
        <v>1</v>
      </c>
      <c r="B44" s="946" t="s">
        <v>43</v>
      </c>
      <c r="C44" s="947" t="s">
        <v>43</v>
      </c>
      <c r="D44" s="947" t="s">
        <v>44</v>
      </c>
      <c r="E44" s="947" t="s">
        <v>48</v>
      </c>
      <c r="F44" s="952">
        <v>54202</v>
      </c>
      <c r="G44" s="953" t="s">
        <v>38</v>
      </c>
      <c r="H44" s="954"/>
      <c r="I44" s="954"/>
      <c r="J44" s="954"/>
      <c r="K44" s="954"/>
      <c r="L44" s="954"/>
      <c r="M44" s="954"/>
      <c r="N44" s="323"/>
      <c r="O44" s="323"/>
      <c r="P44" s="323"/>
      <c r="Q44" s="322"/>
      <c r="R44" s="322"/>
      <c r="S44" s="322">
        <f t="shared" si="3"/>
        <v>0</v>
      </c>
      <c r="T44" s="674">
        <f t="shared" si="1"/>
        <v>0</v>
      </c>
      <c r="U44" s="322"/>
      <c r="V44" s="322"/>
      <c r="W44" s="322"/>
      <c r="X44" s="322"/>
      <c r="Y44" s="322"/>
      <c r="Z44" s="322"/>
      <c r="AA44" s="322"/>
      <c r="AB44" s="322"/>
      <c r="AC44" s="322"/>
      <c r="AD44" s="322"/>
      <c r="AE44" s="322"/>
      <c r="AF44" s="322"/>
      <c r="AG44" s="674">
        <f t="shared" si="2"/>
        <v>0</v>
      </c>
      <c r="AH44" s="674">
        <f t="shared" si="4"/>
        <v>0</v>
      </c>
    </row>
    <row r="45" spans="1:34" s="551" customFormat="1" ht="15.75" customHeight="1">
      <c r="A45" s="951">
        <v>1</v>
      </c>
      <c r="B45" s="946" t="s">
        <v>43</v>
      </c>
      <c r="C45" s="947" t="s">
        <v>43</v>
      </c>
      <c r="D45" s="947" t="s">
        <v>44</v>
      </c>
      <c r="E45" s="947" t="s">
        <v>48</v>
      </c>
      <c r="F45" s="952">
        <v>54203</v>
      </c>
      <c r="G45" s="953" t="s">
        <v>39</v>
      </c>
      <c r="H45" s="954"/>
      <c r="I45" s="954"/>
      <c r="J45" s="954"/>
      <c r="K45" s="954"/>
      <c r="L45" s="954"/>
      <c r="M45" s="954"/>
      <c r="N45" s="323"/>
      <c r="O45" s="323"/>
      <c r="P45" s="323"/>
      <c r="Q45" s="322"/>
      <c r="R45" s="322"/>
      <c r="S45" s="322">
        <f t="shared" si="3"/>
        <v>0</v>
      </c>
      <c r="T45" s="674">
        <f t="shared" si="1"/>
        <v>0</v>
      </c>
      <c r="U45" s="322"/>
      <c r="V45" s="322"/>
      <c r="W45" s="322"/>
      <c r="X45" s="322"/>
      <c r="Y45" s="322"/>
      <c r="Z45" s="322"/>
      <c r="AA45" s="322"/>
      <c r="AB45" s="322"/>
      <c r="AC45" s="322"/>
      <c r="AD45" s="322"/>
      <c r="AE45" s="322"/>
      <c r="AF45" s="322"/>
      <c r="AG45" s="674">
        <f t="shared" si="2"/>
        <v>0</v>
      </c>
      <c r="AH45" s="674">
        <f t="shared" si="4"/>
        <v>0</v>
      </c>
    </row>
    <row r="46" spans="1:34" ht="15.75" customHeight="1">
      <c r="A46" s="951">
        <v>1</v>
      </c>
      <c r="B46" s="946" t="s">
        <v>43</v>
      </c>
      <c r="C46" s="947" t="s">
        <v>43</v>
      </c>
      <c r="D46" s="947" t="s">
        <v>44</v>
      </c>
      <c r="E46" s="947" t="s">
        <v>48</v>
      </c>
      <c r="F46" s="952">
        <v>54204</v>
      </c>
      <c r="G46" s="953" t="s">
        <v>197</v>
      </c>
      <c r="H46" s="954"/>
      <c r="I46" s="954"/>
      <c r="J46" s="954"/>
      <c r="K46" s="954"/>
      <c r="L46" s="954"/>
      <c r="M46" s="954"/>
      <c r="N46" s="323"/>
      <c r="O46" s="323"/>
      <c r="P46" s="323"/>
      <c r="Q46" s="322"/>
      <c r="R46" s="322"/>
      <c r="S46" s="322">
        <f t="shared" si="3"/>
        <v>0</v>
      </c>
      <c r="T46" s="674">
        <f t="shared" si="1"/>
        <v>0</v>
      </c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674">
        <f t="shared" si="2"/>
        <v>0</v>
      </c>
      <c r="AH46" s="674">
        <f t="shared" si="4"/>
        <v>0</v>
      </c>
    </row>
    <row r="47" spans="1:34" s="551" customFormat="1" ht="15.75" customHeight="1">
      <c r="A47" s="951">
        <v>1</v>
      </c>
      <c r="B47" s="946" t="s">
        <v>43</v>
      </c>
      <c r="C47" s="947" t="s">
        <v>43</v>
      </c>
      <c r="D47" s="947" t="s">
        <v>44</v>
      </c>
      <c r="E47" s="947" t="s">
        <v>48</v>
      </c>
      <c r="F47" s="952">
        <v>54301</v>
      </c>
      <c r="G47" s="953" t="s">
        <v>141</v>
      </c>
      <c r="H47" s="954">
        <v>3048.42</v>
      </c>
      <c r="I47" s="954"/>
      <c r="J47" s="954"/>
      <c r="K47" s="954"/>
      <c r="L47" s="954"/>
      <c r="M47" s="954"/>
      <c r="N47" s="323"/>
      <c r="O47" s="323"/>
      <c r="P47" s="323"/>
      <c r="Q47" s="322"/>
      <c r="R47" s="322"/>
      <c r="S47" s="322">
        <f t="shared" si="3"/>
        <v>0</v>
      </c>
      <c r="T47" s="674">
        <f t="shared" si="1"/>
        <v>3048.42</v>
      </c>
      <c r="U47" s="322"/>
      <c r="V47" s="322"/>
      <c r="W47" s="322"/>
      <c r="X47" s="322">
        <v>0</v>
      </c>
      <c r="Y47" s="322"/>
      <c r="Z47" s="322"/>
      <c r="AA47" s="322"/>
      <c r="AB47" s="322"/>
      <c r="AC47" s="322"/>
      <c r="AD47" s="322"/>
      <c r="AE47" s="322"/>
      <c r="AF47" s="322"/>
      <c r="AG47" s="674">
        <f t="shared" si="2"/>
        <v>0</v>
      </c>
      <c r="AH47" s="674">
        <f t="shared" si="4"/>
        <v>3048.42</v>
      </c>
    </row>
    <row r="48" spans="1:34" s="551" customFormat="1" ht="15.75" customHeight="1">
      <c r="A48" s="951">
        <v>1</v>
      </c>
      <c r="B48" s="946" t="s">
        <v>43</v>
      </c>
      <c r="C48" s="947" t="s">
        <v>43</v>
      </c>
      <c r="D48" s="947" t="s">
        <v>44</v>
      </c>
      <c r="E48" s="947" t="s">
        <v>48</v>
      </c>
      <c r="F48" s="952">
        <v>54302</v>
      </c>
      <c r="G48" s="953" t="s">
        <v>142</v>
      </c>
      <c r="H48" s="954">
        <v>8000</v>
      </c>
      <c r="I48" s="954"/>
      <c r="J48" s="954"/>
      <c r="K48" s="954"/>
      <c r="L48" s="954"/>
      <c r="M48" s="954"/>
      <c r="N48" s="323"/>
      <c r="O48" s="323"/>
      <c r="P48" s="323"/>
      <c r="Q48" s="322"/>
      <c r="R48" s="322"/>
      <c r="S48" s="322">
        <f t="shared" si="3"/>
        <v>0</v>
      </c>
      <c r="T48" s="674">
        <f t="shared" si="1"/>
        <v>8000</v>
      </c>
      <c r="U48" s="322"/>
      <c r="V48" s="322"/>
      <c r="W48" s="322"/>
      <c r="X48" s="322"/>
      <c r="Y48" s="322"/>
      <c r="Z48" s="322"/>
      <c r="AA48" s="322">
        <v>6000</v>
      </c>
      <c r="AB48" s="322"/>
      <c r="AC48" s="322"/>
      <c r="AD48" s="322"/>
      <c r="AE48" s="322"/>
      <c r="AF48" s="322"/>
      <c r="AG48" s="674">
        <f t="shared" si="2"/>
        <v>6000</v>
      </c>
      <c r="AH48" s="674">
        <f t="shared" si="4"/>
        <v>2000</v>
      </c>
    </row>
    <row r="49" spans="1:34" s="551" customFormat="1" ht="15.75" customHeight="1">
      <c r="A49" s="951">
        <v>1</v>
      </c>
      <c r="B49" s="946" t="s">
        <v>43</v>
      </c>
      <c r="C49" s="947" t="s">
        <v>43</v>
      </c>
      <c r="D49" s="947" t="s">
        <v>44</v>
      </c>
      <c r="E49" s="947" t="s">
        <v>48</v>
      </c>
      <c r="F49" s="952">
        <v>54303</v>
      </c>
      <c r="G49" s="953" t="s">
        <v>143</v>
      </c>
      <c r="H49" s="954">
        <v>3000</v>
      </c>
      <c r="I49" s="954"/>
      <c r="J49" s="954"/>
      <c r="K49" s="954"/>
      <c r="L49" s="954"/>
      <c r="M49" s="954"/>
      <c r="N49" s="323"/>
      <c r="O49" s="323"/>
      <c r="P49" s="323"/>
      <c r="Q49" s="322"/>
      <c r="R49" s="322"/>
      <c r="S49" s="322">
        <f t="shared" si="3"/>
        <v>0</v>
      </c>
      <c r="T49" s="674">
        <f t="shared" si="1"/>
        <v>3000</v>
      </c>
      <c r="U49" s="322"/>
      <c r="V49" s="322"/>
      <c r="W49" s="322"/>
      <c r="X49" s="322"/>
      <c r="Y49" s="322"/>
      <c r="Z49" s="322"/>
      <c r="AA49" s="322"/>
      <c r="AB49" s="322"/>
      <c r="AC49" s="322"/>
      <c r="AD49" s="322"/>
      <c r="AE49" s="322"/>
      <c r="AF49" s="322"/>
      <c r="AG49" s="674">
        <f t="shared" si="2"/>
        <v>0</v>
      </c>
      <c r="AH49" s="674">
        <f t="shared" si="4"/>
        <v>3000</v>
      </c>
    </row>
    <row r="50" spans="1:34" s="551" customFormat="1" ht="15.75" customHeight="1">
      <c r="A50" s="951">
        <v>1</v>
      </c>
      <c r="B50" s="946" t="s">
        <v>43</v>
      </c>
      <c r="C50" s="947" t="s">
        <v>43</v>
      </c>
      <c r="D50" s="947" t="s">
        <v>44</v>
      </c>
      <c r="E50" s="947" t="s">
        <v>48</v>
      </c>
      <c r="F50" s="952">
        <v>54304</v>
      </c>
      <c r="G50" s="953" t="s">
        <v>63</v>
      </c>
      <c r="H50" s="954">
        <v>2000</v>
      </c>
      <c r="I50" s="954"/>
      <c r="J50" s="954"/>
      <c r="K50" s="954"/>
      <c r="L50" s="954"/>
      <c r="M50" s="954"/>
      <c r="N50" s="323"/>
      <c r="O50" s="323"/>
      <c r="P50" s="323"/>
      <c r="Q50" s="322"/>
      <c r="R50" s="322"/>
      <c r="S50" s="322">
        <f t="shared" si="3"/>
        <v>0</v>
      </c>
      <c r="T50" s="674">
        <f t="shared" si="1"/>
        <v>2000</v>
      </c>
      <c r="U50" s="322"/>
      <c r="V50" s="322"/>
      <c r="W50" s="322"/>
      <c r="X50" s="322"/>
      <c r="Y50" s="322"/>
      <c r="Z50" s="322"/>
      <c r="AA50" s="322"/>
      <c r="AB50" s="322"/>
      <c r="AC50" s="322"/>
      <c r="AD50" s="322"/>
      <c r="AE50" s="322"/>
      <c r="AF50" s="322"/>
      <c r="AG50" s="674">
        <f t="shared" si="2"/>
        <v>0</v>
      </c>
      <c r="AH50" s="674">
        <f t="shared" si="4"/>
        <v>2000</v>
      </c>
    </row>
    <row r="51" spans="1:34" s="551" customFormat="1" ht="15.75" customHeight="1">
      <c r="A51" s="951">
        <v>1</v>
      </c>
      <c r="B51" s="946" t="s">
        <v>43</v>
      </c>
      <c r="C51" s="947" t="s">
        <v>43</v>
      </c>
      <c r="D51" s="947" t="s">
        <v>44</v>
      </c>
      <c r="E51" s="947" t="s">
        <v>48</v>
      </c>
      <c r="F51" s="952">
        <v>54305</v>
      </c>
      <c r="G51" s="953" t="s">
        <v>64</v>
      </c>
      <c r="H51" s="954">
        <v>1000</v>
      </c>
      <c r="I51" s="954"/>
      <c r="J51" s="954"/>
      <c r="K51" s="954"/>
      <c r="L51" s="954"/>
      <c r="M51" s="954"/>
      <c r="N51" s="323"/>
      <c r="O51" s="323"/>
      <c r="P51" s="323"/>
      <c r="Q51" s="322"/>
      <c r="R51" s="322"/>
      <c r="S51" s="322">
        <f t="shared" si="3"/>
        <v>0</v>
      </c>
      <c r="T51" s="674">
        <f t="shared" si="1"/>
        <v>1000</v>
      </c>
      <c r="U51" s="322"/>
      <c r="V51" s="322"/>
      <c r="W51" s="322"/>
      <c r="X51" s="322"/>
      <c r="Y51" s="322"/>
      <c r="Z51" s="322"/>
      <c r="AA51" s="322"/>
      <c r="AB51" s="322"/>
      <c r="AC51" s="322"/>
      <c r="AD51" s="322"/>
      <c r="AE51" s="322"/>
      <c r="AF51" s="322"/>
      <c r="AG51" s="674">
        <f t="shared" si="2"/>
        <v>0</v>
      </c>
      <c r="AH51" s="674">
        <f t="shared" si="4"/>
        <v>1000</v>
      </c>
    </row>
    <row r="52" spans="1:34" ht="15.75" customHeight="1">
      <c r="A52" s="951">
        <v>1</v>
      </c>
      <c r="B52" s="946" t="s">
        <v>43</v>
      </c>
      <c r="C52" s="947" t="s">
        <v>43</v>
      </c>
      <c r="D52" s="947" t="s">
        <v>44</v>
      </c>
      <c r="E52" s="947" t="s">
        <v>48</v>
      </c>
      <c r="F52" s="952">
        <v>54307</v>
      </c>
      <c r="G52" s="953" t="s">
        <v>198</v>
      </c>
      <c r="H52" s="954"/>
      <c r="I52" s="954"/>
      <c r="J52" s="954"/>
      <c r="K52" s="954"/>
      <c r="L52" s="954"/>
      <c r="M52" s="954"/>
      <c r="N52" s="323"/>
      <c r="O52" s="323"/>
      <c r="P52" s="323"/>
      <c r="Q52" s="322"/>
      <c r="R52" s="322"/>
      <c r="S52" s="322">
        <f t="shared" si="3"/>
        <v>0</v>
      </c>
      <c r="T52" s="674">
        <f t="shared" si="1"/>
        <v>0</v>
      </c>
      <c r="U52" s="322"/>
      <c r="V52" s="322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  <c r="AG52" s="674">
        <f t="shared" si="2"/>
        <v>0</v>
      </c>
      <c r="AH52" s="674">
        <f t="shared" si="4"/>
        <v>0</v>
      </c>
    </row>
    <row r="53" spans="1:34" ht="15.75" customHeight="1">
      <c r="A53" s="951">
        <v>1</v>
      </c>
      <c r="B53" s="946" t="s">
        <v>43</v>
      </c>
      <c r="C53" s="947" t="s">
        <v>43</v>
      </c>
      <c r="D53" s="947" t="s">
        <v>44</v>
      </c>
      <c r="E53" s="947" t="s">
        <v>48</v>
      </c>
      <c r="F53" s="952">
        <v>54308</v>
      </c>
      <c r="G53" s="953" t="s">
        <v>519</v>
      </c>
      <c r="H53" s="954"/>
      <c r="I53" s="954"/>
      <c r="J53" s="954"/>
      <c r="K53" s="954"/>
      <c r="L53" s="954"/>
      <c r="M53" s="954"/>
      <c r="N53" s="323"/>
      <c r="O53" s="323"/>
      <c r="P53" s="323"/>
      <c r="Q53" s="322"/>
      <c r="R53" s="322"/>
      <c r="S53" s="322">
        <f t="shared" si="3"/>
        <v>0</v>
      </c>
      <c r="T53" s="674">
        <f t="shared" si="1"/>
        <v>0</v>
      </c>
      <c r="U53" s="322"/>
      <c r="V53" s="322"/>
      <c r="W53" s="322"/>
      <c r="X53" s="322"/>
      <c r="Y53" s="322"/>
      <c r="Z53" s="322"/>
      <c r="AA53" s="322"/>
      <c r="AB53" s="322"/>
      <c r="AC53" s="322"/>
      <c r="AD53" s="322"/>
      <c r="AE53" s="322"/>
      <c r="AF53" s="322"/>
      <c r="AG53" s="674">
        <f t="shared" si="2"/>
        <v>0</v>
      </c>
      <c r="AH53" s="674">
        <f t="shared" si="4"/>
        <v>0</v>
      </c>
    </row>
    <row r="54" spans="1:34" ht="15.75" customHeight="1">
      <c r="A54" s="951">
        <v>1</v>
      </c>
      <c r="B54" s="946" t="s">
        <v>43</v>
      </c>
      <c r="C54" s="947" t="s">
        <v>43</v>
      </c>
      <c r="D54" s="947" t="s">
        <v>44</v>
      </c>
      <c r="E54" s="947" t="s">
        <v>48</v>
      </c>
      <c r="F54" s="952">
        <v>54310</v>
      </c>
      <c r="G54" s="953" t="s">
        <v>520</v>
      </c>
      <c r="H54" s="954"/>
      <c r="I54" s="954"/>
      <c r="J54" s="954"/>
      <c r="K54" s="954"/>
      <c r="L54" s="954"/>
      <c r="M54" s="954"/>
      <c r="N54" s="323"/>
      <c r="O54" s="323"/>
      <c r="P54" s="323"/>
      <c r="Q54" s="322"/>
      <c r="R54" s="322"/>
      <c r="S54" s="322">
        <f t="shared" si="3"/>
        <v>0</v>
      </c>
      <c r="T54" s="674">
        <f t="shared" si="1"/>
        <v>0</v>
      </c>
      <c r="U54" s="322"/>
      <c r="V54" s="322"/>
      <c r="W54" s="322"/>
      <c r="X54" s="322"/>
      <c r="Y54" s="322"/>
      <c r="Z54" s="322"/>
      <c r="AA54" s="322"/>
      <c r="AB54" s="322"/>
      <c r="AC54" s="322"/>
      <c r="AD54" s="322"/>
      <c r="AE54" s="322"/>
      <c r="AF54" s="322"/>
      <c r="AG54" s="674">
        <f t="shared" si="2"/>
        <v>0</v>
      </c>
      <c r="AH54" s="674">
        <f t="shared" si="4"/>
        <v>0</v>
      </c>
    </row>
    <row r="55" spans="1:34" ht="15.75" customHeight="1">
      <c r="A55" s="951">
        <v>1</v>
      </c>
      <c r="B55" s="946" t="s">
        <v>43</v>
      </c>
      <c r="C55" s="947" t="s">
        <v>43</v>
      </c>
      <c r="D55" s="947" t="s">
        <v>44</v>
      </c>
      <c r="E55" s="947" t="s">
        <v>48</v>
      </c>
      <c r="F55" s="952">
        <v>54311</v>
      </c>
      <c r="G55" s="953" t="s">
        <v>268</v>
      </c>
      <c r="H55" s="954"/>
      <c r="I55" s="954"/>
      <c r="J55" s="954"/>
      <c r="K55" s="954"/>
      <c r="L55" s="954"/>
      <c r="M55" s="954"/>
      <c r="N55" s="323"/>
      <c r="O55" s="323"/>
      <c r="P55" s="323"/>
      <c r="Q55" s="322"/>
      <c r="R55" s="322"/>
      <c r="S55" s="322">
        <f t="shared" si="3"/>
        <v>0</v>
      </c>
      <c r="T55" s="674">
        <f t="shared" si="1"/>
        <v>0</v>
      </c>
      <c r="U55" s="322"/>
      <c r="V55" s="322"/>
      <c r="W55" s="322"/>
      <c r="X55" s="322"/>
      <c r="Y55" s="322"/>
      <c r="Z55" s="322"/>
      <c r="AA55" s="322"/>
      <c r="AB55" s="322"/>
      <c r="AC55" s="322"/>
      <c r="AD55" s="322"/>
      <c r="AE55" s="322"/>
      <c r="AF55" s="322"/>
      <c r="AG55" s="674">
        <f t="shared" si="2"/>
        <v>0</v>
      </c>
      <c r="AH55" s="674">
        <f t="shared" si="4"/>
        <v>0</v>
      </c>
    </row>
    <row r="56" spans="1:34" s="551" customFormat="1" ht="15.75" customHeight="1">
      <c r="A56" s="951">
        <v>1</v>
      </c>
      <c r="B56" s="946" t="s">
        <v>43</v>
      </c>
      <c r="C56" s="947" t="s">
        <v>43</v>
      </c>
      <c r="D56" s="947" t="s">
        <v>44</v>
      </c>
      <c r="E56" s="947" t="s">
        <v>48</v>
      </c>
      <c r="F56" s="952">
        <v>54313</v>
      </c>
      <c r="G56" s="953" t="s">
        <v>65</v>
      </c>
      <c r="H56" s="954">
        <f>[1]CONSOLIDADO!$I$27</f>
        <v>1000</v>
      </c>
      <c r="I56" s="954"/>
      <c r="J56" s="954"/>
      <c r="K56" s="954"/>
      <c r="L56" s="954"/>
      <c r="M56" s="954"/>
      <c r="N56" s="323"/>
      <c r="O56" s="323"/>
      <c r="P56" s="323"/>
      <c r="Q56" s="322"/>
      <c r="R56" s="322"/>
      <c r="S56" s="322">
        <f t="shared" si="3"/>
        <v>0</v>
      </c>
      <c r="T56" s="674">
        <f t="shared" ref="T56:T85" si="5">H56-S56</f>
        <v>1000</v>
      </c>
      <c r="U56" s="322"/>
      <c r="V56" s="322">
        <v>1000</v>
      </c>
      <c r="W56" s="322"/>
      <c r="X56" s="322"/>
      <c r="Y56" s="322"/>
      <c r="Z56" s="322"/>
      <c r="AA56" s="322"/>
      <c r="AB56" s="322"/>
      <c r="AC56" s="322"/>
      <c r="AD56" s="322"/>
      <c r="AE56" s="322"/>
      <c r="AF56" s="322"/>
      <c r="AG56" s="674">
        <f t="shared" si="2"/>
        <v>1000</v>
      </c>
      <c r="AH56" s="674">
        <f t="shared" si="4"/>
        <v>0</v>
      </c>
    </row>
    <row r="57" spans="1:34" s="551" customFormat="1" ht="15.75" customHeight="1">
      <c r="A57" s="951">
        <v>1</v>
      </c>
      <c r="B57" s="946" t="s">
        <v>43</v>
      </c>
      <c r="C57" s="947" t="s">
        <v>43</v>
      </c>
      <c r="D57" s="947" t="s">
        <v>44</v>
      </c>
      <c r="E57" s="947" t="s">
        <v>48</v>
      </c>
      <c r="F57" s="952">
        <v>54314</v>
      </c>
      <c r="G57" s="953" t="s">
        <v>68</v>
      </c>
      <c r="H57" s="954">
        <v>15000</v>
      </c>
      <c r="I57" s="954">
        <v>7500</v>
      </c>
      <c r="J57" s="954"/>
      <c r="K57" s="954"/>
      <c r="L57" s="954"/>
      <c r="M57" s="954">
        <v>300</v>
      </c>
      <c r="N57" s="323"/>
      <c r="O57" s="323"/>
      <c r="P57" s="323">
        <v>500</v>
      </c>
      <c r="Q57" s="322"/>
      <c r="R57" s="322"/>
      <c r="S57" s="322">
        <f t="shared" si="3"/>
        <v>8300</v>
      </c>
      <c r="T57" s="674">
        <f t="shared" si="5"/>
        <v>6700</v>
      </c>
      <c r="U57" s="322"/>
      <c r="V57" s="322"/>
      <c r="W57" s="322"/>
      <c r="X57" s="322"/>
      <c r="Y57" s="322">
        <v>200</v>
      </c>
      <c r="Z57" s="322"/>
      <c r="AA57" s="322"/>
      <c r="AB57" s="322"/>
      <c r="AC57" s="322"/>
      <c r="AD57" s="322"/>
      <c r="AE57" s="322"/>
      <c r="AF57" s="322"/>
      <c r="AG57" s="674">
        <f t="shared" si="2"/>
        <v>200</v>
      </c>
      <c r="AH57" s="674">
        <f t="shared" si="4"/>
        <v>6500</v>
      </c>
    </row>
    <row r="58" spans="1:34" s="551" customFormat="1" ht="15.75" customHeight="1">
      <c r="A58" s="951">
        <v>1</v>
      </c>
      <c r="B58" s="946" t="s">
        <v>43</v>
      </c>
      <c r="C58" s="947" t="s">
        <v>43</v>
      </c>
      <c r="D58" s="947" t="s">
        <v>44</v>
      </c>
      <c r="E58" s="947" t="s">
        <v>48</v>
      </c>
      <c r="F58" s="952">
        <v>54316</v>
      </c>
      <c r="G58" s="953" t="s">
        <v>157</v>
      </c>
      <c r="H58" s="954">
        <v>1000</v>
      </c>
      <c r="I58" s="954"/>
      <c r="J58" s="954"/>
      <c r="K58" s="954"/>
      <c r="L58" s="954"/>
      <c r="M58" s="954"/>
      <c r="N58" s="323"/>
      <c r="O58" s="323"/>
      <c r="P58" s="323"/>
      <c r="Q58" s="322"/>
      <c r="R58" s="322"/>
      <c r="S58" s="322">
        <f t="shared" si="3"/>
        <v>0</v>
      </c>
      <c r="T58" s="674">
        <f t="shared" si="5"/>
        <v>1000</v>
      </c>
      <c r="U58" s="322"/>
      <c r="V58" s="322"/>
      <c r="W58" s="322"/>
      <c r="X58" s="322"/>
      <c r="Y58" s="322"/>
      <c r="Z58" s="322"/>
      <c r="AA58" s="322"/>
      <c r="AB58" s="322"/>
      <c r="AC58" s="322"/>
      <c r="AD58" s="322"/>
      <c r="AE58" s="322"/>
      <c r="AF58" s="322"/>
      <c r="AG58" s="674">
        <f t="shared" si="2"/>
        <v>0</v>
      </c>
      <c r="AH58" s="674">
        <f t="shared" si="4"/>
        <v>1000</v>
      </c>
    </row>
    <row r="59" spans="1:34" s="551" customFormat="1" ht="15.75" customHeight="1">
      <c r="A59" s="951">
        <v>1</v>
      </c>
      <c r="B59" s="946" t="s">
        <v>43</v>
      </c>
      <c r="C59" s="947" t="s">
        <v>43</v>
      </c>
      <c r="D59" s="947" t="s">
        <v>44</v>
      </c>
      <c r="E59" s="947" t="s">
        <v>945</v>
      </c>
      <c r="F59" s="952">
        <v>54317</v>
      </c>
      <c r="G59" s="953" t="s">
        <v>476</v>
      </c>
      <c r="H59" s="954">
        <v>3000</v>
      </c>
      <c r="I59" s="954"/>
      <c r="J59" s="954"/>
      <c r="K59" s="954"/>
      <c r="L59" s="954"/>
      <c r="M59" s="954"/>
      <c r="N59" s="323"/>
      <c r="O59" s="323"/>
      <c r="P59" s="323"/>
      <c r="Q59" s="322"/>
      <c r="R59" s="322"/>
      <c r="S59" s="322">
        <f t="shared" si="3"/>
        <v>0</v>
      </c>
      <c r="T59" s="674">
        <f t="shared" si="5"/>
        <v>3000</v>
      </c>
      <c r="U59" s="322"/>
      <c r="V59" s="322"/>
      <c r="W59" s="322"/>
      <c r="X59" s="322"/>
      <c r="Y59" s="322">
        <v>0</v>
      </c>
      <c r="Z59" s="322"/>
      <c r="AA59" s="322">
        <v>2500</v>
      </c>
      <c r="AB59" s="322"/>
      <c r="AC59" s="322"/>
      <c r="AD59" s="322"/>
      <c r="AE59" s="322"/>
      <c r="AF59" s="322"/>
      <c r="AG59" s="674">
        <f t="shared" si="2"/>
        <v>2500</v>
      </c>
      <c r="AH59" s="674">
        <f t="shared" si="4"/>
        <v>500</v>
      </c>
    </row>
    <row r="60" spans="1:34" s="551" customFormat="1" ht="15.75" customHeight="1">
      <c r="A60" s="951">
        <v>1</v>
      </c>
      <c r="B60" s="946" t="s">
        <v>43</v>
      </c>
      <c r="C60" s="947" t="s">
        <v>43</v>
      </c>
      <c r="D60" s="947" t="s">
        <v>44</v>
      </c>
      <c r="E60" s="947" t="s">
        <v>48</v>
      </c>
      <c r="F60" s="952">
        <v>54399</v>
      </c>
      <c r="G60" s="953" t="s">
        <v>309</v>
      </c>
      <c r="H60" s="954">
        <v>31403.97</v>
      </c>
      <c r="I60" s="954">
        <v>18000</v>
      </c>
      <c r="J60" s="954"/>
      <c r="K60" s="954">
        <v>2000</v>
      </c>
      <c r="L60" s="954">
        <v>3250</v>
      </c>
      <c r="M60" s="954">
        <v>200</v>
      </c>
      <c r="N60" s="323">
        <v>2745</v>
      </c>
      <c r="O60" s="323"/>
      <c r="P60" s="323"/>
      <c r="Q60" s="322">
        <v>1200</v>
      </c>
      <c r="R60" s="322"/>
      <c r="S60" s="322">
        <f>SUM(I60:R60)</f>
        <v>27395</v>
      </c>
      <c r="T60" s="674">
        <f t="shared" si="5"/>
        <v>4008.9700000000012</v>
      </c>
      <c r="U60" s="322"/>
      <c r="V60" s="322"/>
      <c r="W60" s="322"/>
      <c r="X60" s="322"/>
      <c r="Y60" s="322">
        <v>0</v>
      </c>
      <c r="Z60" s="322">
        <v>0</v>
      </c>
      <c r="AA60" s="322"/>
      <c r="AB60" s="322"/>
      <c r="AC60" s="322"/>
      <c r="AD60" s="322"/>
      <c r="AE60" s="322"/>
      <c r="AF60" s="322"/>
      <c r="AG60" s="674">
        <f t="shared" si="2"/>
        <v>0</v>
      </c>
      <c r="AH60" s="674">
        <f t="shared" si="4"/>
        <v>4008.9700000000012</v>
      </c>
    </row>
    <row r="61" spans="1:34" s="551" customFormat="1" ht="15.75" customHeight="1">
      <c r="A61" s="951">
        <v>1</v>
      </c>
      <c r="B61" s="946" t="s">
        <v>43</v>
      </c>
      <c r="C61" s="947" t="s">
        <v>43</v>
      </c>
      <c r="D61" s="947" t="s">
        <v>44</v>
      </c>
      <c r="E61" s="947" t="s">
        <v>48</v>
      </c>
      <c r="F61" s="952">
        <v>54401</v>
      </c>
      <c r="G61" s="953" t="s">
        <v>199</v>
      </c>
      <c r="H61" s="954">
        <v>0</v>
      </c>
      <c r="I61" s="954"/>
      <c r="J61" s="954"/>
      <c r="K61" s="954"/>
      <c r="L61" s="954"/>
      <c r="M61" s="954"/>
      <c r="N61" s="323"/>
      <c r="O61" s="323"/>
      <c r="P61" s="323"/>
      <c r="Q61" s="322"/>
      <c r="R61" s="322"/>
      <c r="S61" s="322">
        <f t="shared" si="3"/>
        <v>0</v>
      </c>
      <c r="T61" s="674">
        <f t="shared" si="5"/>
        <v>0</v>
      </c>
      <c r="U61" s="322"/>
      <c r="V61" s="322"/>
      <c r="W61" s="322"/>
      <c r="X61" s="322"/>
      <c r="Y61" s="322"/>
      <c r="Z61" s="322"/>
      <c r="AA61" s="322"/>
      <c r="AB61" s="322"/>
      <c r="AC61" s="322"/>
      <c r="AD61" s="322"/>
      <c r="AE61" s="322"/>
      <c r="AF61" s="322"/>
      <c r="AG61" s="674">
        <f t="shared" si="2"/>
        <v>0</v>
      </c>
      <c r="AH61" s="674">
        <f t="shared" si="4"/>
        <v>0</v>
      </c>
    </row>
    <row r="62" spans="1:34" ht="15.75" customHeight="1">
      <c r="A62" s="951">
        <v>1</v>
      </c>
      <c r="B62" s="946" t="s">
        <v>43</v>
      </c>
      <c r="C62" s="947" t="s">
        <v>43</v>
      </c>
      <c r="D62" s="947" t="s">
        <v>44</v>
      </c>
      <c r="E62" s="947" t="s">
        <v>48</v>
      </c>
      <c r="F62" s="952">
        <v>54402</v>
      </c>
      <c r="G62" s="953" t="s">
        <v>200</v>
      </c>
      <c r="H62" s="954"/>
      <c r="I62" s="954"/>
      <c r="J62" s="954"/>
      <c r="K62" s="954"/>
      <c r="L62" s="954"/>
      <c r="M62" s="954"/>
      <c r="N62" s="323"/>
      <c r="O62" s="323"/>
      <c r="P62" s="323"/>
      <c r="Q62" s="322"/>
      <c r="R62" s="322"/>
      <c r="S62" s="322">
        <f t="shared" si="3"/>
        <v>0</v>
      </c>
      <c r="T62" s="674">
        <f t="shared" si="5"/>
        <v>0</v>
      </c>
      <c r="U62" s="322"/>
      <c r="V62" s="322"/>
      <c r="W62" s="322"/>
      <c r="X62" s="322"/>
      <c r="Y62" s="322"/>
      <c r="Z62" s="322"/>
      <c r="AA62" s="322"/>
      <c r="AB62" s="322"/>
      <c r="AC62" s="322"/>
      <c r="AD62" s="322"/>
      <c r="AE62" s="322"/>
      <c r="AF62" s="322"/>
      <c r="AG62" s="674">
        <f t="shared" si="2"/>
        <v>0</v>
      </c>
      <c r="AH62" s="674">
        <f t="shared" si="4"/>
        <v>0</v>
      </c>
    </row>
    <row r="63" spans="1:34" s="551" customFormat="1" ht="15.75" customHeight="1">
      <c r="A63" s="951">
        <v>1</v>
      </c>
      <c r="B63" s="946" t="s">
        <v>43</v>
      </c>
      <c r="C63" s="947" t="s">
        <v>43</v>
      </c>
      <c r="D63" s="947" t="s">
        <v>44</v>
      </c>
      <c r="E63" s="947" t="s">
        <v>48</v>
      </c>
      <c r="F63" s="952">
        <v>54403</v>
      </c>
      <c r="G63" s="953" t="s">
        <v>181</v>
      </c>
      <c r="H63" s="954">
        <v>0</v>
      </c>
      <c r="I63" s="954"/>
      <c r="J63" s="954"/>
      <c r="K63" s="954"/>
      <c r="L63" s="954"/>
      <c r="M63" s="954"/>
      <c r="N63" s="323"/>
      <c r="O63" s="323"/>
      <c r="P63" s="323"/>
      <c r="Q63" s="322"/>
      <c r="R63" s="322"/>
      <c r="S63" s="322">
        <f t="shared" si="3"/>
        <v>0</v>
      </c>
      <c r="T63" s="674">
        <f t="shared" si="5"/>
        <v>0</v>
      </c>
      <c r="U63" s="322"/>
      <c r="V63" s="322"/>
      <c r="W63" s="322"/>
      <c r="X63" s="322"/>
      <c r="Y63" s="322"/>
      <c r="Z63" s="322"/>
      <c r="AA63" s="322"/>
      <c r="AB63" s="322"/>
      <c r="AC63" s="322"/>
      <c r="AD63" s="322"/>
      <c r="AE63" s="322"/>
      <c r="AF63" s="322"/>
      <c r="AG63" s="674">
        <f t="shared" si="2"/>
        <v>0</v>
      </c>
      <c r="AH63" s="674">
        <f t="shared" si="4"/>
        <v>0</v>
      </c>
    </row>
    <row r="64" spans="1:34" ht="15.75" customHeight="1">
      <c r="A64" s="951">
        <v>1</v>
      </c>
      <c r="B64" s="946" t="s">
        <v>43</v>
      </c>
      <c r="C64" s="947" t="s">
        <v>43</v>
      </c>
      <c r="D64" s="947" t="s">
        <v>44</v>
      </c>
      <c r="E64" s="947" t="s">
        <v>48</v>
      </c>
      <c r="F64" s="952">
        <v>54404</v>
      </c>
      <c r="G64" s="953" t="s">
        <v>521</v>
      </c>
      <c r="H64" s="954"/>
      <c r="I64" s="954"/>
      <c r="J64" s="954"/>
      <c r="K64" s="954"/>
      <c r="L64" s="954"/>
      <c r="M64" s="954"/>
      <c r="N64" s="323"/>
      <c r="O64" s="323"/>
      <c r="P64" s="323"/>
      <c r="Q64" s="322"/>
      <c r="R64" s="322"/>
      <c r="S64" s="322">
        <f t="shared" si="3"/>
        <v>0</v>
      </c>
      <c r="T64" s="674">
        <f t="shared" si="5"/>
        <v>0</v>
      </c>
      <c r="U64" s="322"/>
      <c r="V64" s="322"/>
      <c r="W64" s="322"/>
      <c r="X64" s="322"/>
      <c r="Y64" s="322"/>
      <c r="Z64" s="322"/>
      <c r="AA64" s="322"/>
      <c r="AB64" s="322"/>
      <c r="AC64" s="322"/>
      <c r="AD64" s="322"/>
      <c r="AE64" s="322"/>
      <c r="AF64" s="322"/>
      <c r="AG64" s="674">
        <f t="shared" si="2"/>
        <v>0</v>
      </c>
      <c r="AH64" s="674">
        <f t="shared" si="4"/>
        <v>0</v>
      </c>
    </row>
    <row r="65" spans="1:34" ht="15.75" customHeight="1">
      <c r="A65" s="951">
        <v>1</v>
      </c>
      <c r="B65" s="946" t="s">
        <v>43</v>
      </c>
      <c r="C65" s="947" t="s">
        <v>43</v>
      </c>
      <c r="D65" s="947" t="s">
        <v>44</v>
      </c>
      <c r="E65" s="947" t="s">
        <v>48</v>
      </c>
      <c r="F65" s="952">
        <v>54502</v>
      </c>
      <c r="G65" s="953" t="s">
        <v>310</v>
      </c>
      <c r="H65" s="954"/>
      <c r="I65" s="954"/>
      <c r="J65" s="954"/>
      <c r="K65" s="954"/>
      <c r="L65" s="954"/>
      <c r="M65" s="954"/>
      <c r="N65" s="323"/>
      <c r="O65" s="323"/>
      <c r="P65" s="323"/>
      <c r="Q65" s="322"/>
      <c r="R65" s="322"/>
      <c r="S65" s="322">
        <f t="shared" si="3"/>
        <v>0</v>
      </c>
      <c r="T65" s="674">
        <f t="shared" si="5"/>
        <v>0</v>
      </c>
      <c r="U65" s="322"/>
      <c r="V65" s="322"/>
      <c r="W65" s="322"/>
      <c r="X65" s="322"/>
      <c r="Y65" s="322"/>
      <c r="Z65" s="322"/>
      <c r="AA65" s="322"/>
      <c r="AB65" s="322"/>
      <c r="AC65" s="322"/>
      <c r="AD65" s="322"/>
      <c r="AE65" s="322"/>
      <c r="AF65" s="322"/>
      <c r="AG65" s="674">
        <f t="shared" si="2"/>
        <v>0</v>
      </c>
      <c r="AH65" s="674">
        <f t="shared" si="4"/>
        <v>0</v>
      </c>
    </row>
    <row r="66" spans="1:34" s="551" customFormat="1" ht="15.75" customHeight="1">
      <c r="A66" s="951">
        <v>1</v>
      </c>
      <c r="B66" s="946" t="s">
        <v>43</v>
      </c>
      <c r="C66" s="947" t="s">
        <v>43</v>
      </c>
      <c r="D66" s="947" t="s">
        <v>44</v>
      </c>
      <c r="E66" s="947" t="s">
        <v>48</v>
      </c>
      <c r="F66" s="952">
        <v>54503</v>
      </c>
      <c r="G66" s="953" t="s">
        <v>66</v>
      </c>
      <c r="H66" s="954">
        <v>0</v>
      </c>
      <c r="I66" s="954"/>
      <c r="J66" s="954"/>
      <c r="K66" s="954"/>
      <c r="L66" s="954"/>
      <c r="M66" s="954"/>
      <c r="N66" s="323"/>
      <c r="O66" s="323"/>
      <c r="P66" s="323"/>
      <c r="Q66" s="322"/>
      <c r="R66" s="322"/>
      <c r="S66" s="322">
        <f t="shared" si="3"/>
        <v>0</v>
      </c>
      <c r="T66" s="674">
        <f t="shared" si="5"/>
        <v>0</v>
      </c>
      <c r="U66" s="322"/>
      <c r="V66" s="322"/>
      <c r="W66" s="322"/>
      <c r="X66" s="322"/>
      <c r="Y66" s="322"/>
      <c r="Z66" s="322"/>
      <c r="AA66" s="322"/>
      <c r="AB66" s="322"/>
      <c r="AC66" s="322"/>
      <c r="AD66" s="322"/>
      <c r="AE66" s="322"/>
      <c r="AF66" s="322"/>
      <c r="AG66" s="674">
        <f t="shared" si="2"/>
        <v>0</v>
      </c>
      <c r="AH66" s="674">
        <f t="shared" si="4"/>
        <v>0</v>
      </c>
    </row>
    <row r="67" spans="1:34" s="551" customFormat="1" ht="15.75" customHeight="1">
      <c r="A67" s="951">
        <v>1</v>
      </c>
      <c r="B67" s="946" t="s">
        <v>43</v>
      </c>
      <c r="C67" s="947" t="s">
        <v>43</v>
      </c>
      <c r="D67" s="947" t="s">
        <v>44</v>
      </c>
      <c r="E67" s="947" t="s">
        <v>48</v>
      </c>
      <c r="F67" s="952">
        <v>54504</v>
      </c>
      <c r="G67" s="953" t="s">
        <v>201</v>
      </c>
      <c r="H67" s="954">
        <v>8000</v>
      </c>
      <c r="I67" s="954"/>
      <c r="J67" s="954"/>
      <c r="K67" s="954"/>
      <c r="L67" s="954"/>
      <c r="M67" s="954"/>
      <c r="N67" s="323"/>
      <c r="O67" s="323"/>
      <c r="P67" s="323"/>
      <c r="Q67" s="322"/>
      <c r="R67" s="322"/>
      <c r="S67" s="322">
        <f t="shared" si="3"/>
        <v>0</v>
      </c>
      <c r="T67" s="674">
        <f t="shared" si="5"/>
        <v>8000</v>
      </c>
      <c r="U67" s="322"/>
      <c r="V67" s="322"/>
      <c r="W67" s="322"/>
      <c r="X67" s="322"/>
      <c r="Y67" s="322"/>
      <c r="Z67" s="322"/>
      <c r="AA67" s="322"/>
      <c r="AB67" s="322">
        <v>8000</v>
      </c>
      <c r="AC67" s="322"/>
      <c r="AD67" s="322"/>
      <c r="AE67" s="322"/>
      <c r="AF67" s="322"/>
      <c r="AG67" s="674">
        <f t="shared" si="2"/>
        <v>8000</v>
      </c>
      <c r="AH67" s="674">
        <f t="shared" si="4"/>
        <v>0</v>
      </c>
    </row>
    <row r="68" spans="1:34" s="551" customFormat="1" ht="15.75" customHeight="1">
      <c r="A68" s="951">
        <v>1</v>
      </c>
      <c r="B68" s="946" t="s">
        <v>43</v>
      </c>
      <c r="C68" s="947" t="s">
        <v>43</v>
      </c>
      <c r="D68" s="947" t="s">
        <v>44</v>
      </c>
      <c r="E68" s="947" t="s">
        <v>48</v>
      </c>
      <c r="F68" s="952">
        <v>54505</v>
      </c>
      <c r="G68" s="953" t="s">
        <v>315</v>
      </c>
      <c r="H68" s="954">
        <v>2000</v>
      </c>
      <c r="I68" s="954"/>
      <c r="J68" s="954"/>
      <c r="K68" s="954"/>
      <c r="L68" s="954"/>
      <c r="M68" s="954"/>
      <c r="N68" s="323"/>
      <c r="O68" s="323"/>
      <c r="P68" s="323"/>
      <c r="Q68" s="322"/>
      <c r="R68" s="322"/>
      <c r="S68" s="322">
        <f t="shared" si="3"/>
        <v>0</v>
      </c>
      <c r="T68" s="674">
        <f t="shared" si="5"/>
        <v>2000</v>
      </c>
      <c r="U68" s="322"/>
      <c r="V68" s="322"/>
      <c r="W68" s="322"/>
      <c r="X68" s="322"/>
      <c r="Y68" s="322"/>
      <c r="Z68" s="322"/>
      <c r="AA68" s="322"/>
      <c r="AB68" s="322"/>
      <c r="AC68" s="322"/>
      <c r="AD68" s="322"/>
      <c r="AE68" s="322">
        <v>2000</v>
      </c>
      <c r="AF68" s="322"/>
      <c r="AG68" s="674">
        <f t="shared" si="2"/>
        <v>2000</v>
      </c>
      <c r="AH68" s="674">
        <f t="shared" si="4"/>
        <v>0</v>
      </c>
    </row>
    <row r="69" spans="1:34" ht="15.75" customHeight="1">
      <c r="A69" s="951">
        <v>1</v>
      </c>
      <c r="B69" s="946" t="s">
        <v>43</v>
      </c>
      <c r="C69" s="947" t="s">
        <v>43</v>
      </c>
      <c r="D69" s="947" t="s">
        <v>44</v>
      </c>
      <c r="E69" s="947" t="s">
        <v>48</v>
      </c>
      <c r="F69" s="952">
        <v>54507</v>
      </c>
      <c r="G69" s="953" t="s">
        <v>535</v>
      </c>
      <c r="H69" s="954">
        <v>2000</v>
      </c>
      <c r="I69" s="954"/>
      <c r="J69" s="954"/>
      <c r="K69" s="954"/>
      <c r="L69" s="954"/>
      <c r="M69" s="954"/>
      <c r="N69" s="323"/>
      <c r="O69" s="323"/>
      <c r="P69" s="323"/>
      <c r="Q69" s="322"/>
      <c r="R69" s="322"/>
      <c r="S69" s="322">
        <f t="shared" si="3"/>
        <v>0</v>
      </c>
      <c r="T69" s="674">
        <f t="shared" si="5"/>
        <v>2000</v>
      </c>
      <c r="U69" s="322"/>
      <c r="V69" s="322"/>
      <c r="W69" s="322"/>
      <c r="X69" s="322"/>
      <c r="Y69" s="322"/>
      <c r="Z69" s="322"/>
      <c r="AA69" s="322"/>
      <c r="AB69" s="322"/>
      <c r="AC69" s="322"/>
      <c r="AD69" s="322"/>
      <c r="AE69" s="322"/>
      <c r="AF69" s="322"/>
      <c r="AG69" s="674">
        <f t="shared" si="2"/>
        <v>0</v>
      </c>
      <c r="AH69" s="674">
        <f t="shared" si="4"/>
        <v>2000</v>
      </c>
    </row>
    <row r="70" spans="1:34" s="551" customFormat="1" ht="15.75" customHeight="1">
      <c r="A70" s="951">
        <v>1</v>
      </c>
      <c r="B70" s="946" t="s">
        <v>43</v>
      </c>
      <c r="C70" s="947" t="s">
        <v>43</v>
      </c>
      <c r="D70" s="947" t="s">
        <v>44</v>
      </c>
      <c r="E70" s="947" t="s">
        <v>48</v>
      </c>
      <c r="F70" s="952">
        <v>54599</v>
      </c>
      <c r="G70" s="953" t="s">
        <v>202</v>
      </c>
      <c r="H70" s="954">
        <v>5000</v>
      </c>
      <c r="I70" s="954"/>
      <c r="J70" s="954"/>
      <c r="K70" s="954"/>
      <c r="L70" s="954"/>
      <c r="M70" s="954"/>
      <c r="N70" s="323"/>
      <c r="O70" s="323"/>
      <c r="P70" s="323"/>
      <c r="Q70" s="322"/>
      <c r="R70" s="322"/>
      <c r="S70" s="322">
        <f t="shared" si="3"/>
        <v>0</v>
      </c>
      <c r="T70" s="674">
        <f t="shared" si="5"/>
        <v>5000</v>
      </c>
      <c r="U70" s="322"/>
      <c r="V70" s="322"/>
      <c r="W70" s="322"/>
      <c r="X70" s="322"/>
      <c r="Y70" s="322"/>
      <c r="Z70" s="322"/>
      <c r="AA70" s="322"/>
      <c r="AB70" s="322"/>
      <c r="AC70" s="322"/>
      <c r="AD70" s="322"/>
      <c r="AE70" s="322"/>
      <c r="AF70" s="322"/>
      <c r="AG70" s="674">
        <f t="shared" si="2"/>
        <v>0</v>
      </c>
      <c r="AH70" s="674">
        <f t="shared" si="4"/>
        <v>5000</v>
      </c>
    </row>
    <row r="71" spans="1:34" ht="15.75" customHeight="1">
      <c r="A71" s="951">
        <v>1</v>
      </c>
      <c r="B71" s="946" t="s">
        <v>43</v>
      </c>
      <c r="C71" s="947" t="s">
        <v>43</v>
      </c>
      <c r="D71" s="947" t="s">
        <v>44</v>
      </c>
      <c r="E71" s="947" t="s">
        <v>48</v>
      </c>
      <c r="F71" s="952">
        <v>54602</v>
      </c>
      <c r="G71" s="953" t="s">
        <v>161</v>
      </c>
      <c r="H71" s="954"/>
      <c r="I71" s="954"/>
      <c r="J71" s="954"/>
      <c r="K71" s="954"/>
      <c r="L71" s="954"/>
      <c r="M71" s="954"/>
      <c r="N71" s="323"/>
      <c r="O71" s="323"/>
      <c r="P71" s="323"/>
      <c r="Q71" s="322"/>
      <c r="R71" s="322"/>
      <c r="S71" s="322">
        <f t="shared" si="3"/>
        <v>0</v>
      </c>
      <c r="T71" s="674">
        <f t="shared" si="5"/>
        <v>0</v>
      </c>
      <c r="U71" s="322"/>
      <c r="V71" s="322"/>
      <c r="W71" s="322"/>
      <c r="X71" s="322"/>
      <c r="Y71" s="322"/>
      <c r="Z71" s="322"/>
      <c r="AA71" s="322"/>
      <c r="AB71" s="322"/>
      <c r="AC71" s="322"/>
      <c r="AD71" s="322"/>
      <c r="AE71" s="322"/>
      <c r="AF71" s="322"/>
      <c r="AG71" s="674">
        <f t="shared" si="2"/>
        <v>0</v>
      </c>
      <c r="AH71" s="674">
        <f t="shared" si="4"/>
        <v>0</v>
      </c>
    </row>
    <row r="72" spans="1:34" ht="15.75" customHeight="1">
      <c r="A72" s="951">
        <v>1</v>
      </c>
      <c r="B72" s="946" t="s">
        <v>43</v>
      </c>
      <c r="C72" s="947" t="s">
        <v>43</v>
      </c>
      <c r="D72" s="947" t="s">
        <v>44</v>
      </c>
      <c r="E72" s="947" t="s">
        <v>48</v>
      </c>
      <c r="F72" s="952">
        <v>54699</v>
      </c>
      <c r="G72" s="953" t="s">
        <v>662</v>
      </c>
      <c r="H72" s="954">
        <v>0</v>
      </c>
      <c r="I72" s="954"/>
      <c r="J72" s="954"/>
      <c r="K72" s="954"/>
      <c r="L72" s="954"/>
      <c r="M72" s="954"/>
      <c r="N72" s="323"/>
      <c r="O72" s="323"/>
      <c r="P72" s="323"/>
      <c r="Q72" s="322"/>
      <c r="R72" s="322"/>
      <c r="S72" s="322">
        <f t="shared" si="3"/>
        <v>0</v>
      </c>
      <c r="T72" s="674">
        <f t="shared" si="5"/>
        <v>0</v>
      </c>
      <c r="U72" s="322"/>
      <c r="V72" s="322"/>
      <c r="W72" s="322"/>
      <c r="X72" s="322"/>
      <c r="Y72" s="322"/>
      <c r="Z72" s="322"/>
      <c r="AA72" s="322"/>
      <c r="AB72" s="322"/>
      <c r="AC72" s="322"/>
      <c r="AD72" s="322"/>
      <c r="AE72" s="322"/>
      <c r="AF72" s="322"/>
      <c r="AG72" s="674">
        <f t="shared" si="2"/>
        <v>0</v>
      </c>
      <c r="AH72" s="674">
        <f t="shared" si="4"/>
        <v>0</v>
      </c>
    </row>
    <row r="73" spans="1:34" s="551" customFormat="1" ht="15.75" customHeight="1">
      <c r="A73" s="951">
        <v>1</v>
      </c>
      <c r="B73" s="946" t="s">
        <v>43</v>
      </c>
      <c r="C73" s="947" t="s">
        <v>43</v>
      </c>
      <c r="D73" s="947" t="s">
        <v>44</v>
      </c>
      <c r="E73" s="947" t="s">
        <v>48</v>
      </c>
      <c r="F73" s="952">
        <v>55601</v>
      </c>
      <c r="G73" s="953" t="s">
        <v>302</v>
      </c>
      <c r="H73" s="954">
        <v>1500</v>
      </c>
      <c r="I73" s="954"/>
      <c r="J73" s="954"/>
      <c r="K73" s="954"/>
      <c r="L73" s="954"/>
      <c r="M73" s="954"/>
      <c r="N73" s="323"/>
      <c r="O73" s="323"/>
      <c r="P73" s="323"/>
      <c r="Q73" s="322"/>
      <c r="R73" s="322"/>
      <c r="S73" s="322">
        <f t="shared" si="3"/>
        <v>0</v>
      </c>
      <c r="T73" s="674">
        <f t="shared" si="5"/>
        <v>1500</v>
      </c>
      <c r="U73" s="322"/>
      <c r="V73" s="322"/>
      <c r="W73" s="322"/>
      <c r="X73" s="322"/>
      <c r="Y73" s="322"/>
      <c r="Z73" s="322"/>
      <c r="AA73" s="322"/>
      <c r="AB73" s="322"/>
      <c r="AC73" s="322"/>
      <c r="AD73" s="322"/>
      <c r="AE73" s="322"/>
      <c r="AF73" s="322"/>
      <c r="AG73" s="674">
        <f t="shared" si="2"/>
        <v>0</v>
      </c>
      <c r="AH73" s="674">
        <f t="shared" si="4"/>
        <v>1500</v>
      </c>
    </row>
    <row r="74" spans="1:34" s="551" customFormat="1" ht="15.75" customHeight="1">
      <c r="A74" s="951">
        <v>1</v>
      </c>
      <c r="B74" s="946" t="s">
        <v>43</v>
      </c>
      <c r="C74" s="947" t="s">
        <v>43</v>
      </c>
      <c r="D74" s="947" t="s">
        <v>44</v>
      </c>
      <c r="E74" s="947" t="s">
        <v>48</v>
      </c>
      <c r="F74" s="952">
        <v>55602</v>
      </c>
      <c r="G74" s="953" t="s">
        <v>203</v>
      </c>
      <c r="H74" s="954">
        <v>5000</v>
      </c>
      <c r="I74" s="954"/>
      <c r="J74" s="954"/>
      <c r="K74" s="954"/>
      <c r="L74" s="954"/>
      <c r="M74" s="954"/>
      <c r="N74" s="323"/>
      <c r="O74" s="323"/>
      <c r="P74" s="323"/>
      <c r="Q74" s="322"/>
      <c r="R74" s="322"/>
      <c r="S74" s="322">
        <f t="shared" si="3"/>
        <v>0</v>
      </c>
      <c r="T74" s="674">
        <f t="shared" si="5"/>
        <v>5000</v>
      </c>
      <c r="U74" s="322"/>
      <c r="V74" s="322"/>
      <c r="W74" s="322"/>
      <c r="X74" s="322"/>
      <c r="Y74" s="322"/>
      <c r="Z74" s="322"/>
      <c r="AA74" s="322">
        <v>2500</v>
      </c>
      <c r="AB74" s="322"/>
      <c r="AC74" s="322"/>
      <c r="AD74" s="322"/>
      <c r="AE74" s="322"/>
      <c r="AF74" s="322"/>
      <c r="AG74" s="674">
        <f t="shared" si="2"/>
        <v>2500</v>
      </c>
      <c r="AH74" s="674">
        <f t="shared" si="4"/>
        <v>2500</v>
      </c>
    </row>
    <row r="75" spans="1:34" s="551" customFormat="1" ht="15.75" customHeight="1">
      <c r="A75" s="951">
        <v>1</v>
      </c>
      <c r="B75" s="946" t="s">
        <v>43</v>
      </c>
      <c r="C75" s="947" t="s">
        <v>43</v>
      </c>
      <c r="D75" s="947" t="s">
        <v>44</v>
      </c>
      <c r="E75" s="947" t="s">
        <v>48</v>
      </c>
      <c r="F75" s="952">
        <v>55603</v>
      </c>
      <c r="G75" s="953" t="s">
        <v>145</v>
      </c>
      <c r="H75" s="954">
        <v>100</v>
      </c>
      <c r="I75" s="954"/>
      <c r="J75" s="954"/>
      <c r="K75" s="954"/>
      <c r="L75" s="954"/>
      <c r="M75" s="954"/>
      <c r="N75" s="323"/>
      <c r="O75" s="323"/>
      <c r="P75" s="323"/>
      <c r="Q75" s="322"/>
      <c r="R75" s="322"/>
      <c r="S75" s="322">
        <f t="shared" si="3"/>
        <v>0</v>
      </c>
      <c r="T75" s="674">
        <f t="shared" si="5"/>
        <v>100</v>
      </c>
      <c r="U75" s="322"/>
      <c r="V75" s="322"/>
      <c r="W75" s="322"/>
      <c r="X75" s="322"/>
      <c r="Y75" s="322"/>
      <c r="Z75" s="322"/>
      <c r="AA75" s="322"/>
      <c r="AB75" s="322"/>
      <c r="AC75" s="322"/>
      <c r="AD75" s="322"/>
      <c r="AE75" s="322"/>
      <c r="AF75" s="322"/>
      <c r="AG75" s="674">
        <f t="shared" si="2"/>
        <v>0</v>
      </c>
      <c r="AH75" s="674">
        <f t="shared" si="4"/>
        <v>100</v>
      </c>
    </row>
    <row r="76" spans="1:34" s="551" customFormat="1" ht="15.75" customHeight="1">
      <c r="A76" s="951">
        <v>1</v>
      </c>
      <c r="B76" s="946" t="s">
        <v>43</v>
      </c>
      <c r="C76" s="947" t="s">
        <v>43</v>
      </c>
      <c r="D76" s="947" t="s">
        <v>44</v>
      </c>
      <c r="E76" s="947" t="s">
        <v>48</v>
      </c>
      <c r="F76" s="952">
        <v>55703</v>
      </c>
      <c r="G76" s="953" t="s">
        <v>146</v>
      </c>
      <c r="H76" s="954"/>
      <c r="I76" s="954"/>
      <c r="J76" s="954"/>
      <c r="K76" s="954"/>
      <c r="L76" s="954"/>
      <c r="M76" s="954"/>
      <c r="N76" s="323"/>
      <c r="O76" s="323"/>
      <c r="P76" s="323"/>
      <c r="Q76" s="322"/>
      <c r="R76" s="322"/>
      <c r="S76" s="322">
        <f t="shared" si="3"/>
        <v>0</v>
      </c>
      <c r="T76" s="674">
        <f t="shared" si="5"/>
        <v>0</v>
      </c>
      <c r="U76" s="322"/>
      <c r="V76" s="322"/>
      <c r="W76" s="322"/>
      <c r="X76" s="322"/>
      <c r="Y76" s="322"/>
      <c r="Z76" s="322"/>
      <c r="AA76" s="322"/>
      <c r="AB76" s="322"/>
      <c r="AC76" s="322"/>
      <c r="AD76" s="322"/>
      <c r="AE76" s="322"/>
      <c r="AF76" s="322"/>
      <c r="AG76" s="674">
        <f t="shared" si="2"/>
        <v>0</v>
      </c>
      <c r="AH76" s="674">
        <f t="shared" si="4"/>
        <v>0</v>
      </c>
    </row>
    <row r="77" spans="1:34" ht="15.75" customHeight="1">
      <c r="A77" s="951">
        <v>1</v>
      </c>
      <c r="B77" s="946" t="s">
        <v>43</v>
      </c>
      <c r="C77" s="947" t="s">
        <v>43</v>
      </c>
      <c r="D77" s="947" t="s">
        <v>44</v>
      </c>
      <c r="E77" s="947" t="s">
        <v>48</v>
      </c>
      <c r="F77" s="952">
        <v>55799</v>
      </c>
      <c r="G77" s="953" t="s">
        <v>189</v>
      </c>
      <c r="H77" s="954">
        <v>1000</v>
      </c>
      <c r="I77" s="954"/>
      <c r="J77" s="954"/>
      <c r="K77" s="954"/>
      <c r="L77" s="954"/>
      <c r="M77" s="954"/>
      <c r="N77" s="323"/>
      <c r="O77" s="323"/>
      <c r="P77" s="323"/>
      <c r="Q77" s="322"/>
      <c r="R77" s="322"/>
      <c r="S77" s="322">
        <f>SUM(I77:R77)</f>
        <v>0</v>
      </c>
      <c r="T77" s="674">
        <f>H77-S77</f>
        <v>1000</v>
      </c>
      <c r="U77" s="322"/>
      <c r="V77" s="322"/>
      <c r="W77" s="322"/>
      <c r="X77" s="322"/>
      <c r="Y77" s="322"/>
      <c r="Z77" s="322"/>
      <c r="AA77" s="322"/>
      <c r="AB77" s="322"/>
      <c r="AC77" s="322"/>
      <c r="AD77" s="322"/>
      <c r="AE77" s="322"/>
      <c r="AF77" s="322"/>
      <c r="AG77" s="674">
        <f t="shared" si="2"/>
        <v>0</v>
      </c>
      <c r="AH77" s="674">
        <f>T77-AG77</f>
        <v>1000</v>
      </c>
    </row>
    <row r="78" spans="1:34" s="551" customFormat="1" ht="33.75" customHeight="1">
      <c r="A78" s="951">
        <v>1</v>
      </c>
      <c r="B78" s="946" t="s">
        <v>43</v>
      </c>
      <c r="C78" s="947" t="s">
        <v>43</v>
      </c>
      <c r="D78" s="947" t="s">
        <v>44</v>
      </c>
      <c r="E78" s="947" t="s">
        <v>48</v>
      </c>
      <c r="F78" s="952">
        <v>56301</v>
      </c>
      <c r="G78" s="884" t="s">
        <v>555</v>
      </c>
      <c r="H78" s="954">
        <v>0</v>
      </c>
      <c r="I78" s="954"/>
      <c r="J78" s="954"/>
      <c r="K78" s="954"/>
      <c r="L78" s="954"/>
      <c r="M78" s="954"/>
      <c r="N78" s="323"/>
      <c r="O78" s="323"/>
      <c r="P78" s="323"/>
      <c r="Q78" s="322"/>
      <c r="R78" s="322"/>
      <c r="S78" s="322">
        <f t="shared" si="3"/>
        <v>0</v>
      </c>
      <c r="T78" s="674">
        <f t="shared" si="5"/>
        <v>0</v>
      </c>
      <c r="U78" s="322"/>
      <c r="V78" s="322"/>
      <c r="W78" s="322"/>
      <c r="X78" s="322"/>
      <c r="Y78" s="322"/>
      <c r="Z78" s="322"/>
      <c r="AA78" s="322"/>
      <c r="AB78" s="322"/>
      <c r="AC78" s="322"/>
      <c r="AD78" s="322"/>
      <c r="AE78" s="322"/>
      <c r="AF78" s="322"/>
      <c r="AG78" s="674">
        <f t="shared" si="2"/>
        <v>0</v>
      </c>
      <c r="AH78" s="674">
        <f t="shared" ref="AH78:AH84" si="6">T78-AG78</f>
        <v>0</v>
      </c>
    </row>
    <row r="79" spans="1:34" s="551" customFormat="1" ht="24.95" customHeight="1">
      <c r="A79" s="951">
        <v>1</v>
      </c>
      <c r="B79" s="946" t="s">
        <v>43</v>
      </c>
      <c r="C79" s="947" t="s">
        <v>43</v>
      </c>
      <c r="D79" s="947" t="s">
        <v>44</v>
      </c>
      <c r="E79" s="947" t="s">
        <v>48</v>
      </c>
      <c r="F79" s="952">
        <v>56303</v>
      </c>
      <c r="G79" s="884" t="str">
        <f>+Egresos!B126</f>
        <v>A Organismos sin fines de Lucro</v>
      </c>
      <c r="H79" s="954">
        <v>1000</v>
      </c>
      <c r="I79" s="954"/>
      <c r="J79" s="954"/>
      <c r="K79" s="954"/>
      <c r="L79" s="954"/>
      <c r="M79" s="954"/>
      <c r="N79" s="323"/>
      <c r="O79" s="323"/>
      <c r="P79" s="323"/>
      <c r="Q79" s="322"/>
      <c r="R79" s="322"/>
      <c r="S79" s="322">
        <f t="shared" si="3"/>
        <v>0</v>
      </c>
      <c r="T79" s="674">
        <f>H79-S79</f>
        <v>1000</v>
      </c>
      <c r="U79" s="322"/>
      <c r="V79" s="322"/>
      <c r="W79" s="322"/>
      <c r="X79" s="322"/>
      <c r="Y79" s="322"/>
      <c r="Z79" s="322"/>
      <c r="AA79" s="322"/>
      <c r="AB79" s="322"/>
      <c r="AC79" s="322"/>
      <c r="AD79" s="322"/>
      <c r="AE79" s="322"/>
      <c r="AF79" s="322"/>
      <c r="AG79" s="674">
        <f t="shared" si="2"/>
        <v>0</v>
      </c>
      <c r="AH79" s="674">
        <f t="shared" si="6"/>
        <v>1000</v>
      </c>
    </row>
    <row r="80" spans="1:34" s="551" customFormat="1" ht="15.75" customHeight="1">
      <c r="A80" s="951">
        <v>1</v>
      </c>
      <c r="B80" s="946" t="s">
        <v>43</v>
      </c>
      <c r="C80" s="947" t="s">
        <v>43</v>
      </c>
      <c r="D80" s="947" t="s">
        <v>44</v>
      </c>
      <c r="E80" s="947" t="s">
        <v>48</v>
      </c>
      <c r="F80" s="952">
        <v>56304</v>
      </c>
      <c r="G80" s="953" t="s">
        <v>182</v>
      </c>
      <c r="H80" s="954">
        <v>5000</v>
      </c>
      <c r="I80" s="954"/>
      <c r="J80" s="954"/>
      <c r="K80" s="954"/>
      <c r="L80" s="954"/>
      <c r="M80" s="954"/>
      <c r="N80" s="323"/>
      <c r="O80" s="323"/>
      <c r="P80" s="323"/>
      <c r="Q80" s="322"/>
      <c r="R80" s="322"/>
      <c r="S80" s="322">
        <f t="shared" si="3"/>
        <v>0</v>
      </c>
      <c r="T80" s="674">
        <f t="shared" si="5"/>
        <v>5000</v>
      </c>
      <c r="U80" s="322"/>
      <c r="V80" s="322"/>
      <c r="W80" s="322"/>
      <c r="X80" s="322"/>
      <c r="Y80" s="322"/>
      <c r="Z80" s="322"/>
      <c r="AA80" s="322"/>
      <c r="AB80" s="322"/>
      <c r="AC80" s="322"/>
      <c r="AD80" s="322"/>
      <c r="AE80" s="322"/>
      <c r="AF80" s="322"/>
      <c r="AG80" s="674">
        <f t="shared" si="2"/>
        <v>0</v>
      </c>
      <c r="AH80" s="674">
        <f t="shared" si="6"/>
        <v>5000</v>
      </c>
    </row>
    <row r="81" spans="1:34" s="551" customFormat="1" ht="15.75" customHeight="1">
      <c r="A81" s="951">
        <v>1</v>
      </c>
      <c r="B81" s="946" t="s">
        <v>43</v>
      </c>
      <c r="C81" s="947" t="s">
        <v>43</v>
      </c>
      <c r="D81" s="947" t="s">
        <v>44</v>
      </c>
      <c r="E81" s="947" t="s">
        <v>48</v>
      </c>
      <c r="F81" s="952">
        <v>61101</v>
      </c>
      <c r="G81" s="953" t="s">
        <v>148</v>
      </c>
      <c r="H81" s="954">
        <v>1500</v>
      </c>
      <c r="I81" s="954"/>
      <c r="J81" s="954"/>
      <c r="K81" s="954"/>
      <c r="L81" s="954"/>
      <c r="M81" s="954"/>
      <c r="N81" s="323"/>
      <c r="O81" s="323"/>
      <c r="P81" s="323"/>
      <c r="Q81" s="322"/>
      <c r="R81" s="322"/>
      <c r="S81" s="322">
        <f>SUM(I81:R81)</f>
        <v>0</v>
      </c>
      <c r="T81" s="674">
        <f t="shared" si="5"/>
        <v>1500</v>
      </c>
      <c r="U81" s="322">
        <v>200</v>
      </c>
      <c r="V81" s="322"/>
      <c r="W81" s="322"/>
      <c r="X81" s="322">
        <v>440</v>
      </c>
      <c r="Y81" s="322"/>
      <c r="Z81" s="322"/>
      <c r="AA81" s="322"/>
      <c r="AB81" s="322"/>
      <c r="AC81" s="322"/>
      <c r="AD81" s="322"/>
      <c r="AE81" s="322"/>
      <c r="AF81" s="322"/>
      <c r="AG81" s="674">
        <f t="shared" si="2"/>
        <v>640</v>
      </c>
      <c r="AH81" s="674">
        <f t="shared" si="6"/>
        <v>860</v>
      </c>
    </row>
    <row r="82" spans="1:34" s="551" customFormat="1" ht="15.75" customHeight="1">
      <c r="A82" s="951">
        <v>1</v>
      </c>
      <c r="B82" s="946" t="s">
        <v>43</v>
      </c>
      <c r="C82" s="947" t="s">
        <v>43</v>
      </c>
      <c r="D82" s="947" t="s">
        <v>44</v>
      </c>
      <c r="E82" s="947" t="s">
        <v>48</v>
      </c>
      <c r="F82" s="952">
        <v>61102</v>
      </c>
      <c r="G82" s="953" t="s">
        <v>304</v>
      </c>
      <c r="H82" s="954">
        <v>1400</v>
      </c>
      <c r="I82" s="954"/>
      <c r="J82" s="954"/>
      <c r="K82" s="954"/>
      <c r="L82" s="954"/>
      <c r="M82" s="954"/>
      <c r="N82" s="323"/>
      <c r="O82" s="323"/>
      <c r="P82" s="323"/>
      <c r="Q82" s="322"/>
      <c r="R82" s="322"/>
      <c r="S82" s="322">
        <f t="shared" si="3"/>
        <v>0</v>
      </c>
      <c r="T82" s="674">
        <f t="shared" si="5"/>
        <v>1400</v>
      </c>
      <c r="U82" s="322"/>
      <c r="V82" s="322"/>
      <c r="W82" s="322"/>
      <c r="X82" s="322"/>
      <c r="Y82" s="322"/>
      <c r="Z82" s="322"/>
      <c r="AA82" s="322"/>
      <c r="AB82" s="322"/>
      <c r="AC82" s="322"/>
      <c r="AD82" s="322"/>
      <c r="AE82" s="322"/>
      <c r="AF82" s="322"/>
      <c r="AG82" s="674">
        <f t="shared" si="2"/>
        <v>0</v>
      </c>
      <c r="AH82" s="674">
        <f t="shared" si="6"/>
        <v>1400</v>
      </c>
    </row>
    <row r="83" spans="1:34" s="551" customFormat="1" ht="15.75" customHeight="1">
      <c r="A83" s="951">
        <v>1</v>
      </c>
      <c r="B83" s="946" t="s">
        <v>43</v>
      </c>
      <c r="C83" s="947" t="s">
        <v>43</v>
      </c>
      <c r="D83" s="947" t="s">
        <v>44</v>
      </c>
      <c r="E83" s="947" t="s">
        <v>48</v>
      </c>
      <c r="F83" s="952">
        <v>61104</v>
      </c>
      <c r="G83" s="953" t="s">
        <v>311</v>
      </c>
      <c r="H83" s="954">
        <v>5000</v>
      </c>
      <c r="I83" s="954"/>
      <c r="J83" s="954"/>
      <c r="K83" s="954"/>
      <c r="L83" s="954"/>
      <c r="M83" s="954"/>
      <c r="N83" s="323"/>
      <c r="O83" s="323"/>
      <c r="P83" s="323"/>
      <c r="Q83" s="322"/>
      <c r="R83" s="322"/>
      <c r="S83" s="322">
        <f t="shared" si="3"/>
        <v>0</v>
      </c>
      <c r="T83" s="674">
        <f>H83-S83</f>
        <v>5000</v>
      </c>
      <c r="U83" s="322"/>
      <c r="V83" s="322"/>
      <c r="W83" s="322">
        <v>0</v>
      </c>
      <c r="X83" s="322"/>
      <c r="Y83" s="322">
        <v>300</v>
      </c>
      <c r="Z83" s="322"/>
      <c r="AA83" s="322"/>
      <c r="AB83" s="322"/>
      <c r="AC83" s="322">
        <v>700</v>
      </c>
      <c r="AD83" s="322">
        <v>700</v>
      </c>
      <c r="AE83" s="322"/>
      <c r="AF83" s="322">
        <v>1500</v>
      </c>
      <c r="AG83" s="674">
        <f>SUM(U83:AF83)</f>
        <v>3200</v>
      </c>
      <c r="AH83" s="674">
        <f t="shared" si="6"/>
        <v>1800</v>
      </c>
    </row>
    <row r="84" spans="1:34" s="551" customFormat="1" ht="15.75" customHeight="1">
      <c r="A84" s="951">
        <v>1</v>
      </c>
      <c r="B84" s="946" t="s">
        <v>43</v>
      </c>
      <c r="C84" s="947" t="s">
        <v>43</v>
      </c>
      <c r="D84" s="947" t="s">
        <v>44</v>
      </c>
      <c r="E84" s="947" t="s">
        <v>48</v>
      </c>
      <c r="F84" s="952">
        <v>61199</v>
      </c>
      <c r="G84" s="953" t="s">
        <v>147</v>
      </c>
      <c r="H84" s="954">
        <v>500.81</v>
      </c>
      <c r="I84" s="954"/>
      <c r="J84" s="954"/>
      <c r="K84" s="954"/>
      <c r="L84" s="954"/>
      <c r="M84" s="954"/>
      <c r="N84" s="323"/>
      <c r="O84" s="323"/>
      <c r="P84" s="323"/>
      <c r="Q84" s="322"/>
      <c r="R84" s="322"/>
      <c r="S84" s="322">
        <f>SUM(I84:R84)</f>
        <v>0</v>
      </c>
      <c r="T84" s="674">
        <f>H84-S84</f>
        <v>500.81</v>
      </c>
      <c r="U84" s="322"/>
      <c r="V84" s="322"/>
      <c r="W84" s="322"/>
      <c r="X84" s="322"/>
      <c r="Y84" s="322"/>
      <c r="Z84" s="322"/>
      <c r="AA84" s="322"/>
      <c r="AB84" s="322"/>
      <c r="AC84" s="322"/>
      <c r="AD84" s="322"/>
      <c r="AE84" s="322"/>
      <c r="AF84" s="322"/>
      <c r="AG84" s="674">
        <f t="shared" si="2"/>
        <v>0</v>
      </c>
      <c r="AH84" s="674">
        <f t="shared" si="6"/>
        <v>500.81</v>
      </c>
    </row>
    <row r="85" spans="1:34" ht="15.75" customHeight="1" thickBot="1">
      <c r="A85" s="955"/>
      <c r="B85" s="956"/>
      <c r="C85" s="956"/>
      <c r="D85" s="956"/>
      <c r="E85" s="957"/>
      <c r="F85" s="956"/>
      <c r="G85" s="958"/>
      <c r="H85" s="959"/>
      <c r="I85" s="959"/>
      <c r="J85" s="959"/>
      <c r="K85" s="959"/>
      <c r="L85" s="959"/>
      <c r="M85" s="959"/>
      <c r="N85" s="885"/>
      <c r="O85" s="885"/>
      <c r="P85" s="885"/>
      <c r="Q85" s="969"/>
      <c r="R85" s="969"/>
      <c r="S85" s="322">
        <f t="shared" si="3"/>
        <v>0</v>
      </c>
      <c r="T85" s="674">
        <f t="shared" si="5"/>
        <v>0</v>
      </c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674">
        <f t="shared" si="2"/>
        <v>0</v>
      </c>
      <c r="AH85" s="674">
        <f t="shared" ref="AH85" si="7">T85-AG85</f>
        <v>0</v>
      </c>
    </row>
    <row r="86" spans="1:34" ht="31.5" customHeight="1" thickBot="1">
      <c r="A86" s="1097"/>
      <c r="B86" s="1098"/>
      <c r="C86" s="1098"/>
      <c r="D86" s="1098"/>
      <c r="E86" s="1098"/>
      <c r="F86" s="1099"/>
      <c r="G86" s="960" t="s">
        <v>204</v>
      </c>
      <c r="H86" s="961">
        <f t="shared" ref="H86:X86" si="8">SUM(H10:H85)</f>
        <v>550647.995</v>
      </c>
      <c r="I86" s="961">
        <f t="shared" si="8"/>
        <v>30000</v>
      </c>
      <c r="J86" s="961">
        <f t="shared" si="8"/>
        <v>22000</v>
      </c>
      <c r="K86" s="961">
        <f t="shared" si="8"/>
        <v>3200</v>
      </c>
      <c r="L86" s="961">
        <f t="shared" si="8"/>
        <v>4245</v>
      </c>
      <c r="M86" s="961">
        <f t="shared" si="8"/>
        <v>1100</v>
      </c>
      <c r="N86" s="985">
        <f t="shared" si="8"/>
        <v>4502</v>
      </c>
      <c r="O86" s="985">
        <f t="shared" si="8"/>
        <v>0</v>
      </c>
      <c r="P86" s="985">
        <f t="shared" si="8"/>
        <v>1000</v>
      </c>
      <c r="Q86" s="985">
        <f t="shared" si="8"/>
        <v>2400</v>
      </c>
      <c r="R86" s="985">
        <f t="shared" si="8"/>
        <v>3000</v>
      </c>
      <c r="S86" s="782">
        <f>SUM(S10:S85)</f>
        <v>71447</v>
      </c>
      <c r="T86" s="261">
        <f>SUM(T10:T85)</f>
        <v>125584.07</v>
      </c>
      <c r="U86" s="879">
        <f>SUM(U16:U85)</f>
        <v>10795</v>
      </c>
      <c r="V86" s="879">
        <f t="shared" si="8"/>
        <v>3607</v>
      </c>
      <c r="W86" s="879">
        <f t="shared" si="8"/>
        <v>1350</v>
      </c>
      <c r="X86" s="879">
        <f t="shared" si="8"/>
        <v>1450</v>
      </c>
      <c r="Y86" s="879">
        <f t="shared" ref="Y86:AF86" si="9">SUM(Y10:Y85)</f>
        <v>2150</v>
      </c>
      <c r="Z86" s="879">
        <f>SUM(Z10:Z85)</f>
        <v>1000</v>
      </c>
      <c r="AA86" s="879">
        <f t="shared" si="9"/>
        <v>21000</v>
      </c>
      <c r="AB86" s="879">
        <f t="shared" si="9"/>
        <v>8800</v>
      </c>
      <c r="AC86" s="879">
        <f>SUM(AC10:AC85)</f>
        <v>1200</v>
      </c>
      <c r="AD86" s="879">
        <f t="shared" si="9"/>
        <v>1425</v>
      </c>
      <c r="AE86" s="879">
        <f t="shared" si="9"/>
        <v>7819</v>
      </c>
      <c r="AF86" s="879">
        <f t="shared" si="9"/>
        <v>2500</v>
      </c>
      <c r="AG86" s="755">
        <f>SUM(AG10:AG85)</f>
        <v>57496</v>
      </c>
      <c r="AH86" s="755">
        <f>SUM(AH10:AH85)</f>
        <v>68088.070000000007</v>
      </c>
    </row>
    <row r="87" spans="1:34">
      <c r="A87" s="28"/>
      <c r="B87" s="28"/>
      <c r="C87" s="28"/>
      <c r="D87" s="28"/>
      <c r="E87" s="28"/>
      <c r="F87" s="28"/>
      <c r="H87" s="262"/>
      <c r="AE87" s="25" t="s">
        <v>910</v>
      </c>
      <c r="AG87" s="25"/>
    </row>
    <row r="88" spans="1:34">
      <c r="A88" s="28"/>
      <c r="B88" s="28"/>
      <c r="C88" s="28"/>
      <c r="D88" s="28"/>
      <c r="E88" s="28"/>
      <c r="F88" s="28"/>
      <c r="H88" s="262"/>
      <c r="I88" s="24" t="s">
        <v>1166</v>
      </c>
      <c r="J88" s="170">
        <f>SUM(H10:H24)</f>
        <v>353616.92499999999</v>
      </c>
      <c r="T88" s="156">
        <f>SUM(U86:AE86)</f>
        <v>60596</v>
      </c>
      <c r="AG88" s="25"/>
    </row>
    <row r="89" spans="1:34">
      <c r="A89" s="1003"/>
      <c r="B89" s="1003"/>
      <c r="C89" s="1003"/>
      <c r="D89" s="1003"/>
      <c r="E89" s="1003"/>
      <c r="F89" s="1003"/>
      <c r="G89" s="1003"/>
      <c r="I89" s="24" t="s">
        <v>884</v>
      </c>
      <c r="J89" s="170">
        <f>SUM(I86:R86)</f>
        <v>71447</v>
      </c>
      <c r="T89" s="156"/>
      <c r="AG89" s="25"/>
    </row>
    <row r="90" spans="1:34" ht="15">
      <c r="A90" s="28"/>
      <c r="B90" s="28"/>
      <c r="C90" s="28"/>
      <c r="D90" s="28"/>
      <c r="E90" s="28"/>
      <c r="F90" s="28"/>
      <c r="J90" s="672">
        <f>H86-J88-J89</f>
        <v>125584.07</v>
      </c>
      <c r="AG90" s="25"/>
    </row>
    <row r="91" spans="1:34">
      <c r="AG91" s="25"/>
    </row>
    <row r="92" spans="1:34">
      <c r="AG92" s="25"/>
    </row>
    <row r="93" spans="1:34">
      <c r="AG93" s="25"/>
    </row>
  </sheetData>
  <mergeCells count="40">
    <mergeCell ref="AF8:AF9"/>
    <mergeCell ref="S8:S9"/>
    <mergeCell ref="Y8:Y9"/>
    <mergeCell ref="Z8:Z9"/>
    <mergeCell ref="U8:U9"/>
    <mergeCell ref="V8:V9"/>
    <mergeCell ref="W8:W9"/>
    <mergeCell ref="X8:X9"/>
    <mergeCell ref="AA8:AA9"/>
    <mergeCell ref="K8:K9"/>
    <mergeCell ref="A1:D1"/>
    <mergeCell ref="E1:H1"/>
    <mergeCell ref="I8:I9"/>
    <mergeCell ref="J8:J9"/>
    <mergeCell ref="I1:K1"/>
    <mergeCell ref="A3:H3"/>
    <mergeCell ref="A4:H4"/>
    <mergeCell ref="A5:H5"/>
    <mergeCell ref="A7:H7"/>
    <mergeCell ref="A8:F8"/>
    <mergeCell ref="G8:G9"/>
    <mergeCell ref="H8:H9"/>
    <mergeCell ref="A6:H6"/>
    <mergeCell ref="A2:H2"/>
    <mergeCell ref="AG8:AG9"/>
    <mergeCell ref="AH8:AH9"/>
    <mergeCell ref="AE8:AE9"/>
    <mergeCell ref="Q8:Q9"/>
    <mergeCell ref="A89:G89"/>
    <mergeCell ref="A86:F86"/>
    <mergeCell ref="P8:P9"/>
    <mergeCell ref="L8:L9"/>
    <mergeCell ref="M8:M9"/>
    <mergeCell ref="N8:N9"/>
    <mergeCell ref="O8:O9"/>
    <mergeCell ref="R8:R9"/>
    <mergeCell ref="AC8:AC9"/>
    <mergeCell ref="AD8:AD9"/>
    <mergeCell ref="AB8:AB9"/>
    <mergeCell ref="T8:T9"/>
  </mergeCells>
  <phoneticPr fontId="4" type="noConversion"/>
  <pageMargins left="0.70866141732283472" right="0.70866141732283472" top="0.74803149606299213" bottom="0.74803149606299213" header="0.31496062992125984" footer="0.31496062992125984"/>
  <pageSetup paperSize="5" scale="51" orientation="portrait" r:id="rId1"/>
  <headerFooter alignWithMargins="0">
    <oddFooter>&amp;C pagina &amp;P</oddFooter>
  </headerFooter>
  <colBreaks count="1" manualBreakCount="1">
    <brk id="20" min="1" max="85" man="1"/>
  </col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/>
    <pageSetUpPr fitToPage="1"/>
  </sheetPr>
  <dimension ref="A1:AH199"/>
  <sheetViews>
    <sheetView showGridLines="0" topLeftCell="A16" zoomScale="70" zoomScaleNormal="70" zoomScaleSheetLayoutView="93" workbookViewId="0">
      <selection activeCell="A25" sqref="A25"/>
    </sheetView>
  </sheetViews>
  <sheetFormatPr baseColWidth="10" defaultColWidth="11.42578125" defaultRowHeight="12.75"/>
  <cols>
    <col min="1" max="1" width="4.5703125" style="23" customWidth="1"/>
    <col min="2" max="2" width="4.42578125" style="23" customWidth="1"/>
    <col min="3" max="4" width="4.5703125" style="23" customWidth="1"/>
    <col min="5" max="5" width="6.140625" style="23" customWidth="1"/>
    <col min="6" max="6" width="13.42578125" style="23" customWidth="1"/>
    <col min="7" max="7" width="43.5703125" style="19" customWidth="1"/>
    <col min="8" max="9" width="24.5703125" style="4" customWidth="1"/>
    <col min="10" max="10" width="25.5703125" style="4" customWidth="1"/>
    <col min="11" max="11" width="24.5703125" style="4" customWidth="1"/>
    <col min="12" max="12" width="26.7109375" style="4" customWidth="1"/>
    <col min="13" max="17" width="24.5703125" style="4" customWidth="1"/>
    <col min="18" max="18" width="43.140625" style="21" customWidth="1"/>
    <col min="19" max="20" width="15.42578125" style="21" customWidth="1"/>
    <col min="21" max="21" width="16.85546875" style="21" customWidth="1"/>
    <col min="22" max="22" width="15.42578125" style="21" customWidth="1"/>
    <col min="23" max="23" width="21.5703125" style="21" customWidth="1"/>
    <col min="24" max="24" width="17" style="21" customWidth="1"/>
    <col min="25" max="25" width="16.7109375" style="21" customWidth="1"/>
    <col min="26" max="26" width="17" style="21" customWidth="1"/>
    <col min="27" max="27" width="15.28515625" style="21" customWidth="1"/>
    <col min="28" max="28" width="18.140625" style="21" customWidth="1"/>
    <col min="29" max="29" width="15.7109375" style="21" customWidth="1"/>
    <col min="30" max="30" width="18.7109375" style="21" customWidth="1"/>
    <col min="31" max="31" width="15.28515625" style="21" customWidth="1"/>
    <col min="32" max="32" width="22.85546875" style="21" customWidth="1"/>
    <col min="33" max="33" width="26.7109375" style="21" customWidth="1"/>
    <col min="34" max="34" width="23.85546875" style="21" customWidth="1"/>
    <col min="35" max="16384" width="11.42578125" style="21"/>
  </cols>
  <sheetData>
    <row r="1" spans="1:34" ht="20.25">
      <c r="A1" s="1104"/>
      <c r="B1" s="1104"/>
      <c r="C1" s="1104"/>
      <c r="D1" s="1104"/>
      <c r="E1" s="1104"/>
      <c r="F1" s="1104"/>
      <c r="G1" s="1104"/>
      <c r="H1" s="1104"/>
      <c r="I1" s="174"/>
      <c r="J1" s="174"/>
      <c r="K1" s="174"/>
      <c r="L1" s="174"/>
      <c r="M1" s="174"/>
      <c r="N1" s="174"/>
      <c r="O1" s="174"/>
      <c r="P1" s="174"/>
      <c r="Q1" s="174"/>
    </row>
    <row r="2" spans="1:34" ht="18">
      <c r="A2" s="1138" t="s">
        <v>327</v>
      </c>
      <c r="B2" s="1138"/>
      <c r="C2" s="1138"/>
      <c r="D2" s="1138"/>
      <c r="E2" s="1138"/>
      <c r="F2" s="1138"/>
      <c r="G2" s="1138"/>
      <c r="H2" s="1138"/>
      <c r="I2" s="185"/>
      <c r="J2" s="185"/>
      <c r="K2" s="185"/>
      <c r="L2" s="185"/>
      <c r="M2" s="185"/>
      <c r="N2" s="185"/>
      <c r="O2" s="185"/>
      <c r="P2" s="185"/>
      <c r="Q2" s="185"/>
      <c r="R2" s="55"/>
    </row>
    <row r="3" spans="1:34" ht="15.75">
      <c r="A3" s="1136" t="s">
        <v>152</v>
      </c>
      <c r="B3" s="1137"/>
      <c r="C3" s="1137"/>
      <c r="D3" s="1137"/>
      <c r="E3" s="1137"/>
      <c r="F3" s="1137"/>
      <c r="G3" s="1137"/>
      <c r="H3" s="1137"/>
      <c r="I3" s="142"/>
      <c r="J3" s="142"/>
      <c r="K3" s="142"/>
      <c r="L3" s="142"/>
      <c r="M3" s="142"/>
      <c r="N3" s="142"/>
      <c r="O3" s="142"/>
      <c r="P3" s="142"/>
      <c r="Q3" s="142"/>
      <c r="R3" s="55"/>
    </row>
    <row r="4" spans="1:34" ht="15.75">
      <c r="A4" s="1136" t="s">
        <v>968</v>
      </c>
      <c r="B4" s="1137"/>
      <c r="C4" s="1137"/>
      <c r="D4" s="1137"/>
      <c r="E4" s="1137"/>
      <c r="F4" s="1137"/>
      <c r="G4" s="1137"/>
      <c r="H4" s="1137"/>
      <c r="I4" s="142"/>
      <c r="J4" s="142"/>
      <c r="K4" s="142"/>
      <c r="L4" s="142"/>
      <c r="M4" s="142"/>
      <c r="N4" s="142"/>
      <c r="O4" s="142"/>
      <c r="P4" s="142"/>
      <c r="Q4" s="142"/>
      <c r="R4" s="55"/>
      <c r="AA4" s="21">
        <v>0</v>
      </c>
    </row>
    <row r="5" spans="1:34" ht="15">
      <c r="A5" s="1134" t="s">
        <v>7</v>
      </c>
      <c r="B5" s="1135"/>
      <c r="C5" s="1135"/>
      <c r="D5" s="1135"/>
      <c r="E5" s="1135"/>
      <c r="F5" s="1135"/>
      <c r="G5" s="1135"/>
      <c r="H5" s="1135"/>
      <c r="I5" s="142"/>
      <c r="J5" s="142"/>
      <c r="K5" s="142"/>
      <c r="L5" s="142"/>
      <c r="M5" s="142"/>
      <c r="N5" s="142"/>
      <c r="O5" s="142"/>
      <c r="P5" s="142"/>
      <c r="Q5" s="142"/>
      <c r="R5" s="55"/>
    </row>
    <row r="6" spans="1:34" ht="8.25" customHeight="1">
      <c r="A6" s="1130"/>
      <c r="B6" s="1131"/>
      <c r="C6" s="1131"/>
      <c r="D6" s="1131"/>
      <c r="E6" s="1131"/>
      <c r="F6" s="1131"/>
      <c r="G6" s="1131"/>
      <c r="H6" s="1131"/>
      <c r="I6" s="142"/>
      <c r="J6" s="142"/>
      <c r="K6" s="142"/>
      <c r="L6" s="142"/>
      <c r="M6" s="142"/>
      <c r="N6" s="142"/>
      <c r="O6" s="142"/>
      <c r="P6" s="142"/>
      <c r="Q6" s="142"/>
    </row>
    <row r="7" spans="1:34" ht="15">
      <c r="A7" s="1132" t="s">
        <v>9</v>
      </c>
      <c r="B7" s="1132"/>
      <c r="C7" s="1132"/>
      <c r="D7" s="1132"/>
      <c r="E7" s="1132"/>
      <c r="F7" s="1132"/>
      <c r="G7" s="1132"/>
      <c r="H7" s="1132"/>
      <c r="I7" s="142"/>
      <c r="J7" s="142"/>
      <c r="K7" s="142"/>
      <c r="L7" s="142"/>
      <c r="M7" s="142"/>
      <c r="N7" s="142"/>
      <c r="O7" s="142"/>
      <c r="P7" s="142"/>
      <c r="Q7" s="142"/>
      <c r="R7" s="55"/>
    </row>
    <row r="8" spans="1:34" ht="15.75" thickBot="1">
      <c r="A8" s="1133" t="s">
        <v>588</v>
      </c>
      <c r="B8" s="1133"/>
      <c r="C8" s="1133"/>
      <c r="D8" s="1133"/>
      <c r="E8" s="1133"/>
      <c r="F8" s="1133"/>
      <c r="G8" s="1133"/>
      <c r="H8" s="1133"/>
      <c r="I8" s="142"/>
      <c r="J8" s="142"/>
      <c r="K8" s="142"/>
      <c r="L8" s="142"/>
      <c r="M8" s="142">
        <v>15000</v>
      </c>
      <c r="N8" s="142">
        <v>10000</v>
      </c>
      <c r="O8" s="142"/>
      <c r="P8" s="142">
        <v>35655</v>
      </c>
      <c r="Q8" s="142"/>
      <c r="R8" s="55"/>
    </row>
    <row r="9" spans="1:34" ht="13.5" customHeight="1" thickBot="1">
      <c r="A9" s="1142" t="s">
        <v>0</v>
      </c>
      <c r="B9" s="1143"/>
      <c r="C9" s="1143"/>
      <c r="D9" s="1143"/>
      <c r="E9" s="1143"/>
      <c r="F9" s="1143"/>
      <c r="G9" s="1144" t="s">
        <v>128</v>
      </c>
      <c r="H9" s="1123" t="s">
        <v>129</v>
      </c>
      <c r="I9" s="1119" t="s">
        <v>871</v>
      </c>
      <c r="J9" s="1119" t="s">
        <v>879</v>
      </c>
      <c r="K9" s="1119" t="s">
        <v>880</v>
      </c>
      <c r="L9" s="1125" t="s">
        <v>881</v>
      </c>
      <c r="M9" s="1127"/>
      <c r="N9" s="1119" t="s">
        <v>908</v>
      </c>
      <c r="O9" s="1119" t="s">
        <v>907</v>
      </c>
      <c r="P9" s="1119" t="s">
        <v>1005</v>
      </c>
      <c r="Q9" s="1119" t="s">
        <v>888</v>
      </c>
      <c r="R9" s="1119" t="s">
        <v>889</v>
      </c>
      <c r="S9" s="1119" t="s">
        <v>891</v>
      </c>
      <c r="T9" s="1119" t="s">
        <v>892</v>
      </c>
      <c r="U9" s="1119" t="s">
        <v>895</v>
      </c>
      <c r="V9" s="1119" t="s">
        <v>896</v>
      </c>
      <c r="W9" s="1119" t="s">
        <v>897</v>
      </c>
      <c r="X9" s="1119" t="s">
        <v>900</v>
      </c>
      <c r="Y9" s="1119" t="s">
        <v>902</v>
      </c>
      <c r="Z9" s="1119" t="s">
        <v>903</v>
      </c>
      <c r="AA9" s="1119" t="s">
        <v>911</v>
      </c>
      <c r="AB9" s="1119" t="s">
        <v>912</v>
      </c>
      <c r="AC9" s="1119" t="s">
        <v>914</v>
      </c>
      <c r="AD9" s="1119" t="s">
        <v>915</v>
      </c>
      <c r="AE9" s="1119" t="s">
        <v>916</v>
      </c>
      <c r="AF9" s="1119" t="s">
        <v>917</v>
      </c>
      <c r="AG9" s="1121" t="s">
        <v>919</v>
      </c>
      <c r="AH9" s="1121" t="s">
        <v>918</v>
      </c>
    </row>
    <row r="10" spans="1:34" ht="93" customHeight="1" thickBot="1">
      <c r="A10" s="223" t="s">
        <v>122</v>
      </c>
      <c r="B10" s="224" t="s">
        <v>123</v>
      </c>
      <c r="C10" s="224" t="s">
        <v>103</v>
      </c>
      <c r="D10" s="224" t="s">
        <v>127</v>
      </c>
      <c r="E10" s="225" t="s">
        <v>125</v>
      </c>
      <c r="F10" s="226" t="s">
        <v>126</v>
      </c>
      <c r="G10" s="1145"/>
      <c r="H10" s="1124"/>
      <c r="I10" s="1120"/>
      <c r="J10" s="1120"/>
      <c r="K10" s="1120"/>
      <c r="L10" s="1126" t="s">
        <v>881</v>
      </c>
      <c r="M10" s="1128"/>
      <c r="N10" s="1120"/>
      <c r="O10" s="1129"/>
      <c r="P10" s="1129"/>
      <c r="Q10" s="1120"/>
      <c r="R10" s="1120"/>
      <c r="S10" s="1120"/>
      <c r="T10" s="1120"/>
      <c r="U10" s="1120"/>
      <c r="V10" s="1120"/>
      <c r="W10" s="1120"/>
      <c r="X10" s="1120"/>
      <c r="Y10" s="1120"/>
      <c r="Z10" s="1120"/>
      <c r="AA10" s="1120"/>
      <c r="AB10" s="1120"/>
      <c r="AC10" s="1120"/>
      <c r="AD10" s="1120"/>
      <c r="AE10" s="1120"/>
      <c r="AF10" s="1120"/>
      <c r="AG10" s="1122"/>
      <c r="AH10" s="1122"/>
    </row>
    <row r="11" spans="1:34" s="554" customFormat="1" ht="15.75" customHeight="1" thickBot="1">
      <c r="A11" s="886">
        <v>1</v>
      </c>
      <c r="B11" s="887" t="s">
        <v>43</v>
      </c>
      <c r="C11" s="887" t="s">
        <v>43</v>
      </c>
      <c r="D11" s="887" t="s">
        <v>45</v>
      </c>
      <c r="E11" s="888" t="s">
        <v>608</v>
      </c>
      <c r="F11" s="889" t="s">
        <v>29</v>
      </c>
      <c r="G11" s="890" t="s">
        <v>30</v>
      </c>
      <c r="H11" s="675">
        <f>'ok-Planillas 2023'!F84</f>
        <v>79425</v>
      </c>
      <c r="I11" s="675"/>
      <c r="J11" s="675"/>
      <c r="K11" s="675"/>
      <c r="L11" s="675"/>
      <c r="M11" s="675"/>
      <c r="N11" s="675"/>
      <c r="O11" s="676"/>
      <c r="P11" s="971"/>
      <c r="Q11" s="675">
        <f>SUM(I11:L11)</f>
        <v>0</v>
      </c>
      <c r="R11" s="675"/>
      <c r="S11" s="675"/>
      <c r="T11" s="675"/>
      <c r="U11" s="675"/>
      <c r="V11" s="675"/>
      <c r="W11" s="675"/>
      <c r="X11" s="675"/>
      <c r="Y11" s="675"/>
      <c r="Z11" s="675"/>
      <c r="AA11" s="675"/>
      <c r="AB11" s="675"/>
      <c r="AC11" s="675"/>
      <c r="AD11" s="675"/>
      <c r="AE11" s="675"/>
      <c r="AF11" s="675"/>
      <c r="AG11" s="974">
        <f>SUM(S11:AF11)</f>
        <v>0</v>
      </c>
      <c r="AH11" s="974">
        <f>R11-AG11</f>
        <v>0</v>
      </c>
    </row>
    <row r="12" spans="1:34" ht="15.75" customHeight="1">
      <c r="A12" s="891">
        <v>1</v>
      </c>
      <c r="B12" s="892" t="s">
        <v>43</v>
      </c>
      <c r="C12" s="892" t="s">
        <v>43</v>
      </c>
      <c r="D12" s="892" t="s">
        <v>45</v>
      </c>
      <c r="E12" s="888" t="s">
        <v>608</v>
      </c>
      <c r="F12" s="2">
        <v>51103</v>
      </c>
      <c r="G12" s="294" t="s">
        <v>31</v>
      </c>
      <c r="H12" s="176">
        <v>0</v>
      </c>
      <c r="I12" s="176"/>
      <c r="J12" s="176"/>
      <c r="K12" s="176"/>
      <c r="L12" s="176"/>
      <c r="M12" s="675"/>
      <c r="N12" s="675"/>
      <c r="O12" s="675"/>
      <c r="P12" s="675"/>
      <c r="Q12" s="675">
        <f>SUM(I12:L12)</f>
        <v>0</v>
      </c>
      <c r="R12" s="675"/>
      <c r="S12" s="675"/>
      <c r="T12" s="675"/>
      <c r="U12" s="675"/>
      <c r="V12" s="675"/>
      <c r="W12" s="675"/>
      <c r="X12" s="675"/>
      <c r="Y12" s="675"/>
      <c r="Z12" s="675"/>
      <c r="AA12" s="675"/>
      <c r="AB12" s="675"/>
      <c r="AC12" s="675"/>
      <c r="AD12" s="675"/>
      <c r="AE12" s="675"/>
      <c r="AF12" s="675"/>
      <c r="AG12" s="974">
        <f>SUM(S12:AF12)</f>
        <v>0</v>
      </c>
      <c r="AH12" s="974">
        <f>R12-AG12</f>
        <v>0</v>
      </c>
    </row>
    <row r="13" spans="1:34" s="554" customFormat="1" ht="15.75" customHeight="1">
      <c r="A13" s="891">
        <v>1</v>
      </c>
      <c r="B13" s="892" t="s">
        <v>43</v>
      </c>
      <c r="C13" s="892" t="s">
        <v>43</v>
      </c>
      <c r="D13" s="892" t="s">
        <v>45</v>
      </c>
      <c r="E13" s="888" t="s">
        <v>608</v>
      </c>
      <c r="F13" s="2">
        <v>51105</v>
      </c>
      <c r="G13" s="294" t="s">
        <v>62</v>
      </c>
      <c r="H13" s="893">
        <f>'ok-Planillas 2023'!C103</f>
        <v>94080</v>
      </c>
      <c r="I13" s="893"/>
      <c r="J13" s="893"/>
      <c r="K13" s="893"/>
      <c r="L13" s="893"/>
      <c r="M13" s="972"/>
      <c r="N13" s="972"/>
      <c r="O13" s="972"/>
      <c r="P13" s="972"/>
      <c r="Q13" s="675">
        <f>SUM(I13:L13)</f>
        <v>0</v>
      </c>
      <c r="R13" s="675"/>
      <c r="S13" s="675"/>
      <c r="T13" s="675"/>
      <c r="U13" s="675"/>
      <c r="V13" s="675"/>
      <c r="W13" s="675"/>
      <c r="X13" s="675"/>
      <c r="Y13" s="675"/>
      <c r="Z13" s="675"/>
      <c r="AA13" s="675"/>
      <c r="AB13" s="675"/>
      <c r="AC13" s="675"/>
      <c r="AD13" s="675"/>
      <c r="AE13" s="675"/>
      <c r="AF13" s="675"/>
      <c r="AG13" s="974">
        <f>SUM(S13:AF13)</f>
        <v>0</v>
      </c>
      <c r="AH13" s="974">
        <f>R13-AG13</f>
        <v>0</v>
      </c>
    </row>
    <row r="14" spans="1:34" ht="15.75" customHeight="1">
      <c r="A14" s="891">
        <v>1</v>
      </c>
      <c r="B14" s="892" t="s">
        <v>43</v>
      </c>
      <c r="C14" s="892" t="s">
        <v>43</v>
      </c>
      <c r="D14" s="892" t="s">
        <v>45</v>
      </c>
      <c r="E14" s="888" t="s">
        <v>608</v>
      </c>
      <c r="F14" s="2">
        <v>51107</v>
      </c>
      <c r="G14" s="294" t="s">
        <v>468</v>
      </c>
      <c r="H14" s="176">
        <v>0</v>
      </c>
      <c r="I14" s="176"/>
      <c r="J14" s="176"/>
      <c r="K14" s="176"/>
      <c r="L14" s="176"/>
      <c r="M14" s="675"/>
      <c r="N14" s="675"/>
      <c r="O14" s="675"/>
      <c r="P14" s="675"/>
      <c r="Q14" s="675">
        <f>SUM(I14:L14)</f>
        <v>0</v>
      </c>
      <c r="R14" s="675"/>
      <c r="S14" s="675"/>
      <c r="T14" s="675"/>
      <c r="U14" s="675"/>
      <c r="V14" s="675"/>
      <c r="W14" s="675"/>
      <c r="X14" s="675"/>
      <c r="Y14" s="675"/>
      <c r="Z14" s="675"/>
      <c r="AA14" s="675"/>
      <c r="AB14" s="675"/>
      <c r="AC14" s="675"/>
      <c r="AD14" s="675"/>
      <c r="AE14" s="675"/>
      <c r="AF14" s="675"/>
      <c r="AG14" s="974">
        <f>SUM(S14:AF14)</f>
        <v>0</v>
      </c>
      <c r="AH14" s="974">
        <f>R14-AG14</f>
        <v>0</v>
      </c>
    </row>
    <row r="15" spans="1:34" s="554" customFormat="1" ht="15.75" customHeight="1">
      <c r="A15" s="891">
        <v>1</v>
      </c>
      <c r="B15" s="892" t="s">
        <v>43</v>
      </c>
      <c r="C15" s="892" t="s">
        <v>43</v>
      </c>
      <c r="D15" s="892" t="s">
        <v>45</v>
      </c>
      <c r="E15" s="888" t="s">
        <v>608</v>
      </c>
      <c r="F15" s="2">
        <v>51201</v>
      </c>
      <c r="G15" s="294" t="s">
        <v>30</v>
      </c>
      <c r="H15" s="893">
        <f>+'ok-Planillas 2023'!F110</f>
        <v>5520</v>
      </c>
      <c r="I15" s="893"/>
      <c r="J15" s="893"/>
      <c r="K15" s="893"/>
      <c r="L15" s="893"/>
      <c r="M15" s="972"/>
      <c r="N15" s="972"/>
      <c r="O15" s="972"/>
      <c r="P15" s="972"/>
      <c r="Q15" s="675">
        <f>SUM(I15:L15)</f>
        <v>0</v>
      </c>
      <c r="R15" s="675"/>
      <c r="S15" s="675"/>
      <c r="T15" s="675"/>
      <c r="U15" s="675"/>
      <c r="V15" s="675"/>
      <c r="W15" s="675"/>
      <c r="X15" s="675"/>
      <c r="Y15" s="675"/>
      <c r="Z15" s="675"/>
      <c r="AA15" s="675"/>
      <c r="AB15" s="675"/>
      <c r="AC15" s="675"/>
      <c r="AD15" s="675"/>
      <c r="AE15" s="675"/>
      <c r="AF15" s="675"/>
      <c r="AG15" s="974">
        <f>SUM(S15:AF15)</f>
        <v>0</v>
      </c>
      <c r="AH15" s="974">
        <f>R15-AG15</f>
        <v>0</v>
      </c>
    </row>
    <row r="16" spans="1:34" s="554" customFormat="1" ht="15.75" customHeight="1">
      <c r="A16" s="891">
        <v>1</v>
      </c>
      <c r="B16" s="892" t="s">
        <v>43</v>
      </c>
      <c r="C16" s="892" t="s">
        <v>43</v>
      </c>
      <c r="D16" s="892" t="s">
        <v>45</v>
      </c>
      <c r="E16" s="888" t="s">
        <v>608</v>
      </c>
      <c r="F16" s="2">
        <v>51301</v>
      </c>
      <c r="G16" s="294" t="s">
        <v>534</v>
      </c>
      <c r="H16" s="893">
        <v>0</v>
      </c>
      <c r="I16" s="893"/>
      <c r="J16" s="893"/>
      <c r="K16" s="893"/>
      <c r="L16" s="893"/>
      <c r="M16" s="972"/>
      <c r="N16" s="972"/>
      <c r="O16" s="972"/>
      <c r="P16" s="972"/>
      <c r="Q16" s="675"/>
      <c r="R16" s="675"/>
      <c r="S16" s="675"/>
      <c r="T16" s="675"/>
      <c r="U16" s="675"/>
      <c r="V16" s="675"/>
      <c r="W16" s="675"/>
      <c r="X16" s="675"/>
      <c r="Y16" s="675"/>
      <c r="Z16" s="675"/>
      <c r="AA16" s="675"/>
      <c r="AB16" s="675"/>
      <c r="AC16" s="675"/>
      <c r="AD16" s="675"/>
      <c r="AE16" s="675"/>
      <c r="AF16" s="675"/>
      <c r="AG16" s="974"/>
      <c r="AH16" s="974"/>
    </row>
    <row r="17" spans="1:34" s="554" customFormat="1" ht="15.75" customHeight="1">
      <c r="A17" s="891">
        <v>1</v>
      </c>
      <c r="B17" s="892" t="s">
        <v>43</v>
      </c>
      <c r="C17" s="892" t="s">
        <v>43</v>
      </c>
      <c r="D17" s="892" t="s">
        <v>45</v>
      </c>
      <c r="E17" s="888" t="s">
        <v>608</v>
      </c>
      <c r="F17" s="894">
        <v>51401</v>
      </c>
      <c r="G17" s="895" t="s">
        <v>469</v>
      </c>
      <c r="H17" s="295">
        <f>'ok-Planillas 2023'!F105</f>
        <v>33206.1</v>
      </c>
      <c r="I17" s="295"/>
      <c r="J17" s="295"/>
      <c r="K17" s="295"/>
      <c r="L17" s="295"/>
      <c r="M17" s="188"/>
      <c r="N17" s="188"/>
      <c r="O17" s="188"/>
      <c r="P17" s="188"/>
      <c r="Q17" s="675">
        <f>SUM(I17:L17)</f>
        <v>0</v>
      </c>
      <c r="R17" s="675"/>
      <c r="S17" s="675"/>
      <c r="T17" s="675"/>
      <c r="U17" s="675"/>
      <c r="V17" s="675"/>
      <c r="W17" s="675"/>
      <c r="X17" s="675"/>
      <c r="Y17" s="675"/>
      <c r="Z17" s="675"/>
      <c r="AA17" s="675"/>
      <c r="AB17" s="675"/>
      <c r="AC17" s="675"/>
      <c r="AD17" s="675"/>
      <c r="AE17" s="675"/>
      <c r="AF17" s="675"/>
      <c r="AG17" s="974">
        <f t="shared" ref="AG17:AG19" si="0">SUM(S17:AF17)</f>
        <v>0</v>
      </c>
      <c r="AH17" s="974">
        <f t="shared" ref="AH17:AH19" si="1">R17-AG17</f>
        <v>0</v>
      </c>
    </row>
    <row r="18" spans="1:34" s="554" customFormat="1" ht="15.75" customHeight="1">
      <c r="A18" s="891">
        <v>1</v>
      </c>
      <c r="B18" s="892" t="s">
        <v>43</v>
      </c>
      <c r="C18" s="892" t="s">
        <v>43</v>
      </c>
      <c r="D18" s="892" t="s">
        <v>45</v>
      </c>
      <c r="E18" s="888" t="s">
        <v>608</v>
      </c>
      <c r="F18" s="894">
        <v>51501</v>
      </c>
      <c r="G18" s="895" t="s">
        <v>470</v>
      </c>
      <c r="H18" s="295">
        <f>'ok-Planillas 2023'!H105</f>
        <v>34182.75</v>
      </c>
      <c r="I18" s="295"/>
      <c r="J18" s="295"/>
      <c r="K18" s="295"/>
      <c r="L18" s="295"/>
      <c r="M18" s="188"/>
      <c r="N18" s="188"/>
      <c r="O18" s="188"/>
      <c r="P18" s="188"/>
      <c r="Q18" s="675">
        <f>SUM(I18:L18)</f>
        <v>0</v>
      </c>
      <c r="R18" s="675"/>
      <c r="S18" s="675"/>
      <c r="T18" s="675"/>
      <c r="U18" s="675"/>
      <c r="V18" s="675"/>
      <c r="W18" s="675"/>
      <c r="X18" s="675"/>
      <c r="Y18" s="675"/>
      <c r="Z18" s="675"/>
      <c r="AA18" s="675"/>
      <c r="AB18" s="675"/>
      <c r="AC18" s="675"/>
      <c r="AD18" s="675"/>
      <c r="AE18" s="675"/>
      <c r="AF18" s="675"/>
      <c r="AG18" s="974">
        <f t="shared" si="0"/>
        <v>0</v>
      </c>
      <c r="AH18" s="974">
        <f t="shared" si="1"/>
        <v>0</v>
      </c>
    </row>
    <row r="19" spans="1:34" ht="15.75" customHeight="1">
      <c r="A19" s="891">
        <v>1</v>
      </c>
      <c r="B19" s="892" t="s">
        <v>43</v>
      </c>
      <c r="C19" s="892" t="s">
        <v>43</v>
      </c>
      <c r="D19" s="892" t="s">
        <v>45</v>
      </c>
      <c r="E19" s="888" t="s">
        <v>608</v>
      </c>
      <c r="F19" s="894">
        <v>51601</v>
      </c>
      <c r="G19" s="895" t="s">
        <v>503</v>
      </c>
      <c r="H19" s="295">
        <v>0</v>
      </c>
      <c r="I19" s="295"/>
      <c r="J19" s="295"/>
      <c r="K19" s="295"/>
      <c r="L19" s="295"/>
      <c r="M19" s="188"/>
      <c r="N19" s="188"/>
      <c r="O19" s="188"/>
      <c r="P19" s="188"/>
      <c r="Q19" s="675">
        <f>SUM(I19:L19)</f>
        <v>0</v>
      </c>
      <c r="R19" s="675">
        <f>H19-Q19</f>
        <v>0</v>
      </c>
      <c r="S19" s="675"/>
      <c r="T19" s="675"/>
      <c r="U19" s="675"/>
      <c r="V19" s="675"/>
      <c r="W19" s="675"/>
      <c r="X19" s="675"/>
      <c r="Y19" s="675"/>
      <c r="Z19" s="675"/>
      <c r="AA19" s="675"/>
      <c r="AB19" s="675"/>
      <c r="AC19" s="675"/>
      <c r="AD19" s="675"/>
      <c r="AE19" s="675"/>
      <c r="AF19" s="675"/>
      <c r="AG19" s="974">
        <f t="shared" si="0"/>
        <v>0</v>
      </c>
      <c r="AH19" s="974">
        <f t="shared" si="1"/>
        <v>0</v>
      </c>
    </row>
    <row r="20" spans="1:34" ht="15.75" customHeight="1">
      <c r="A20" s="891">
        <v>1</v>
      </c>
      <c r="B20" s="892" t="s">
        <v>43</v>
      </c>
      <c r="C20" s="892" t="s">
        <v>43</v>
      </c>
      <c r="D20" s="892" t="s">
        <v>45</v>
      </c>
      <c r="E20" s="888" t="s">
        <v>608</v>
      </c>
      <c r="F20" s="862">
        <v>51701</v>
      </c>
      <c r="G20" s="863" t="s">
        <v>558</v>
      </c>
      <c r="H20" s="295">
        <v>30000</v>
      </c>
      <c r="I20" s="295"/>
      <c r="J20" s="295"/>
      <c r="K20" s="295"/>
      <c r="L20" s="295"/>
      <c r="M20" s="188"/>
      <c r="N20" s="188"/>
      <c r="O20" s="188"/>
      <c r="P20" s="188"/>
      <c r="Q20" s="675"/>
      <c r="R20" s="675"/>
      <c r="S20" s="675"/>
      <c r="T20" s="675"/>
      <c r="U20" s="675"/>
      <c r="V20" s="675"/>
      <c r="W20" s="675"/>
      <c r="X20" s="675"/>
      <c r="Y20" s="675"/>
      <c r="Z20" s="675"/>
      <c r="AA20" s="675"/>
      <c r="AB20" s="675"/>
      <c r="AC20" s="675"/>
      <c r="AD20" s="675"/>
      <c r="AE20" s="675"/>
      <c r="AF20" s="675"/>
      <c r="AG20" s="974"/>
      <c r="AH20" s="974"/>
    </row>
    <row r="21" spans="1:34" s="554" customFormat="1" ht="15.75" customHeight="1">
      <c r="A21" s="891">
        <v>1</v>
      </c>
      <c r="B21" s="892" t="s">
        <v>43</v>
      </c>
      <c r="C21" s="892" t="s">
        <v>43</v>
      </c>
      <c r="D21" s="892" t="s">
        <v>45</v>
      </c>
      <c r="E21" s="888" t="s">
        <v>608</v>
      </c>
      <c r="F21" s="2">
        <v>51999</v>
      </c>
      <c r="G21" s="294" t="s">
        <v>149</v>
      </c>
      <c r="H21" s="176">
        <v>55640.5</v>
      </c>
      <c r="I21" s="176"/>
      <c r="J21" s="176"/>
      <c r="K21" s="176"/>
      <c r="L21" s="176"/>
      <c r="M21" s="675"/>
      <c r="N21" s="675"/>
      <c r="O21" s="675"/>
      <c r="P21" s="675"/>
      <c r="Q21" s="675">
        <f>SUM(I21:L21)</f>
        <v>0</v>
      </c>
      <c r="R21" s="675">
        <v>0</v>
      </c>
      <c r="S21" s="675"/>
      <c r="T21" s="675"/>
      <c r="U21" s="675"/>
      <c r="V21" s="675"/>
      <c r="W21" s="675" t="s">
        <v>898</v>
      </c>
      <c r="X21" s="675"/>
      <c r="Y21" s="675"/>
      <c r="Z21" s="675"/>
      <c r="AA21" s="675"/>
      <c r="AB21" s="675"/>
      <c r="AC21" s="675"/>
      <c r="AD21" s="675"/>
      <c r="AE21" s="675"/>
      <c r="AF21" s="675"/>
      <c r="AG21" s="974">
        <f t="shared" ref="AG21:AG35" si="2">SUM(S21:AF21)</f>
        <v>0</v>
      </c>
      <c r="AH21" s="974">
        <f>R21-AG21</f>
        <v>0</v>
      </c>
    </row>
    <row r="22" spans="1:34" s="554" customFormat="1" ht="15.75" customHeight="1">
      <c r="A22" s="891">
        <v>1</v>
      </c>
      <c r="B22" s="892" t="s">
        <v>43</v>
      </c>
      <c r="C22" s="892" t="s">
        <v>43</v>
      </c>
      <c r="D22" s="892" t="s">
        <v>45</v>
      </c>
      <c r="E22" s="888" t="s">
        <v>608</v>
      </c>
      <c r="F22" s="2">
        <v>54101</v>
      </c>
      <c r="G22" s="294" t="s">
        <v>33</v>
      </c>
      <c r="H22" s="176">
        <v>5000</v>
      </c>
      <c r="I22" s="176">
        <v>1000</v>
      </c>
      <c r="J22" s="176"/>
      <c r="K22" s="176"/>
      <c r="L22" s="176"/>
      <c r="M22" s="675"/>
      <c r="N22" s="675"/>
      <c r="O22" s="675"/>
      <c r="P22" s="675"/>
      <c r="Q22" s="675">
        <f>SUM(I22:P22)</f>
        <v>1000</v>
      </c>
      <c r="R22" s="675">
        <f t="shared" ref="R22:R61" si="3">H22-Q22</f>
        <v>4000</v>
      </c>
      <c r="S22" s="675"/>
      <c r="T22" s="675"/>
      <c r="U22" s="675"/>
      <c r="V22" s="675"/>
      <c r="W22" s="675">
        <v>325</v>
      </c>
      <c r="X22" s="675">
        <v>3567.75</v>
      </c>
      <c r="Y22" s="675"/>
      <c r="Z22" s="675"/>
      <c r="AA22" s="675"/>
      <c r="AB22" s="675"/>
      <c r="AC22" s="675"/>
      <c r="AD22" s="675"/>
      <c r="AE22" s="675"/>
      <c r="AF22" s="675"/>
      <c r="AG22" s="974">
        <f t="shared" si="2"/>
        <v>3892.75</v>
      </c>
      <c r="AH22" s="974">
        <f t="shared" ref="AH22:AH72" si="4">R22-AG22</f>
        <v>107.25</v>
      </c>
    </row>
    <row r="23" spans="1:34" s="554" customFormat="1" ht="15.75" customHeight="1">
      <c r="A23" s="891">
        <v>1</v>
      </c>
      <c r="B23" s="892" t="s">
        <v>43</v>
      </c>
      <c r="C23" s="892" t="s">
        <v>43</v>
      </c>
      <c r="D23" s="892" t="s">
        <v>45</v>
      </c>
      <c r="E23" s="888" t="s">
        <v>608</v>
      </c>
      <c r="F23" s="2">
        <v>54104</v>
      </c>
      <c r="G23" s="294" t="s">
        <v>133</v>
      </c>
      <c r="H23" s="176">
        <v>400</v>
      </c>
      <c r="I23" s="176"/>
      <c r="J23" s="176"/>
      <c r="K23" s="176"/>
      <c r="L23" s="176"/>
      <c r="M23" s="675"/>
      <c r="N23" s="675"/>
      <c r="O23" s="675"/>
      <c r="P23" s="675"/>
      <c r="Q23" s="675">
        <f t="shared" ref="Q23:Q73" si="5">SUM(I23:P23)</f>
        <v>0</v>
      </c>
      <c r="R23" s="675">
        <f>H23-Q23</f>
        <v>400</v>
      </c>
      <c r="S23" s="675"/>
      <c r="T23" s="675"/>
      <c r="U23" s="675"/>
      <c r="V23" s="675"/>
      <c r="W23" s="675"/>
      <c r="X23" s="675">
        <v>0</v>
      </c>
      <c r="Y23" s="675"/>
      <c r="Z23" s="675"/>
      <c r="AA23" s="675"/>
      <c r="AB23" s="675"/>
      <c r="AC23" s="675"/>
      <c r="AD23" s="675"/>
      <c r="AE23" s="675"/>
      <c r="AF23" s="675"/>
      <c r="AG23" s="974">
        <f t="shared" si="2"/>
        <v>0</v>
      </c>
      <c r="AH23" s="974">
        <f t="shared" si="4"/>
        <v>400</v>
      </c>
    </row>
    <row r="24" spans="1:34" s="554" customFormat="1" ht="15.75" customHeight="1">
      <c r="A24" s="891">
        <v>1</v>
      </c>
      <c r="B24" s="892" t="s">
        <v>43</v>
      </c>
      <c r="C24" s="892" t="s">
        <v>43</v>
      </c>
      <c r="D24" s="892" t="s">
        <v>45</v>
      </c>
      <c r="E24" s="888" t="s">
        <v>608</v>
      </c>
      <c r="F24" s="2">
        <v>54105</v>
      </c>
      <c r="G24" s="294" t="s">
        <v>34</v>
      </c>
      <c r="H24" s="176">
        <v>8000</v>
      </c>
      <c r="I24" s="176"/>
      <c r="J24" s="176"/>
      <c r="K24" s="176"/>
      <c r="L24" s="176"/>
      <c r="M24" s="675"/>
      <c r="N24" s="675"/>
      <c r="O24" s="675"/>
      <c r="P24" s="675"/>
      <c r="Q24" s="675">
        <f t="shared" si="5"/>
        <v>0</v>
      </c>
      <c r="R24" s="675">
        <f t="shared" si="3"/>
        <v>8000</v>
      </c>
      <c r="S24" s="675"/>
      <c r="T24" s="675"/>
      <c r="U24" s="675"/>
      <c r="V24" s="675"/>
      <c r="W24" s="675"/>
      <c r="X24" s="675">
        <v>7811.73</v>
      </c>
      <c r="Y24" s="675"/>
      <c r="Z24" s="675"/>
      <c r="AA24" s="675"/>
      <c r="AB24" s="675"/>
      <c r="AC24" s="675"/>
      <c r="AD24" s="675"/>
      <c r="AE24" s="675"/>
      <c r="AF24" s="973"/>
      <c r="AG24" s="974">
        <f t="shared" si="2"/>
        <v>7811.73</v>
      </c>
      <c r="AH24" s="974">
        <f t="shared" si="4"/>
        <v>188.27000000000044</v>
      </c>
    </row>
    <row r="25" spans="1:34" s="554" customFormat="1" ht="15.75" customHeight="1">
      <c r="A25" s="891">
        <v>1</v>
      </c>
      <c r="B25" s="892" t="s">
        <v>43</v>
      </c>
      <c r="C25" s="892" t="s">
        <v>43</v>
      </c>
      <c r="D25" s="892" t="s">
        <v>45</v>
      </c>
      <c r="E25" s="888" t="s">
        <v>608</v>
      </c>
      <c r="F25" s="2">
        <v>54106</v>
      </c>
      <c r="G25" s="294" t="s">
        <v>556</v>
      </c>
      <c r="H25" s="176">
        <v>7000</v>
      </c>
      <c r="I25" s="176"/>
      <c r="J25" s="176">
        <v>2000</v>
      </c>
      <c r="K25" s="176"/>
      <c r="L25" s="176"/>
      <c r="M25" s="675"/>
      <c r="N25" s="675"/>
      <c r="O25" s="675">
        <v>3000</v>
      </c>
      <c r="P25" s="675"/>
      <c r="Q25" s="675">
        <f t="shared" si="5"/>
        <v>5000</v>
      </c>
      <c r="R25" s="675">
        <f t="shared" si="3"/>
        <v>2000</v>
      </c>
      <c r="S25" s="675"/>
      <c r="T25" s="675"/>
      <c r="U25" s="675"/>
      <c r="V25" s="675"/>
      <c r="W25" s="675"/>
      <c r="X25" s="675">
        <v>1200</v>
      </c>
      <c r="Y25" s="675"/>
      <c r="Z25" s="675"/>
      <c r="AA25" s="675"/>
      <c r="AB25" s="675"/>
      <c r="AC25" s="675"/>
      <c r="AD25" s="675"/>
      <c r="AE25" s="675"/>
      <c r="AF25" s="675"/>
      <c r="AG25" s="974">
        <f t="shared" si="2"/>
        <v>1200</v>
      </c>
      <c r="AH25" s="974">
        <f t="shared" si="4"/>
        <v>800</v>
      </c>
    </row>
    <row r="26" spans="1:34" s="554" customFormat="1" ht="15.75" customHeight="1">
      <c r="A26" s="891">
        <v>1</v>
      </c>
      <c r="B26" s="892" t="s">
        <v>43</v>
      </c>
      <c r="C26" s="892" t="s">
        <v>43</v>
      </c>
      <c r="D26" s="892" t="s">
        <v>45</v>
      </c>
      <c r="E26" s="888" t="s">
        <v>608</v>
      </c>
      <c r="F26" s="2">
        <v>54107</v>
      </c>
      <c r="G26" s="294" t="s">
        <v>135</v>
      </c>
      <c r="H26" s="176">
        <v>5000</v>
      </c>
      <c r="I26" s="176"/>
      <c r="J26" s="176"/>
      <c r="K26" s="176">
        <v>2000</v>
      </c>
      <c r="L26" s="176"/>
      <c r="M26" s="675"/>
      <c r="N26" s="675"/>
      <c r="O26" s="675"/>
      <c r="P26" s="675"/>
      <c r="Q26" s="675">
        <f t="shared" si="5"/>
        <v>2000</v>
      </c>
      <c r="R26" s="675">
        <f t="shared" si="3"/>
        <v>3000</v>
      </c>
      <c r="S26" s="675"/>
      <c r="T26" s="675"/>
      <c r="U26" s="675"/>
      <c r="V26" s="675"/>
      <c r="W26" s="675"/>
      <c r="X26" s="675">
        <v>3000</v>
      </c>
      <c r="Y26" s="675"/>
      <c r="Z26" s="675"/>
      <c r="AA26" s="675"/>
      <c r="AB26" s="675"/>
      <c r="AC26" s="675"/>
      <c r="AD26" s="675"/>
      <c r="AE26" s="675"/>
      <c r="AF26" s="675"/>
      <c r="AG26" s="974">
        <f t="shared" si="2"/>
        <v>3000</v>
      </c>
      <c r="AH26" s="974">
        <f t="shared" si="4"/>
        <v>0</v>
      </c>
    </row>
    <row r="27" spans="1:34" ht="15.75" customHeight="1">
      <c r="A27" s="891">
        <v>1</v>
      </c>
      <c r="B27" s="892" t="s">
        <v>43</v>
      </c>
      <c r="C27" s="892" t="s">
        <v>43</v>
      </c>
      <c r="D27" s="892" t="s">
        <v>45</v>
      </c>
      <c r="E27" s="888" t="s">
        <v>608</v>
      </c>
      <c r="F27" s="2">
        <v>54108</v>
      </c>
      <c r="G27" s="294" t="s">
        <v>195</v>
      </c>
      <c r="H27" s="176">
        <v>100</v>
      </c>
      <c r="I27" s="176"/>
      <c r="J27" s="176"/>
      <c r="K27" s="176"/>
      <c r="L27" s="176"/>
      <c r="M27" s="675"/>
      <c r="N27" s="675"/>
      <c r="O27" s="675"/>
      <c r="P27" s="675"/>
      <c r="Q27" s="675">
        <f t="shared" si="5"/>
        <v>0</v>
      </c>
      <c r="R27" s="675">
        <f t="shared" si="3"/>
        <v>100</v>
      </c>
      <c r="S27" s="675"/>
      <c r="T27" s="675"/>
      <c r="U27" s="675"/>
      <c r="V27" s="675"/>
      <c r="W27" s="675"/>
      <c r="X27" s="675"/>
      <c r="Y27" s="675"/>
      <c r="Z27" s="675"/>
      <c r="AA27" s="675"/>
      <c r="AB27" s="675"/>
      <c r="AC27" s="675"/>
      <c r="AD27" s="675"/>
      <c r="AE27" s="675"/>
      <c r="AF27" s="675"/>
      <c r="AG27" s="974">
        <f t="shared" si="2"/>
        <v>0</v>
      </c>
      <c r="AH27" s="974">
        <f t="shared" si="4"/>
        <v>100</v>
      </c>
    </row>
    <row r="28" spans="1:34" s="670" customFormat="1" ht="15.75" customHeight="1">
      <c r="A28" s="891">
        <v>1</v>
      </c>
      <c r="B28" s="892" t="s">
        <v>43</v>
      </c>
      <c r="C28" s="892" t="s">
        <v>43</v>
      </c>
      <c r="D28" s="892" t="s">
        <v>45</v>
      </c>
      <c r="E28" s="888" t="s">
        <v>608</v>
      </c>
      <c r="F28" s="2">
        <v>54109</v>
      </c>
      <c r="G28" s="294" t="s">
        <v>136</v>
      </c>
      <c r="H28" s="176">
        <v>9062.49</v>
      </c>
      <c r="I28" s="176"/>
      <c r="J28" s="176">
        <v>4000</v>
      </c>
      <c r="K28" s="176"/>
      <c r="L28" s="176"/>
      <c r="M28" s="675"/>
      <c r="N28" s="675"/>
      <c r="O28" s="675"/>
      <c r="P28" s="675"/>
      <c r="Q28" s="675">
        <f t="shared" si="5"/>
        <v>4000</v>
      </c>
      <c r="R28" s="675">
        <f t="shared" si="3"/>
        <v>5062.49</v>
      </c>
      <c r="S28" s="675"/>
      <c r="T28" s="675"/>
      <c r="U28" s="675"/>
      <c r="V28" s="675"/>
      <c r="W28" s="675"/>
      <c r="X28" s="675">
        <v>5000</v>
      </c>
      <c r="Y28" s="675"/>
      <c r="Z28" s="675"/>
      <c r="AA28" s="675"/>
      <c r="AB28" s="675"/>
      <c r="AC28" s="675"/>
      <c r="AD28" s="675"/>
      <c r="AE28" s="675"/>
      <c r="AF28" s="675"/>
      <c r="AG28" s="974">
        <f t="shared" si="2"/>
        <v>5000</v>
      </c>
      <c r="AH28" s="974">
        <f t="shared" si="4"/>
        <v>62.489999999999782</v>
      </c>
    </row>
    <row r="29" spans="1:34" s="670" customFormat="1" ht="15.75" customHeight="1">
      <c r="A29" s="891">
        <v>1</v>
      </c>
      <c r="B29" s="892" t="s">
        <v>43</v>
      </c>
      <c r="C29" s="892" t="s">
        <v>43</v>
      </c>
      <c r="D29" s="892" t="s">
        <v>45</v>
      </c>
      <c r="E29" s="888" t="s">
        <v>608</v>
      </c>
      <c r="F29" s="2">
        <v>54110</v>
      </c>
      <c r="G29" s="294" t="s">
        <v>35</v>
      </c>
      <c r="H29" s="176">
        <v>20000</v>
      </c>
      <c r="I29" s="176"/>
      <c r="J29" s="176"/>
      <c r="K29" s="176"/>
      <c r="L29" s="176"/>
      <c r="M29" s="675"/>
      <c r="N29" s="675"/>
      <c r="O29" s="675"/>
      <c r="P29" s="675"/>
      <c r="Q29" s="675">
        <f t="shared" si="5"/>
        <v>0</v>
      </c>
      <c r="R29" s="675">
        <f t="shared" si="3"/>
        <v>20000</v>
      </c>
      <c r="S29" s="675"/>
      <c r="T29" s="675"/>
      <c r="U29" s="675"/>
      <c r="V29" s="675"/>
      <c r="W29" s="675"/>
      <c r="X29" s="675">
        <v>18000</v>
      </c>
      <c r="Y29" s="675"/>
      <c r="Z29" s="675"/>
      <c r="AA29" s="675"/>
      <c r="AB29" s="675"/>
      <c r="AC29" s="675"/>
      <c r="AD29" s="675"/>
      <c r="AE29" s="675"/>
      <c r="AF29" s="675"/>
      <c r="AG29" s="974">
        <f t="shared" si="2"/>
        <v>18000</v>
      </c>
      <c r="AH29" s="974">
        <f t="shared" si="4"/>
        <v>2000</v>
      </c>
    </row>
    <row r="30" spans="1:34" s="670" customFormat="1" ht="15.75" customHeight="1">
      <c r="A30" s="891">
        <v>1</v>
      </c>
      <c r="B30" s="892" t="s">
        <v>43</v>
      </c>
      <c r="C30" s="892" t="s">
        <v>43</v>
      </c>
      <c r="D30" s="892" t="s">
        <v>45</v>
      </c>
      <c r="E30" s="888" t="s">
        <v>608</v>
      </c>
      <c r="F30" s="2">
        <v>54111</v>
      </c>
      <c r="G30" s="294" t="s">
        <v>41</v>
      </c>
      <c r="H30" s="176">
        <v>15000</v>
      </c>
      <c r="I30" s="176"/>
      <c r="J30" s="176"/>
      <c r="K30" s="176"/>
      <c r="L30" s="176">
        <v>4000</v>
      </c>
      <c r="M30" s="675"/>
      <c r="N30" s="675">
        <v>10000</v>
      </c>
      <c r="O30" s="675"/>
      <c r="P30" s="675">
        <v>200</v>
      </c>
      <c r="Q30" s="675">
        <f t="shared" si="5"/>
        <v>14200</v>
      </c>
      <c r="R30" s="675">
        <f t="shared" si="3"/>
        <v>800</v>
      </c>
      <c r="S30" s="675"/>
      <c r="T30" s="675"/>
      <c r="U30" s="675"/>
      <c r="V30" s="675"/>
      <c r="W30" s="675"/>
      <c r="X30" s="675">
        <v>0</v>
      </c>
      <c r="Y30" s="675"/>
      <c r="Z30" s="675"/>
      <c r="AA30" s="675"/>
      <c r="AB30" s="675"/>
      <c r="AC30" s="675"/>
      <c r="AD30" s="675"/>
      <c r="AE30" s="675"/>
      <c r="AF30" s="675"/>
      <c r="AG30" s="974">
        <f t="shared" si="2"/>
        <v>0</v>
      </c>
      <c r="AH30" s="974">
        <f t="shared" si="4"/>
        <v>800</v>
      </c>
    </row>
    <row r="31" spans="1:34" s="670" customFormat="1" ht="15.75" customHeight="1">
      <c r="A31" s="891">
        <v>1</v>
      </c>
      <c r="B31" s="892" t="s">
        <v>43</v>
      </c>
      <c r="C31" s="892" t="s">
        <v>43</v>
      </c>
      <c r="D31" s="892" t="s">
        <v>45</v>
      </c>
      <c r="E31" s="888" t="s">
        <v>608</v>
      </c>
      <c r="F31" s="2">
        <v>54112</v>
      </c>
      <c r="G31" s="294" t="s">
        <v>40</v>
      </c>
      <c r="H31" s="176">
        <v>7000</v>
      </c>
      <c r="I31" s="176"/>
      <c r="J31" s="176"/>
      <c r="K31" s="176"/>
      <c r="L31" s="176">
        <v>1000</v>
      </c>
      <c r="M31" s="675"/>
      <c r="N31" s="675">
        <v>5000</v>
      </c>
      <c r="O31" s="675"/>
      <c r="P31" s="675">
        <v>1000</v>
      </c>
      <c r="Q31" s="675">
        <f t="shared" si="5"/>
        <v>7000</v>
      </c>
      <c r="R31" s="675">
        <f t="shared" si="3"/>
        <v>0</v>
      </c>
      <c r="S31" s="675"/>
      <c r="T31" s="675"/>
      <c r="U31" s="675"/>
      <c r="V31" s="675"/>
      <c r="W31" s="675"/>
      <c r="X31" s="675">
        <v>0</v>
      </c>
      <c r="Y31" s="675"/>
      <c r="Z31" s="675"/>
      <c r="AA31" s="675"/>
      <c r="AB31" s="675"/>
      <c r="AC31" s="675"/>
      <c r="AD31" s="675"/>
      <c r="AE31" s="675"/>
      <c r="AF31" s="675"/>
      <c r="AG31" s="974">
        <f t="shared" si="2"/>
        <v>0</v>
      </c>
      <c r="AH31" s="974">
        <f t="shared" si="4"/>
        <v>0</v>
      </c>
    </row>
    <row r="32" spans="1:34" s="554" customFormat="1" ht="15.75" customHeight="1">
      <c r="A32" s="891">
        <v>1</v>
      </c>
      <c r="B32" s="892" t="s">
        <v>43</v>
      </c>
      <c r="C32" s="892" t="s">
        <v>43</v>
      </c>
      <c r="D32" s="892" t="s">
        <v>45</v>
      </c>
      <c r="E32" s="888" t="s">
        <v>608</v>
      </c>
      <c r="F32" s="2">
        <v>54114</v>
      </c>
      <c r="G32" s="294" t="s">
        <v>36</v>
      </c>
      <c r="H32" s="176">
        <v>5000</v>
      </c>
      <c r="I32" s="176">
        <v>2000</v>
      </c>
      <c r="J32" s="176"/>
      <c r="K32" s="176"/>
      <c r="L32" s="176"/>
      <c r="M32" s="675"/>
      <c r="N32" s="675"/>
      <c r="O32" s="675"/>
      <c r="P32" s="675"/>
      <c r="Q32" s="675">
        <f t="shared" si="5"/>
        <v>2000</v>
      </c>
      <c r="R32" s="675">
        <f t="shared" si="3"/>
        <v>3000</v>
      </c>
      <c r="S32" s="675"/>
      <c r="T32" s="675"/>
      <c r="U32" s="675"/>
      <c r="V32" s="675"/>
      <c r="W32" s="675"/>
      <c r="X32" s="675">
        <v>2551.94</v>
      </c>
      <c r="Y32" s="675"/>
      <c r="Z32" s="675"/>
      <c r="AA32" s="675"/>
      <c r="AB32" s="675"/>
      <c r="AC32" s="675"/>
      <c r="AD32" s="675"/>
      <c r="AE32" s="675"/>
      <c r="AF32" s="675"/>
      <c r="AG32" s="974">
        <f t="shared" si="2"/>
        <v>2551.94</v>
      </c>
      <c r="AH32" s="974">
        <f t="shared" si="4"/>
        <v>448.05999999999995</v>
      </c>
    </row>
    <row r="33" spans="1:34" s="554" customFormat="1" ht="15.75" customHeight="1">
      <c r="A33" s="891">
        <v>1</v>
      </c>
      <c r="B33" s="892" t="s">
        <v>43</v>
      </c>
      <c r="C33" s="892" t="s">
        <v>43</v>
      </c>
      <c r="D33" s="892" t="s">
        <v>45</v>
      </c>
      <c r="E33" s="888" t="s">
        <v>608</v>
      </c>
      <c r="F33" s="2">
        <v>54115</v>
      </c>
      <c r="G33" s="294" t="s">
        <v>67</v>
      </c>
      <c r="H33" s="176">
        <v>10000</v>
      </c>
      <c r="I33" s="176"/>
      <c r="J33" s="176"/>
      <c r="K33" s="176"/>
      <c r="L33" s="176"/>
      <c r="M33" s="675"/>
      <c r="N33" s="675"/>
      <c r="O33" s="675"/>
      <c r="P33" s="675"/>
      <c r="Q33" s="675">
        <f t="shared" si="5"/>
        <v>0</v>
      </c>
      <c r="R33" s="675">
        <f t="shared" si="3"/>
        <v>10000</v>
      </c>
      <c r="S33" s="675">
        <v>1500</v>
      </c>
      <c r="T33" s="675"/>
      <c r="U33" s="675">
        <v>1500</v>
      </c>
      <c r="V33" s="675"/>
      <c r="W33" s="675"/>
      <c r="X33" s="675">
        <v>200</v>
      </c>
      <c r="Y33" s="675"/>
      <c r="Z33" s="675">
        <v>800</v>
      </c>
      <c r="AA33" s="675">
        <v>1000</v>
      </c>
      <c r="AB33" s="675">
        <v>1760</v>
      </c>
      <c r="AC33" s="675">
        <v>1000</v>
      </c>
      <c r="AD33" s="675">
        <v>1375</v>
      </c>
      <c r="AE33" s="675"/>
      <c r="AF33" s="675"/>
      <c r="AG33" s="974">
        <f t="shared" si="2"/>
        <v>9135</v>
      </c>
      <c r="AH33" s="974">
        <f t="shared" si="4"/>
        <v>865</v>
      </c>
    </row>
    <row r="34" spans="1:34" s="554" customFormat="1" ht="15.75" customHeight="1">
      <c r="A34" s="891">
        <v>1</v>
      </c>
      <c r="B34" s="892" t="s">
        <v>43</v>
      </c>
      <c r="C34" s="892" t="s">
        <v>43</v>
      </c>
      <c r="D34" s="892" t="s">
        <v>45</v>
      </c>
      <c r="E34" s="888" t="s">
        <v>608</v>
      </c>
      <c r="F34" s="2">
        <v>54116</v>
      </c>
      <c r="G34" s="294" t="s">
        <v>205</v>
      </c>
      <c r="H34" s="176">
        <v>125</v>
      </c>
      <c r="I34" s="176"/>
      <c r="J34" s="176"/>
      <c r="K34" s="176"/>
      <c r="L34" s="176"/>
      <c r="M34" s="675"/>
      <c r="N34" s="675"/>
      <c r="O34" s="675"/>
      <c r="P34" s="675"/>
      <c r="Q34" s="675">
        <f t="shared" si="5"/>
        <v>0</v>
      </c>
      <c r="R34" s="675">
        <f t="shared" si="3"/>
        <v>125</v>
      </c>
      <c r="S34" s="675"/>
      <c r="T34" s="675"/>
      <c r="U34" s="675"/>
      <c r="V34" s="675"/>
      <c r="W34" s="675">
        <v>75</v>
      </c>
      <c r="X34" s="675"/>
      <c r="Y34" s="675"/>
      <c r="Z34" s="675"/>
      <c r="AA34" s="675"/>
      <c r="AB34" s="675"/>
      <c r="AC34" s="675"/>
      <c r="AD34" s="675"/>
      <c r="AE34" s="675"/>
      <c r="AF34" s="675"/>
      <c r="AG34" s="974">
        <f t="shared" si="2"/>
        <v>75</v>
      </c>
      <c r="AH34" s="974">
        <f t="shared" si="4"/>
        <v>50</v>
      </c>
    </row>
    <row r="35" spans="1:34" s="554" customFormat="1" ht="15.75" customHeight="1">
      <c r="A35" s="891">
        <v>1</v>
      </c>
      <c r="B35" s="892" t="s">
        <v>43</v>
      </c>
      <c r="C35" s="892" t="s">
        <v>43</v>
      </c>
      <c r="D35" s="892" t="s">
        <v>45</v>
      </c>
      <c r="E35" s="888" t="s">
        <v>608</v>
      </c>
      <c r="F35" s="2">
        <v>54117</v>
      </c>
      <c r="G35" s="294" t="s">
        <v>531</v>
      </c>
      <c r="H35" s="176">
        <f>[1]CONSOLIDADO!$J$18</f>
        <v>0</v>
      </c>
      <c r="I35" s="176"/>
      <c r="J35" s="176"/>
      <c r="K35" s="176"/>
      <c r="L35" s="176"/>
      <c r="M35" s="675"/>
      <c r="N35" s="675"/>
      <c r="O35" s="675"/>
      <c r="P35" s="675"/>
      <c r="Q35" s="675">
        <f t="shared" si="5"/>
        <v>0</v>
      </c>
      <c r="R35" s="675">
        <f t="shared" si="3"/>
        <v>0</v>
      </c>
      <c r="S35" s="675"/>
      <c r="T35" s="675"/>
      <c r="U35" s="675"/>
      <c r="V35" s="675"/>
      <c r="W35" s="675"/>
      <c r="X35" s="675"/>
      <c r="Y35" s="675"/>
      <c r="Z35" s="675"/>
      <c r="AA35" s="675"/>
      <c r="AB35" s="675"/>
      <c r="AC35" s="675"/>
      <c r="AD35" s="675"/>
      <c r="AE35" s="675"/>
      <c r="AF35" s="675"/>
      <c r="AG35" s="974">
        <f t="shared" si="2"/>
        <v>0</v>
      </c>
      <c r="AH35" s="974">
        <f t="shared" si="4"/>
        <v>0</v>
      </c>
    </row>
    <row r="36" spans="1:34" s="670" customFormat="1" ht="15.75" customHeight="1">
      <c r="A36" s="891">
        <v>1</v>
      </c>
      <c r="B36" s="892" t="s">
        <v>43</v>
      </c>
      <c r="C36" s="892" t="s">
        <v>43</v>
      </c>
      <c r="D36" s="892" t="s">
        <v>45</v>
      </c>
      <c r="E36" s="888" t="s">
        <v>608</v>
      </c>
      <c r="F36" s="2">
        <v>54118</v>
      </c>
      <c r="G36" s="294" t="s">
        <v>183</v>
      </c>
      <c r="H36" s="176">
        <v>5000</v>
      </c>
      <c r="I36" s="176"/>
      <c r="J36" s="176"/>
      <c r="K36" s="176"/>
      <c r="L36" s="176"/>
      <c r="M36" s="675"/>
      <c r="N36" s="675"/>
      <c r="O36" s="675"/>
      <c r="P36" s="675">
        <v>1000</v>
      </c>
      <c r="Q36" s="675">
        <f t="shared" si="5"/>
        <v>1000</v>
      </c>
      <c r="R36" s="675">
        <f t="shared" si="3"/>
        <v>4000</v>
      </c>
      <c r="S36" s="675"/>
      <c r="T36" s="675"/>
      <c r="U36" s="675"/>
      <c r="V36" s="675"/>
      <c r="W36" s="675"/>
      <c r="X36" s="675">
        <v>0</v>
      </c>
      <c r="Y36" s="675"/>
      <c r="Z36" s="675"/>
      <c r="AA36" s="675"/>
      <c r="AB36" s="675"/>
      <c r="AC36" s="675"/>
      <c r="AD36" s="675"/>
      <c r="AE36" s="675"/>
      <c r="AF36" s="675">
        <v>3000</v>
      </c>
      <c r="AG36" s="974">
        <f t="shared" ref="AG36:AG73" si="6">SUM(S36:AF36)</f>
        <v>3000</v>
      </c>
      <c r="AH36" s="974">
        <f t="shared" si="4"/>
        <v>1000</v>
      </c>
    </row>
    <row r="37" spans="1:34" s="554" customFormat="1" ht="15.75" customHeight="1">
      <c r="A37" s="891">
        <v>1</v>
      </c>
      <c r="B37" s="892" t="s">
        <v>43</v>
      </c>
      <c r="C37" s="892" t="s">
        <v>43</v>
      </c>
      <c r="D37" s="892" t="s">
        <v>45</v>
      </c>
      <c r="E37" s="888" t="s">
        <v>608</v>
      </c>
      <c r="F37" s="2">
        <v>54119</v>
      </c>
      <c r="G37" s="294" t="s">
        <v>78</v>
      </c>
      <c r="H37" s="176">
        <v>7000</v>
      </c>
      <c r="I37" s="176"/>
      <c r="J37" s="176"/>
      <c r="K37" s="176"/>
      <c r="L37" s="176"/>
      <c r="M37" s="675"/>
      <c r="N37" s="675"/>
      <c r="O37" s="675"/>
      <c r="P37" s="675">
        <v>6000</v>
      </c>
      <c r="Q37" s="675">
        <f t="shared" si="5"/>
        <v>6000</v>
      </c>
      <c r="R37" s="675">
        <f t="shared" si="3"/>
        <v>1000</v>
      </c>
      <c r="S37" s="675"/>
      <c r="T37" s="675"/>
      <c r="U37" s="675"/>
      <c r="V37" s="675"/>
      <c r="W37" s="675"/>
      <c r="X37" s="675">
        <v>0</v>
      </c>
      <c r="Y37" s="675"/>
      <c r="Z37" s="675"/>
      <c r="AA37" s="675"/>
      <c r="AB37" s="675"/>
      <c r="AC37" s="675"/>
      <c r="AD37" s="675"/>
      <c r="AE37" s="675"/>
      <c r="AF37" s="675"/>
      <c r="AG37" s="974">
        <f t="shared" si="6"/>
        <v>0</v>
      </c>
      <c r="AH37" s="974">
        <f t="shared" si="4"/>
        <v>1000</v>
      </c>
    </row>
    <row r="38" spans="1:34" s="554" customFormat="1" ht="15.75" customHeight="1">
      <c r="A38" s="891">
        <v>1</v>
      </c>
      <c r="B38" s="892" t="s">
        <v>43</v>
      </c>
      <c r="C38" s="892" t="s">
        <v>43</v>
      </c>
      <c r="D38" s="892" t="s">
        <v>45</v>
      </c>
      <c r="E38" s="888" t="s">
        <v>608</v>
      </c>
      <c r="F38" s="2">
        <v>54121</v>
      </c>
      <c r="G38" s="294" t="s">
        <v>69</v>
      </c>
      <c r="H38" s="176">
        <v>4000</v>
      </c>
      <c r="I38" s="176"/>
      <c r="J38" s="176"/>
      <c r="K38" s="176"/>
      <c r="L38" s="176"/>
      <c r="M38" s="675"/>
      <c r="N38" s="675"/>
      <c r="O38" s="675"/>
      <c r="P38" s="675"/>
      <c r="Q38" s="675">
        <f t="shared" si="5"/>
        <v>0</v>
      </c>
      <c r="R38" s="675">
        <f t="shared" si="3"/>
        <v>4000</v>
      </c>
      <c r="S38" s="675"/>
      <c r="T38" s="675"/>
      <c r="U38" s="675"/>
      <c r="V38" s="675"/>
      <c r="W38" s="675"/>
      <c r="X38" s="675"/>
      <c r="Y38" s="675"/>
      <c r="Z38" s="675"/>
      <c r="AA38" s="675"/>
      <c r="AB38" s="675"/>
      <c r="AC38" s="675">
        <v>3752</v>
      </c>
      <c r="AD38" s="675"/>
      <c r="AE38" s="675"/>
      <c r="AF38" s="675"/>
      <c r="AG38" s="974">
        <f t="shared" si="6"/>
        <v>3752</v>
      </c>
      <c r="AH38" s="974">
        <f t="shared" si="4"/>
        <v>248</v>
      </c>
    </row>
    <row r="39" spans="1:34" s="670" customFormat="1" ht="15.75" customHeight="1">
      <c r="A39" s="891">
        <v>1</v>
      </c>
      <c r="B39" s="892" t="s">
        <v>43</v>
      </c>
      <c r="C39" s="892" t="s">
        <v>43</v>
      </c>
      <c r="D39" s="892" t="s">
        <v>45</v>
      </c>
      <c r="E39" s="888" t="s">
        <v>608</v>
      </c>
      <c r="F39" s="2">
        <v>54199</v>
      </c>
      <c r="G39" s="294" t="s">
        <v>188</v>
      </c>
      <c r="H39" s="176">
        <v>5000</v>
      </c>
      <c r="I39" s="176">
        <v>1500</v>
      </c>
      <c r="J39" s="176"/>
      <c r="K39" s="176"/>
      <c r="L39" s="176"/>
      <c r="M39" s="675"/>
      <c r="N39" s="675"/>
      <c r="O39" s="675"/>
      <c r="P39" s="675"/>
      <c r="Q39" s="675">
        <f t="shared" si="5"/>
        <v>1500</v>
      </c>
      <c r="R39" s="675">
        <f t="shared" si="3"/>
        <v>3500</v>
      </c>
      <c r="S39" s="675"/>
      <c r="T39" s="675"/>
      <c r="U39" s="675"/>
      <c r="V39" s="675"/>
      <c r="W39" s="675"/>
      <c r="X39" s="675">
        <v>3000</v>
      </c>
      <c r="Y39" s="675"/>
      <c r="Z39" s="675"/>
      <c r="AA39" s="675"/>
      <c r="AB39" s="675"/>
      <c r="AC39" s="675"/>
      <c r="AD39" s="675"/>
      <c r="AE39" s="675">
        <v>365</v>
      </c>
      <c r="AF39" s="675"/>
      <c r="AG39" s="974">
        <f t="shared" si="6"/>
        <v>3365</v>
      </c>
      <c r="AH39" s="974">
        <f t="shared" si="4"/>
        <v>135</v>
      </c>
    </row>
    <row r="40" spans="1:34" s="554" customFormat="1" ht="15.75" customHeight="1">
      <c r="A40" s="891">
        <v>1</v>
      </c>
      <c r="B40" s="892" t="s">
        <v>43</v>
      </c>
      <c r="C40" s="892" t="s">
        <v>43</v>
      </c>
      <c r="D40" s="892" t="s">
        <v>45</v>
      </c>
      <c r="E40" s="888" t="s">
        <v>608</v>
      </c>
      <c r="F40" s="2">
        <v>54201</v>
      </c>
      <c r="G40" s="294" t="s">
        <v>37</v>
      </c>
      <c r="H40" s="176"/>
      <c r="I40" s="176"/>
      <c r="J40" s="176"/>
      <c r="K40" s="176"/>
      <c r="L40" s="176"/>
      <c r="M40" s="675"/>
      <c r="N40" s="675"/>
      <c r="O40" s="675"/>
      <c r="P40" s="675"/>
      <c r="Q40" s="675">
        <f t="shared" si="5"/>
        <v>0</v>
      </c>
      <c r="R40" s="675">
        <f t="shared" si="3"/>
        <v>0</v>
      </c>
      <c r="S40" s="675"/>
      <c r="T40" s="675"/>
      <c r="U40" s="675"/>
      <c r="V40" s="675"/>
      <c r="W40" s="675"/>
      <c r="X40" s="675"/>
      <c r="Y40" s="675"/>
      <c r="Z40" s="675"/>
      <c r="AA40" s="675"/>
      <c r="AB40" s="675"/>
      <c r="AC40" s="675"/>
      <c r="AD40" s="675"/>
      <c r="AE40" s="675"/>
      <c r="AF40" s="675"/>
      <c r="AG40" s="974">
        <f t="shared" si="6"/>
        <v>0</v>
      </c>
      <c r="AH40" s="974">
        <f t="shared" si="4"/>
        <v>0</v>
      </c>
    </row>
    <row r="41" spans="1:34" s="554" customFormat="1" ht="15.75" customHeight="1">
      <c r="A41" s="891">
        <v>1</v>
      </c>
      <c r="B41" s="892" t="s">
        <v>43</v>
      </c>
      <c r="C41" s="892" t="s">
        <v>43</v>
      </c>
      <c r="D41" s="892" t="s">
        <v>45</v>
      </c>
      <c r="E41" s="888" t="s">
        <v>608</v>
      </c>
      <c r="F41" s="2">
        <v>54202</v>
      </c>
      <c r="G41" s="294" t="s">
        <v>38</v>
      </c>
      <c r="H41" s="176"/>
      <c r="I41" s="176"/>
      <c r="J41" s="176"/>
      <c r="K41" s="176"/>
      <c r="L41" s="176"/>
      <c r="M41" s="675"/>
      <c r="N41" s="675"/>
      <c r="O41" s="675"/>
      <c r="P41" s="675"/>
      <c r="Q41" s="675">
        <f t="shared" si="5"/>
        <v>0</v>
      </c>
      <c r="R41" s="675">
        <f t="shared" si="3"/>
        <v>0</v>
      </c>
      <c r="S41" s="675"/>
      <c r="T41" s="675"/>
      <c r="U41" s="675"/>
      <c r="V41" s="675"/>
      <c r="W41" s="675"/>
      <c r="X41" s="675"/>
      <c r="Y41" s="675"/>
      <c r="Z41" s="675"/>
      <c r="AA41" s="675"/>
      <c r="AB41" s="675"/>
      <c r="AC41" s="675"/>
      <c r="AD41" s="675"/>
      <c r="AE41" s="675"/>
      <c r="AF41" s="675"/>
      <c r="AG41" s="974">
        <f t="shared" si="6"/>
        <v>0</v>
      </c>
      <c r="AH41" s="974">
        <f t="shared" si="4"/>
        <v>0</v>
      </c>
    </row>
    <row r="42" spans="1:34" s="554" customFormat="1" ht="15.75" customHeight="1">
      <c r="A42" s="891">
        <v>1</v>
      </c>
      <c r="B42" s="892" t="s">
        <v>43</v>
      </c>
      <c r="C42" s="892" t="s">
        <v>43</v>
      </c>
      <c r="D42" s="892" t="s">
        <v>45</v>
      </c>
      <c r="E42" s="888" t="s">
        <v>608</v>
      </c>
      <c r="F42" s="2">
        <v>54203</v>
      </c>
      <c r="G42" s="294" t="s">
        <v>39</v>
      </c>
      <c r="H42" s="176"/>
      <c r="I42" s="176"/>
      <c r="J42" s="176"/>
      <c r="K42" s="176"/>
      <c r="L42" s="176"/>
      <c r="M42" s="675"/>
      <c r="N42" s="675"/>
      <c r="O42" s="675"/>
      <c r="P42" s="675"/>
      <c r="Q42" s="675">
        <f t="shared" si="5"/>
        <v>0</v>
      </c>
      <c r="R42" s="675">
        <f t="shared" si="3"/>
        <v>0</v>
      </c>
      <c r="S42" s="675"/>
      <c r="T42" s="675"/>
      <c r="U42" s="675"/>
      <c r="V42" s="675"/>
      <c r="W42" s="675"/>
      <c r="X42" s="675"/>
      <c r="Y42" s="675"/>
      <c r="Z42" s="675"/>
      <c r="AA42" s="675"/>
      <c r="AB42" s="675"/>
      <c r="AC42" s="675"/>
      <c r="AD42" s="675"/>
      <c r="AE42" s="675"/>
      <c r="AF42" s="675"/>
      <c r="AG42" s="974">
        <f t="shared" si="6"/>
        <v>0</v>
      </c>
      <c r="AH42" s="974">
        <f t="shared" si="4"/>
        <v>0</v>
      </c>
    </row>
    <row r="43" spans="1:34" s="670" customFormat="1" ht="15.75" customHeight="1">
      <c r="A43" s="891">
        <v>1</v>
      </c>
      <c r="B43" s="892" t="s">
        <v>43</v>
      </c>
      <c r="C43" s="892" t="s">
        <v>43</v>
      </c>
      <c r="D43" s="892" t="s">
        <v>45</v>
      </c>
      <c r="E43" s="888" t="s">
        <v>608</v>
      </c>
      <c r="F43" s="2">
        <v>54301</v>
      </c>
      <c r="G43" s="294" t="s">
        <v>186</v>
      </c>
      <c r="H43" s="176">
        <v>5900</v>
      </c>
      <c r="I43" s="176"/>
      <c r="J43" s="176"/>
      <c r="K43" s="176"/>
      <c r="L43" s="176"/>
      <c r="M43" s="675"/>
      <c r="N43" s="675"/>
      <c r="O43" s="675"/>
      <c r="P43" s="675"/>
      <c r="Q43" s="675">
        <f t="shared" si="5"/>
        <v>0</v>
      </c>
      <c r="R43" s="675">
        <f t="shared" si="3"/>
        <v>5900</v>
      </c>
      <c r="S43" s="675"/>
      <c r="T43" s="675"/>
      <c r="U43" s="675"/>
      <c r="V43" s="675"/>
      <c r="W43" s="675"/>
      <c r="X43" s="675">
        <v>4000</v>
      </c>
      <c r="Y43" s="675"/>
      <c r="Z43" s="675"/>
      <c r="AA43" s="675"/>
      <c r="AB43" s="675"/>
      <c r="AC43" s="675"/>
      <c r="AD43" s="675">
        <v>400</v>
      </c>
      <c r="AE43" s="675"/>
      <c r="AF43" s="675"/>
      <c r="AG43" s="974">
        <f t="shared" si="6"/>
        <v>4400</v>
      </c>
      <c r="AH43" s="974">
        <f t="shared" si="4"/>
        <v>1500</v>
      </c>
    </row>
    <row r="44" spans="1:34" s="554" customFormat="1" ht="15.75" customHeight="1">
      <c r="A44" s="891">
        <v>1</v>
      </c>
      <c r="B44" s="892" t="s">
        <v>43</v>
      </c>
      <c r="C44" s="892" t="s">
        <v>43</v>
      </c>
      <c r="D44" s="892" t="s">
        <v>45</v>
      </c>
      <c r="E44" s="888" t="s">
        <v>608</v>
      </c>
      <c r="F44" s="2">
        <v>54302</v>
      </c>
      <c r="G44" s="294" t="s">
        <v>185</v>
      </c>
      <c r="H44" s="176">
        <v>7000</v>
      </c>
      <c r="I44" s="176"/>
      <c r="J44" s="176"/>
      <c r="K44" s="176"/>
      <c r="L44" s="176"/>
      <c r="M44" s="675"/>
      <c r="N44" s="675"/>
      <c r="O44" s="675"/>
      <c r="P44" s="675"/>
      <c r="Q44" s="675">
        <f t="shared" si="5"/>
        <v>0</v>
      </c>
      <c r="R44" s="675">
        <f t="shared" si="3"/>
        <v>7000</v>
      </c>
      <c r="S44" s="675"/>
      <c r="T44" s="675"/>
      <c r="U44" s="675"/>
      <c r="V44" s="675"/>
      <c r="W44" s="675"/>
      <c r="X44" s="675">
        <v>6000</v>
      </c>
      <c r="Y44" s="675"/>
      <c r="Z44" s="675"/>
      <c r="AA44" s="675"/>
      <c r="AB44" s="675"/>
      <c r="AC44" s="675"/>
      <c r="AD44" s="675"/>
      <c r="AE44" s="675"/>
      <c r="AF44" s="675"/>
      <c r="AG44" s="974">
        <f t="shared" si="6"/>
        <v>6000</v>
      </c>
      <c r="AH44" s="974">
        <f t="shared" si="4"/>
        <v>1000</v>
      </c>
    </row>
    <row r="45" spans="1:34" s="554" customFormat="1" ht="15.75" customHeight="1">
      <c r="A45" s="891">
        <v>1</v>
      </c>
      <c r="B45" s="892" t="s">
        <v>43</v>
      </c>
      <c r="C45" s="892" t="s">
        <v>43</v>
      </c>
      <c r="D45" s="892" t="s">
        <v>45</v>
      </c>
      <c r="E45" s="888" t="s">
        <v>608</v>
      </c>
      <c r="F45" s="2">
        <v>54303</v>
      </c>
      <c r="G45" s="294" t="s">
        <v>184</v>
      </c>
      <c r="H45" s="176">
        <v>2000</v>
      </c>
      <c r="I45" s="176"/>
      <c r="J45" s="176"/>
      <c r="K45" s="176"/>
      <c r="L45" s="176"/>
      <c r="M45" s="675"/>
      <c r="N45" s="675"/>
      <c r="O45" s="675"/>
      <c r="P45" s="675"/>
      <c r="Q45" s="675">
        <f t="shared" si="5"/>
        <v>0</v>
      </c>
      <c r="R45" s="675">
        <f t="shared" si="3"/>
        <v>2000</v>
      </c>
      <c r="S45" s="675"/>
      <c r="T45" s="675"/>
      <c r="U45" s="675"/>
      <c r="V45" s="675"/>
      <c r="W45" s="675"/>
      <c r="X45" s="675">
        <v>1000</v>
      </c>
      <c r="Y45" s="675"/>
      <c r="Z45" s="675"/>
      <c r="AA45" s="675"/>
      <c r="AB45" s="675"/>
      <c r="AC45" s="675"/>
      <c r="AD45" s="675"/>
      <c r="AE45" s="675"/>
      <c r="AF45" s="675"/>
      <c r="AG45" s="974">
        <f t="shared" si="6"/>
        <v>1000</v>
      </c>
      <c r="AH45" s="974">
        <f t="shared" si="4"/>
        <v>1000</v>
      </c>
    </row>
    <row r="46" spans="1:34" s="554" customFormat="1" ht="15.75" customHeight="1">
      <c r="A46" s="891">
        <v>1</v>
      </c>
      <c r="B46" s="892" t="s">
        <v>43</v>
      </c>
      <c r="C46" s="892" t="s">
        <v>43</v>
      </c>
      <c r="D46" s="892" t="s">
        <v>45</v>
      </c>
      <c r="E46" s="888" t="s">
        <v>608</v>
      </c>
      <c r="F46" s="2">
        <v>54304</v>
      </c>
      <c r="G46" s="294" t="s">
        <v>75</v>
      </c>
      <c r="H46" s="176">
        <v>500</v>
      </c>
      <c r="I46" s="176"/>
      <c r="J46" s="176"/>
      <c r="K46" s="176"/>
      <c r="L46" s="176"/>
      <c r="M46" s="675"/>
      <c r="N46" s="675"/>
      <c r="O46" s="675"/>
      <c r="P46" s="675"/>
      <c r="Q46" s="675">
        <f t="shared" si="5"/>
        <v>0</v>
      </c>
      <c r="R46" s="675">
        <f t="shared" si="3"/>
        <v>500</v>
      </c>
      <c r="S46" s="675"/>
      <c r="T46" s="675"/>
      <c r="U46" s="675"/>
      <c r="V46" s="675"/>
      <c r="W46" s="675"/>
      <c r="X46" s="675"/>
      <c r="Y46" s="675"/>
      <c r="Z46" s="675"/>
      <c r="AA46" s="675"/>
      <c r="AB46" s="675"/>
      <c r="AC46" s="675"/>
      <c r="AD46" s="675"/>
      <c r="AE46" s="675"/>
      <c r="AF46" s="675"/>
      <c r="AG46" s="974">
        <f t="shared" si="6"/>
        <v>0</v>
      </c>
      <c r="AH46" s="974">
        <f t="shared" si="4"/>
        <v>500</v>
      </c>
    </row>
    <row r="47" spans="1:34" s="554" customFormat="1" ht="15.75" customHeight="1">
      <c r="A47" s="891">
        <v>1</v>
      </c>
      <c r="B47" s="892" t="s">
        <v>43</v>
      </c>
      <c r="C47" s="892" t="s">
        <v>43</v>
      </c>
      <c r="D47" s="892" t="s">
        <v>45</v>
      </c>
      <c r="E47" s="888" t="s">
        <v>608</v>
      </c>
      <c r="F47" s="2">
        <v>54305</v>
      </c>
      <c r="G47" s="294" t="s">
        <v>64</v>
      </c>
      <c r="H47" s="176">
        <v>1500</v>
      </c>
      <c r="I47" s="176"/>
      <c r="J47" s="176"/>
      <c r="K47" s="176"/>
      <c r="L47" s="176"/>
      <c r="M47" s="675"/>
      <c r="N47" s="675"/>
      <c r="O47" s="675"/>
      <c r="P47" s="675"/>
      <c r="Q47" s="675">
        <f t="shared" si="5"/>
        <v>0</v>
      </c>
      <c r="R47" s="675">
        <f t="shared" si="3"/>
        <v>1500</v>
      </c>
      <c r="S47" s="675"/>
      <c r="T47" s="675"/>
      <c r="U47" s="675"/>
      <c r="V47" s="675"/>
      <c r="W47" s="675"/>
      <c r="X47" s="675"/>
      <c r="Y47" s="675"/>
      <c r="Z47" s="675"/>
      <c r="AA47" s="675"/>
      <c r="AB47" s="675"/>
      <c r="AC47" s="675"/>
      <c r="AD47" s="675"/>
      <c r="AE47" s="675"/>
      <c r="AF47" s="675"/>
      <c r="AG47" s="974">
        <f t="shared" si="6"/>
        <v>0</v>
      </c>
      <c r="AH47" s="974">
        <f t="shared" si="4"/>
        <v>1500</v>
      </c>
    </row>
    <row r="48" spans="1:34" s="554" customFormat="1" ht="15.75" customHeight="1">
      <c r="A48" s="891">
        <v>1</v>
      </c>
      <c r="B48" s="892" t="s">
        <v>43</v>
      </c>
      <c r="C48" s="892" t="s">
        <v>43</v>
      </c>
      <c r="D48" s="892" t="s">
        <v>45</v>
      </c>
      <c r="E48" s="888" t="s">
        <v>608</v>
      </c>
      <c r="F48" s="2">
        <v>54313</v>
      </c>
      <c r="G48" s="294" t="s">
        <v>156</v>
      </c>
      <c r="H48" s="176">
        <v>2000</v>
      </c>
      <c r="I48" s="176"/>
      <c r="J48" s="176"/>
      <c r="K48" s="176"/>
      <c r="L48" s="176"/>
      <c r="M48" s="675"/>
      <c r="N48" s="675"/>
      <c r="O48" s="675"/>
      <c r="P48" s="675"/>
      <c r="Q48" s="675">
        <f t="shared" si="5"/>
        <v>0</v>
      </c>
      <c r="R48" s="675">
        <f t="shared" si="3"/>
        <v>2000</v>
      </c>
      <c r="S48" s="675">
        <v>1000</v>
      </c>
      <c r="T48" s="675"/>
      <c r="U48" s="675"/>
      <c r="V48" s="675"/>
      <c r="W48" s="675"/>
      <c r="X48" s="675"/>
      <c r="Y48" s="675"/>
      <c r="Z48" s="675"/>
      <c r="AA48" s="675"/>
      <c r="AB48" s="675">
        <v>500</v>
      </c>
      <c r="AC48" s="675"/>
      <c r="AD48" s="675"/>
      <c r="AE48" s="675"/>
      <c r="AF48" s="675"/>
      <c r="AG48" s="974">
        <f t="shared" si="6"/>
        <v>1500</v>
      </c>
      <c r="AH48" s="974">
        <f t="shared" si="4"/>
        <v>500</v>
      </c>
    </row>
    <row r="49" spans="1:34" s="554" customFormat="1" ht="15.75" customHeight="1">
      <c r="A49" s="891">
        <v>1</v>
      </c>
      <c r="B49" s="892" t="s">
        <v>43</v>
      </c>
      <c r="C49" s="892" t="s">
        <v>43</v>
      </c>
      <c r="D49" s="892" t="s">
        <v>45</v>
      </c>
      <c r="E49" s="888" t="s">
        <v>608</v>
      </c>
      <c r="F49" s="2">
        <v>54314</v>
      </c>
      <c r="G49" s="294" t="s">
        <v>70</v>
      </c>
      <c r="H49" s="176">
        <v>1000</v>
      </c>
      <c r="I49" s="176"/>
      <c r="J49" s="176"/>
      <c r="K49" s="176"/>
      <c r="L49" s="176"/>
      <c r="M49" s="675"/>
      <c r="N49" s="675"/>
      <c r="O49" s="675"/>
      <c r="P49" s="675"/>
      <c r="Q49" s="675">
        <f t="shared" si="5"/>
        <v>0</v>
      </c>
      <c r="R49" s="675">
        <f t="shared" si="3"/>
        <v>1000</v>
      </c>
      <c r="S49" s="675"/>
      <c r="T49" s="675"/>
      <c r="U49" s="675"/>
      <c r="V49" s="675"/>
      <c r="W49" s="675"/>
      <c r="X49" s="675"/>
      <c r="Y49" s="675"/>
      <c r="Z49" s="675"/>
      <c r="AA49" s="675"/>
      <c r="AB49" s="675"/>
      <c r="AC49" s="675"/>
      <c r="AD49" s="675"/>
      <c r="AE49" s="675"/>
      <c r="AF49" s="675"/>
      <c r="AG49" s="974">
        <f t="shared" si="6"/>
        <v>0</v>
      </c>
      <c r="AH49" s="974">
        <f t="shared" si="4"/>
        <v>1000</v>
      </c>
    </row>
    <row r="50" spans="1:34" s="554" customFormat="1" ht="15.75" customHeight="1">
      <c r="A50" s="891">
        <v>1</v>
      </c>
      <c r="B50" s="892" t="s">
        <v>43</v>
      </c>
      <c r="C50" s="892" t="s">
        <v>43</v>
      </c>
      <c r="D50" s="892" t="s">
        <v>45</v>
      </c>
      <c r="E50" s="888" t="s">
        <v>608</v>
      </c>
      <c r="F50" s="2">
        <v>54316</v>
      </c>
      <c r="G50" s="294" t="s">
        <v>499</v>
      </c>
      <c r="H50" s="176">
        <v>500</v>
      </c>
      <c r="I50" s="176"/>
      <c r="J50" s="176"/>
      <c r="K50" s="176"/>
      <c r="L50" s="176"/>
      <c r="M50" s="675"/>
      <c r="N50" s="675"/>
      <c r="O50" s="675"/>
      <c r="P50" s="675"/>
      <c r="Q50" s="675">
        <f t="shared" si="5"/>
        <v>0</v>
      </c>
      <c r="R50" s="675">
        <f t="shared" si="3"/>
        <v>500</v>
      </c>
      <c r="S50" s="675"/>
      <c r="T50" s="675"/>
      <c r="U50" s="675"/>
      <c r="V50" s="675"/>
      <c r="W50" s="675"/>
      <c r="X50" s="675"/>
      <c r="Y50" s="675"/>
      <c r="Z50" s="675"/>
      <c r="AA50" s="675"/>
      <c r="AB50" s="675"/>
      <c r="AC50" s="675"/>
      <c r="AD50" s="675"/>
      <c r="AE50" s="675"/>
      <c r="AF50" s="675"/>
      <c r="AG50" s="974">
        <f t="shared" si="6"/>
        <v>0</v>
      </c>
      <c r="AH50" s="974">
        <f t="shared" si="4"/>
        <v>500</v>
      </c>
    </row>
    <row r="51" spans="1:34" s="554" customFormat="1" ht="15.75" customHeight="1">
      <c r="A51" s="891">
        <v>1</v>
      </c>
      <c r="B51" s="892" t="s">
        <v>43</v>
      </c>
      <c r="C51" s="892" t="s">
        <v>43</v>
      </c>
      <c r="D51" s="892" t="s">
        <v>45</v>
      </c>
      <c r="E51" s="888" t="s">
        <v>608</v>
      </c>
      <c r="F51" s="2">
        <v>54317</v>
      </c>
      <c r="G51" s="294" t="s">
        <v>500</v>
      </c>
      <c r="H51" s="176">
        <v>4000</v>
      </c>
      <c r="I51" s="176"/>
      <c r="J51" s="176"/>
      <c r="K51" s="176"/>
      <c r="L51" s="176"/>
      <c r="M51" s="675"/>
      <c r="N51" s="675"/>
      <c r="O51" s="675"/>
      <c r="P51" s="675"/>
      <c r="Q51" s="675">
        <f t="shared" si="5"/>
        <v>0</v>
      </c>
      <c r="R51" s="675">
        <f t="shared" si="3"/>
        <v>4000</v>
      </c>
      <c r="S51" s="675"/>
      <c r="T51" s="675"/>
      <c r="U51" s="675"/>
      <c r="V51" s="675"/>
      <c r="W51" s="675"/>
      <c r="X51" s="675">
        <v>2500</v>
      </c>
      <c r="Y51" s="675"/>
      <c r="Z51" s="675"/>
      <c r="AA51" s="675"/>
      <c r="AB51" s="675"/>
      <c r="AC51" s="675"/>
      <c r="AD51" s="675"/>
      <c r="AE51" s="675"/>
      <c r="AF51" s="675"/>
      <c r="AG51" s="974">
        <f t="shared" si="6"/>
        <v>2500</v>
      </c>
      <c r="AH51" s="974">
        <f t="shared" si="4"/>
        <v>1500</v>
      </c>
    </row>
    <row r="52" spans="1:34" s="670" customFormat="1" ht="15.75" customHeight="1">
      <c r="A52" s="891">
        <v>1</v>
      </c>
      <c r="B52" s="892" t="s">
        <v>43</v>
      </c>
      <c r="C52" s="892" t="s">
        <v>43</v>
      </c>
      <c r="D52" s="892" t="s">
        <v>45</v>
      </c>
      <c r="E52" s="888" t="s">
        <v>608</v>
      </c>
      <c r="F52" s="2">
        <v>54399</v>
      </c>
      <c r="G52" s="294" t="s">
        <v>317</v>
      </c>
      <c r="H52" s="176">
        <v>1500</v>
      </c>
      <c r="I52" s="176"/>
      <c r="J52" s="176"/>
      <c r="K52" s="176"/>
      <c r="L52" s="176"/>
      <c r="M52" s="675"/>
      <c r="N52" s="675"/>
      <c r="O52" s="675"/>
      <c r="P52" s="675"/>
      <c r="Q52" s="675">
        <f t="shared" si="5"/>
        <v>0</v>
      </c>
      <c r="R52" s="675">
        <f t="shared" si="3"/>
        <v>1500</v>
      </c>
      <c r="S52" s="675"/>
      <c r="T52" s="675"/>
      <c r="U52" s="675"/>
      <c r="V52" s="675"/>
      <c r="W52" s="675">
        <v>500</v>
      </c>
      <c r="X52" s="675"/>
      <c r="Y52" s="675"/>
      <c r="Z52" s="675"/>
      <c r="AA52" s="675">
        <v>0</v>
      </c>
      <c r="AB52" s="675"/>
      <c r="AC52" s="675"/>
      <c r="AD52" s="675"/>
      <c r="AE52" s="675"/>
      <c r="AF52" s="675"/>
      <c r="AG52" s="974">
        <f t="shared" si="6"/>
        <v>500</v>
      </c>
      <c r="AH52" s="974">
        <f t="shared" si="4"/>
        <v>1000</v>
      </c>
    </row>
    <row r="53" spans="1:34" ht="15.75" customHeight="1">
      <c r="A53" s="891">
        <v>1</v>
      </c>
      <c r="B53" s="892" t="s">
        <v>43</v>
      </c>
      <c r="C53" s="892" t="s">
        <v>43</v>
      </c>
      <c r="D53" s="892" t="s">
        <v>45</v>
      </c>
      <c r="E53" s="888" t="s">
        <v>608</v>
      </c>
      <c r="F53" s="2">
        <v>54503</v>
      </c>
      <c r="G53" s="294" t="s">
        <v>66</v>
      </c>
      <c r="H53" s="176">
        <v>500</v>
      </c>
      <c r="I53" s="176"/>
      <c r="J53" s="176"/>
      <c r="K53" s="176"/>
      <c r="L53" s="176"/>
      <c r="M53" s="675"/>
      <c r="N53" s="675"/>
      <c r="O53" s="675"/>
      <c r="P53" s="675"/>
      <c r="Q53" s="675">
        <f t="shared" si="5"/>
        <v>0</v>
      </c>
      <c r="R53" s="675">
        <f t="shared" si="3"/>
        <v>500</v>
      </c>
      <c r="S53" s="675"/>
      <c r="T53" s="675"/>
      <c r="U53" s="675"/>
      <c r="V53" s="675"/>
      <c r="W53" s="675"/>
      <c r="X53" s="675"/>
      <c r="Y53" s="675"/>
      <c r="Z53" s="675"/>
      <c r="AA53" s="675">
        <v>350</v>
      </c>
      <c r="AB53" s="675"/>
      <c r="AC53" s="675"/>
      <c r="AD53" s="675"/>
      <c r="AE53" s="675"/>
      <c r="AF53" s="675"/>
      <c r="AG53" s="974">
        <f t="shared" si="6"/>
        <v>350</v>
      </c>
      <c r="AH53" s="974">
        <f t="shared" si="4"/>
        <v>150</v>
      </c>
    </row>
    <row r="54" spans="1:34" s="554" customFormat="1" ht="15.75" customHeight="1">
      <c r="A54" s="891">
        <v>1</v>
      </c>
      <c r="B54" s="892" t="s">
        <v>43</v>
      </c>
      <c r="C54" s="892" t="s">
        <v>43</v>
      </c>
      <c r="D54" s="892" t="s">
        <v>45</v>
      </c>
      <c r="E54" s="888" t="s">
        <v>608</v>
      </c>
      <c r="F54" s="2">
        <v>54504</v>
      </c>
      <c r="G54" s="294" t="s">
        <v>71</v>
      </c>
      <c r="H54" s="176">
        <v>9100</v>
      </c>
      <c r="I54" s="176"/>
      <c r="J54" s="176"/>
      <c r="K54" s="176"/>
      <c r="L54" s="176"/>
      <c r="M54" s="675"/>
      <c r="N54" s="675"/>
      <c r="O54" s="675"/>
      <c r="P54" s="675"/>
      <c r="Q54" s="675">
        <f t="shared" si="5"/>
        <v>0</v>
      </c>
      <c r="R54" s="675">
        <f t="shared" si="3"/>
        <v>9100</v>
      </c>
      <c r="S54" s="675"/>
      <c r="T54" s="675"/>
      <c r="U54" s="675"/>
      <c r="V54" s="675"/>
      <c r="W54" s="675"/>
      <c r="X54" s="675"/>
      <c r="Y54" s="675">
        <v>9000</v>
      </c>
      <c r="Z54" s="675"/>
      <c r="AA54" s="675"/>
      <c r="AB54" s="675"/>
      <c r="AC54" s="675"/>
      <c r="AD54" s="675"/>
      <c r="AE54" s="675"/>
      <c r="AF54" s="675"/>
      <c r="AG54" s="974">
        <f t="shared" si="6"/>
        <v>9000</v>
      </c>
      <c r="AH54" s="974">
        <f t="shared" si="4"/>
        <v>100</v>
      </c>
    </row>
    <row r="55" spans="1:34" s="554" customFormat="1" ht="15.75" customHeight="1">
      <c r="A55" s="891">
        <v>1</v>
      </c>
      <c r="B55" s="892" t="s">
        <v>43</v>
      </c>
      <c r="C55" s="892" t="s">
        <v>43</v>
      </c>
      <c r="D55" s="892" t="s">
        <v>45</v>
      </c>
      <c r="E55" s="888" t="s">
        <v>608</v>
      </c>
      <c r="F55" s="2">
        <v>54506</v>
      </c>
      <c r="G55" s="294" t="s">
        <v>1003</v>
      </c>
      <c r="H55" s="176">
        <v>2000</v>
      </c>
      <c r="I55" s="176"/>
      <c r="J55" s="176"/>
      <c r="K55" s="176"/>
      <c r="L55" s="176"/>
      <c r="M55" s="675"/>
      <c r="N55" s="675"/>
      <c r="O55" s="675"/>
      <c r="P55" s="675"/>
      <c r="Q55" s="675">
        <f t="shared" si="5"/>
        <v>0</v>
      </c>
      <c r="R55" s="675">
        <f t="shared" si="3"/>
        <v>2000</v>
      </c>
      <c r="S55" s="675"/>
      <c r="T55" s="675"/>
      <c r="U55" s="675"/>
      <c r="V55" s="675"/>
      <c r="W55" s="675"/>
      <c r="X55" s="675"/>
      <c r="Y55" s="675"/>
      <c r="Z55" s="675"/>
      <c r="AA55" s="675"/>
      <c r="AB55" s="675">
        <v>2000</v>
      </c>
      <c r="AC55" s="675"/>
      <c r="AD55" s="675"/>
      <c r="AE55" s="675"/>
      <c r="AF55" s="675"/>
      <c r="AG55" s="974">
        <f t="shared" si="6"/>
        <v>2000</v>
      </c>
      <c r="AH55" s="974">
        <f t="shared" si="4"/>
        <v>0</v>
      </c>
    </row>
    <row r="56" spans="1:34" s="554" customFormat="1" ht="15.75" customHeight="1">
      <c r="A56" s="891">
        <v>1</v>
      </c>
      <c r="B56" s="892" t="s">
        <v>43</v>
      </c>
      <c r="C56" s="892" t="s">
        <v>43</v>
      </c>
      <c r="D56" s="892" t="s">
        <v>45</v>
      </c>
      <c r="E56" s="888" t="s">
        <v>608</v>
      </c>
      <c r="F56" s="2">
        <v>54507</v>
      </c>
      <c r="G56" s="294" t="s">
        <v>277</v>
      </c>
      <c r="H56" s="176">
        <v>4000</v>
      </c>
      <c r="I56" s="176"/>
      <c r="J56" s="176"/>
      <c r="K56" s="176"/>
      <c r="L56" s="176"/>
      <c r="M56" s="675"/>
      <c r="N56" s="675"/>
      <c r="O56" s="675"/>
      <c r="P56" s="675"/>
      <c r="Q56" s="675">
        <f t="shared" si="5"/>
        <v>0</v>
      </c>
      <c r="R56" s="675">
        <f t="shared" si="3"/>
        <v>4000</v>
      </c>
      <c r="S56" s="675"/>
      <c r="T56" s="675"/>
      <c r="U56" s="675"/>
      <c r="V56" s="675"/>
      <c r="W56" s="675"/>
      <c r="X56" s="675"/>
      <c r="Y56" s="675"/>
      <c r="Z56" s="675"/>
      <c r="AA56" s="675"/>
      <c r="AB56" s="675">
        <v>4000</v>
      </c>
      <c r="AC56" s="675"/>
      <c r="AD56" s="675"/>
      <c r="AE56" s="675"/>
      <c r="AF56" s="675"/>
      <c r="AG56" s="974">
        <f t="shared" si="6"/>
        <v>4000</v>
      </c>
      <c r="AH56" s="974">
        <f t="shared" si="4"/>
        <v>0</v>
      </c>
    </row>
    <row r="57" spans="1:34" s="554" customFormat="1" ht="15.75" customHeight="1">
      <c r="A57" s="891">
        <v>1</v>
      </c>
      <c r="B57" s="892" t="s">
        <v>43</v>
      </c>
      <c r="C57" s="892" t="s">
        <v>43</v>
      </c>
      <c r="D57" s="892" t="s">
        <v>45</v>
      </c>
      <c r="E57" s="888" t="s">
        <v>608</v>
      </c>
      <c r="F57" s="2">
        <v>54599</v>
      </c>
      <c r="G57" s="294" t="s">
        <v>208</v>
      </c>
      <c r="H57" s="176">
        <v>3000</v>
      </c>
      <c r="I57" s="176"/>
      <c r="J57" s="176"/>
      <c r="K57" s="176"/>
      <c r="L57" s="176"/>
      <c r="M57" s="675"/>
      <c r="N57" s="675"/>
      <c r="O57" s="675"/>
      <c r="P57" s="675"/>
      <c r="Q57" s="675">
        <f t="shared" si="5"/>
        <v>0</v>
      </c>
      <c r="R57" s="675">
        <f t="shared" si="3"/>
        <v>3000</v>
      </c>
      <c r="S57" s="675"/>
      <c r="T57" s="675"/>
      <c r="U57" s="675"/>
      <c r="V57" s="675"/>
      <c r="W57" s="675"/>
      <c r="X57" s="675"/>
      <c r="Y57" s="675"/>
      <c r="Z57" s="675"/>
      <c r="AA57" s="675"/>
      <c r="AB57" s="675"/>
      <c r="AC57" s="675"/>
      <c r="AD57" s="675"/>
      <c r="AE57" s="675"/>
      <c r="AF57" s="675"/>
      <c r="AG57" s="974">
        <f t="shared" si="6"/>
        <v>0</v>
      </c>
      <c r="AH57" s="974">
        <f t="shared" si="4"/>
        <v>3000</v>
      </c>
    </row>
    <row r="58" spans="1:34" ht="15.75" customHeight="1">
      <c r="A58" s="891">
        <v>1</v>
      </c>
      <c r="B58" s="892" t="s">
        <v>43</v>
      </c>
      <c r="C58" s="892" t="s">
        <v>43</v>
      </c>
      <c r="D58" s="892" t="s">
        <v>45</v>
      </c>
      <c r="E58" s="888" t="s">
        <v>608</v>
      </c>
      <c r="F58" s="2">
        <v>55601</v>
      </c>
      <c r="G58" s="294" t="s">
        <v>82</v>
      </c>
      <c r="H58" s="176">
        <v>1921.44</v>
      </c>
      <c r="I58" s="176"/>
      <c r="J58" s="176"/>
      <c r="K58" s="176"/>
      <c r="L58" s="176"/>
      <c r="M58" s="675"/>
      <c r="N58" s="675"/>
      <c r="O58" s="675"/>
      <c r="P58" s="675"/>
      <c r="Q58" s="675">
        <f t="shared" si="5"/>
        <v>0</v>
      </c>
      <c r="R58" s="675">
        <f t="shared" si="3"/>
        <v>1921.44</v>
      </c>
      <c r="S58" s="675"/>
      <c r="T58" s="675"/>
      <c r="U58" s="675"/>
      <c r="V58" s="675"/>
      <c r="W58" s="675"/>
      <c r="X58" s="675"/>
      <c r="Y58" s="675"/>
      <c r="Z58" s="675"/>
      <c r="AA58" s="675"/>
      <c r="AB58" s="675"/>
      <c r="AC58" s="675">
        <v>800</v>
      </c>
      <c r="AD58" s="675"/>
      <c r="AE58" s="675"/>
      <c r="AF58" s="675"/>
      <c r="AG58" s="974">
        <f t="shared" si="6"/>
        <v>800</v>
      </c>
      <c r="AH58" s="974">
        <f t="shared" si="4"/>
        <v>1121.44</v>
      </c>
    </row>
    <row r="59" spans="1:34" s="554" customFormat="1" ht="15.75" customHeight="1">
      <c r="A59" s="891">
        <v>1</v>
      </c>
      <c r="B59" s="892" t="s">
        <v>43</v>
      </c>
      <c r="C59" s="892" t="s">
        <v>43</v>
      </c>
      <c r="D59" s="892" t="s">
        <v>45</v>
      </c>
      <c r="E59" s="888" t="s">
        <v>608</v>
      </c>
      <c r="F59" s="2">
        <v>55602</v>
      </c>
      <c r="G59" s="294" t="s">
        <v>209</v>
      </c>
      <c r="H59" s="176">
        <v>4000</v>
      </c>
      <c r="I59" s="176"/>
      <c r="J59" s="176"/>
      <c r="K59" s="176"/>
      <c r="L59" s="176"/>
      <c r="M59" s="675"/>
      <c r="N59" s="675"/>
      <c r="O59" s="675"/>
      <c r="P59" s="675"/>
      <c r="Q59" s="675">
        <f t="shared" si="5"/>
        <v>0</v>
      </c>
      <c r="R59" s="675">
        <f t="shared" si="3"/>
        <v>4000</v>
      </c>
      <c r="S59" s="675"/>
      <c r="T59" s="675"/>
      <c r="U59" s="675"/>
      <c r="V59" s="675"/>
      <c r="W59" s="675"/>
      <c r="X59" s="675">
        <v>2500</v>
      </c>
      <c r="Y59" s="675"/>
      <c r="Z59" s="675"/>
      <c r="AA59" s="675"/>
      <c r="AB59" s="675"/>
      <c r="AC59" s="675"/>
      <c r="AD59" s="675"/>
      <c r="AE59" s="675"/>
      <c r="AF59" s="675"/>
      <c r="AG59" s="974">
        <f t="shared" si="6"/>
        <v>2500</v>
      </c>
      <c r="AH59" s="974">
        <f t="shared" si="4"/>
        <v>1500</v>
      </c>
    </row>
    <row r="60" spans="1:34" s="554" customFormat="1" ht="15.75" customHeight="1">
      <c r="A60" s="891">
        <v>1</v>
      </c>
      <c r="B60" s="892" t="s">
        <v>43</v>
      </c>
      <c r="C60" s="892" t="s">
        <v>43</v>
      </c>
      <c r="D60" s="892" t="s">
        <v>45</v>
      </c>
      <c r="E60" s="888" t="s">
        <v>608</v>
      </c>
      <c r="F60" s="2">
        <v>55603</v>
      </c>
      <c r="G60" s="294" t="s">
        <v>73</v>
      </c>
      <c r="H60" s="176">
        <v>100</v>
      </c>
      <c r="I60" s="176"/>
      <c r="J60" s="176"/>
      <c r="K60" s="176"/>
      <c r="L60" s="176"/>
      <c r="M60" s="675"/>
      <c r="N60" s="675"/>
      <c r="O60" s="675"/>
      <c r="P60" s="675"/>
      <c r="Q60" s="675">
        <f t="shared" si="5"/>
        <v>0</v>
      </c>
      <c r="R60" s="675">
        <f t="shared" si="3"/>
        <v>100</v>
      </c>
      <c r="S60" s="675"/>
      <c r="T60" s="675"/>
      <c r="U60" s="675"/>
      <c r="V60" s="675"/>
      <c r="W60" s="675"/>
      <c r="X60" s="675"/>
      <c r="Y60" s="675"/>
      <c r="Z60" s="675"/>
      <c r="AA60" s="675"/>
      <c r="AB60" s="675"/>
      <c r="AC60" s="675">
        <v>100</v>
      </c>
      <c r="AD60" s="675"/>
      <c r="AE60" s="675"/>
      <c r="AF60" s="675"/>
      <c r="AG60" s="974">
        <f t="shared" si="6"/>
        <v>100</v>
      </c>
      <c r="AH60" s="974">
        <f t="shared" si="4"/>
        <v>0</v>
      </c>
    </row>
    <row r="61" spans="1:34" s="554" customFormat="1" ht="18.75" customHeight="1">
      <c r="A61" s="891">
        <v>1</v>
      </c>
      <c r="B61" s="892" t="s">
        <v>43</v>
      </c>
      <c r="C61" s="892" t="s">
        <v>43</v>
      </c>
      <c r="D61" s="892" t="s">
        <v>45</v>
      </c>
      <c r="E61" s="888" t="s">
        <v>608</v>
      </c>
      <c r="F61" s="2">
        <v>55703</v>
      </c>
      <c r="G61" s="294" t="s">
        <v>74</v>
      </c>
      <c r="H61" s="176">
        <v>0</v>
      </c>
      <c r="I61" s="176"/>
      <c r="J61" s="176"/>
      <c r="K61" s="176"/>
      <c r="L61" s="176"/>
      <c r="M61" s="675"/>
      <c r="N61" s="675"/>
      <c r="O61" s="675"/>
      <c r="P61" s="675"/>
      <c r="Q61" s="675">
        <f t="shared" si="5"/>
        <v>0</v>
      </c>
      <c r="R61" s="675">
        <f t="shared" si="3"/>
        <v>0</v>
      </c>
      <c r="S61" s="675"/>
      <c r="T61" s="675"/>
      <c r="U61" s="675"/>
      <c r="V61" s="675"/>
      <c r="W61" s="675"/>
      <c r="X61" s="675"/>
      <c r="Y61" s="675"/>
      <c r="Z61" s="675"/>
      <c r="AA61" s="675"/>
      <c r="AB61" s="675"/>
      <c r="AC61" s="675"/>
      <c r="AD61" s="675"/>
      <c r="AE61" s="675"/>
      <c r="AF61" s="675"/>
      <c r="AG61" s="974">
        <f t="shared" si="6"/>
        <v>0</v>
      </c>
      <c r="AH61" s="974">
        <f t="shared" si="4"/>
        <v>0</v>
      </c>
    </row>
    <row r="62" spans="1:34" ht="15.75" customHeight="1">
      <c r="A62" s="891">
        <v>1</v>
      </c>
      <c r="B62" s="892" t="s">
        <v>43</v>
      </c>
      <c r="C62" s="892" t="s">
        <v>43</v>
      </c>
      <c r="D62" s="892" t="s">
        <v>45</v>
      </c>
      <c r="E62" s="888" t="s">
        <v>608</v>
      </c>
      <c r="F62" s="2">
        <v>55799</v>
      </c>
      <c r="G62" s="294" t="s">
        <v>189</v>
      </c>
      <c r="H62" s="176"/>
      <c r="I62" s="176"/>
      <c r="J62" s="176"/>
      <c r="K62" s="176"/>
      <c r="L62" s="176"/>
      <c r="M62" s="675"/>
      <c r="N62" s="675"/>
      <c r="O62" s="675"/>
      <c r="P62" s="675"/>
      <c r="Q62" s="675">
        <f t="shared" si="5"/>
        <v>0</v>
      </c>
      <c r="R62" s="675">
        <f t="shared" ref="R62:R72" si="7">H62-Q62</f>
        <v>0</v>
      </c>
      <c r="S62" s="675"/>
      <c r="T62" s="675"/>
      <c r="U62" s="675"/>
      <c r="V62" s="675"/>
      <c r="W62" s="675"/>
      <c r="X62" s="675"/>
      <c r="Y62" s="675"/>
      <c r="Z62" s="675"/>
      <c r="AA62" s="675"/>
      <c r="AB62" s="675"/>
      <c r="AC62" s="675"/>
      <c r="AD62" s="675"/>
      <c r="AE62" s="675"/>
      <c r="AF62" s="675"/>
      <c r="AG62" s="974">
        <f t="shared" si="6"/>
        <v>0</v>
      </c>
      <c r="AH62" s="974">
        <f t="shared" si="4"/>
        <v>0</v>
      </c>
    </row>
    <row r="63" spans="1:34" s="554" customFormat="1" ht="26.25" customHeight="1">
      <c r="A63" s="891">
        <v>1</v>
      </c>
      <c r="B63" s="892" t="s">
        <v>43</v>
      </c>
      <c r="C63" s="892" t="s">
        <v>43</v>
      </c>
      <c r="D63" s="892" t="s">
        <v>45</v>
      </c>
      <c r="E63" s="888" t="s">
        <v>608</v>
      </c>
      <c r="F63" s="2">
        <v>56201</v>
      </c>
      <c r="G63" s="896" t="s">
        <v>593</v>
      </c>
      <c r="H63" s="176">
        <v>0</v>
      </c>
      <c r="I63" s="176">
        <v>0</v>
      </c>
      <c r="J63" s="176"/>
      <c r="K63" s="176"/>
      <c r="L63" s="176"/>
      <c r="M63" s="675"/>
      <c r="N63" s="675"/>
      <c r="O63" s="675"/>
      <c r="P63" s="675"/>
      <c r="Q63" s="675">
        <f t="shared" si="5"/>
        <v>0</v>
      </c>
      <c r="R63" s="675">
        <f t="shared" si="7"/>
        <v>0</v>
      </c>
      <c r="S63" s="675"/>
      <c r="T63" s="675"/>
      <c r="U63" s="675"/>
      <c r="V63" s="675"/>
      <c r="W63" s="675"/>
      <c r="X63" s="675"/>
      <c r="Y63" s="675"/>
      <c r="Z63" s="675"/>
      <c r="AA63" s="675"/>
      <c r="AB63" s="675"/>
      <c r="AC63" s="675"/>
      <c r="AD63" s="675"/>
      <c r="AE63" s="675"/>
      <c r="AF63" s="675"/>
      <c r="AG63" s="974">
        <f t="shared" si="6"/>
        <v>0</v>
      </c>
      <c r="AH63" s="974">
        <f t="shared" si="4"/>
        <v>0</v>
      </c>
    </row>
    <row r="64" spans="1:34" s="554" customFormat="1" ht="30">
      <c r="A64" s="891">
        <v>1</v>
      </c>
      <c r="B64" s="892" t="s">
        <v>43</v>
      </c>
      <c r="C64" s="892" t="s">
        <v>43</v>
      </c>
      <c r="D64" s="892" t="s">
        <v>45</v>
      </c>
      <c r="E64" s="888" t="s">
        <v>608</v>
      </c>
      <c r="F64" s="2">
        <v>56301</v>
      </c>
      <c r="G64" s="862" t="s">
        <v>554</v>
      </c>
      <c r="H64" s="176">
        <v>0</v>
      </c>
      <c r="I64" s="176"/>
      <c r="J64" s="176"/>
      <c r="K64" s="176"/>
      <c r="L64" s="176"/>
      <c r="M64" s="675"/>
      <c r="N64" s="675"/>
      <c r="O64" s="675"/>
      <c r="P64" s="675"/>
      <c r="Q64" s="675">
        <f t="shared" si="5"/>
        <v>0</v>
      </c>
      <c r="R64" s="675">
        <f t="shared" si="7"/>
        <v>0</v>
      </c>
      <c r="S64" s="675"/>
      <c r="T64" s="675"/>
      <c r="U64" s="675"/>
      <c r="V64" s="675"/>
      <c r="W64" s="675"/>
      <c r="X64" s="675"/>
      <c r="Y64" s="675"/>
      <c r="Z64" s="675"/>
      <c r="AA64" s="675"/>
      <c r="AB64" s="675"/>
      <c r="AC64" s="675"/>
      <c r="AD64" s="675"/>
      <c r="AE64" s="675"/>
      <c r="AF64" s="675"/>
      <c r="AG64" s="974">
        <f t="shared" si="6"/>
        <v>0</v>
      </c>
      <c r="AH64" s="974">
        <f t="shared" si="4"/>
        <v>0</v>
      </c>
    </row>
    <row r="65" spans="1:34" ht="15.75" customHeight="1">
      <c r="A65" s="891">
        <v>1</v>
      </c>
      <c r="B65" s="892" t="s">
        <v>43</v>
      </c>
      <c r="C65" s="892" t="s">
        <v>43</v>
      </c>
      <c r="D65" s="892" t="s">
        <v>45</v>
      </c>
      <c r="E65" s="888" t="s">
        <v>608</v>
      </c>
      <c r="F65" s="2">
        <v>56303</v>
      </c>
      <c r="G65" s="294" t="s">
        <v>210</v>
      </c>
      <c r="H65" s="176"/>
      <c r="I65" s="176"/>
      <c r="J65" s="176"/>
      <c r="K65" s="176"/>
      <c r="L65" s="176"/>
      <c r="M65" s="675"/>
      <c r="N65" s="675"/>
      <c r="O65" s="675"/>
      <c r="P65" s="675"/>
      <c r="Q65" s="675">
        <f t="shared" si="5"/>
        <v>0</v>
      </c>
      <c r="R65" s="675">
        <f t="shared" si="7"/>
        <v>0</v>
      </c>
      <c r="S65" s="675"/>
      <c r="T65" s="675"/>
      <c r="U65" s="675"/>
      <c r="V65" s="675"/>
      <c r="W65" s="675"/>
      <c r="X65" s="675"/>
      <c r="Y65" s="675"/>
      <c r="Z65" s="675"/>
      <c r="AA65" s="675"/>
      <c r="AB65" s="675"/>
      <c r="AC65" s="675"/>
      <c r="AD65" s="675"/>
      <c r="AE65" s="675"/>
      <c r="AF65" s="675"/>
      <c r="AG65" s="974">
        <f t="shared" si="6"/>
        <v>0</v>
      </c>
      <c r="AH65" s="974">
        <f t="shared" si="4"/>
        <v>0</v>
      </c>
    </row>
    <row r="66" spans="1:34" ht="15.75" customHeight="1">
      <c r="A66" s="891">
        <v>1</v>
      </c>
      <c r="B66" s="892" t="s">
        <v>43</v>
      </c>
      <c r="C66" s="892" t="s">
        <v>43</v>
      </c>
      <c r="D66" s="892" t="s">
        <v>45</v>
      </c>
      <c r="E66" s="888" t="s">
        <v>608</v>
      </c>
      <c r="F66" s="2">
        <v>61599</v>
      </c>
      <c r="G66" s="294" t="s">
        <v>613</v>
      </c>
      <c r="H66" s="176"/>
      <c r="I66" s="176"/>
      <c r="J66" s="176"/>
      <c r="K66" s="176"/>
      <c r="L66" s="176"/>
      <c r="M66" s="675"/>
      <c r="N66" s="675"/>
      <c r="O66" s="675"/>
      <c r="P66" s="675"/>
      <c r="Q66" s="675">
        <f t="shared" si="5"/>
        <v>0</v>
      </c>
      <c r="R66" s="675">
        <f t="shared" si="7"/>
        <v>0</v>
      </c>
      <c r="S66" s="675"/>
      <c r="T66" s="675"/>
      <c r="U66" s="675"/>
      <c r="V66" s="675"/>
      <c r="W66" s="675"/>
      <c r="X66" s="675"/>
      <c r="Y66" s="675"/>
      <c r="Z66" s="675"/>
      <c r="AA66" s="675"/>
      <c r="AB66" s="675"/>
      <c r="AC66" s="675"/>
      <c r="AD66" s="675"/>
      <c r="AE66" s="675"/>
      <c r="AF66" s="675"/>
      <c r="AG66" s="974">
        <f t="shared" si="6"/>
        <v>0</v>
      </c>
      <c r="AH66" s="974">
        <f t="shared" si="4"/>
        <v>0</v>
      </c>
    </row>
    <row r="67" spans="1:34" s="554" customFormat="1" ht="15.75" customHeight="1">
      <c r="A67" s="891">
        <v>1</v>
      </c>
      <c r="B67" s="892" t="s">
        <v>43</v>
      </c>
      <c r="C67" s="892" t="s">
        <v>43</v>
      </c>
      <c r="D67" s="892" t="s">
        <v>45</v>
      </c>
      <c r="E67" s="888" t="s">
        <v>608</v>
      </c>
      <c r="F67" s="2">
        <v>61101</v>
      </c>
      <c r="G67" s="897" t="s">
        <v>211</v>
      </c>
      <c r="H67" s="177">
        <v>2288.3000000000002</v>
      </c>
      <c r="I67" s="177"/>
      <c r="J67" s="177"/>
      <c r="K67" s="177"/>
      <c r="L67" s="177"/>
      <c r="M67" s="676"/>
      <c r="N67" s="676"/>
      <c r="O67" s="676"/>
      <c r="P67" s="676"/>
      <c r="Q67" s="675">
        <f t="shared" si="5"/>
        <v>0</v>
      </c>
      <c r="R67" s="675">
        <f>H67-Q67</f>
        <v>2288.3000000000002</v>
      </c>
      <c r="S67" s="675"/>
      <c r="T67" s="675"/>
      <c r="U67" s="675"/>
      <c r="V67" s="675"/>
      <c r="W67" s="675"/>
      <c r="X67" s="675">
        <v>700</v>
      </c>
      <c r="Y67" s="675"/>
      <c r="Z67" s="675"/>
      <c r="AA67" s="675"/>
      <c r="AB67" s="675"/>
      <c r="AC67" s="675"/>
      <c r="AD67" s="675"/>
      <c r="AE67" s="675"/>
      <c r="AF67" s="675"/>
      <c r="AG67" s="974">
        <f t="shared" si="6"/>
        <v>700</v>
      </c>
      <c r="AH67" s="974">
        <f t="shared" si="4"/>
        <v>1588.3000000000002</v>
      </c>
    </row>
    <row r="68" spans="1:34" ht="15.75" customHeight="1">
      <c r="A68" s="891">
        <v>1</v>
      </c>
      <c r="B68" s="892" t="s">
        <v>43</v>
      </c>
      <c r="C68" s="892" t="s">
        <v>43</v>
      </c>
      <c r="D68" s="892" t="s">
        <v>45</v>
      </c>
      <c r="E68" s="888" t="s">
        <v>608</v>
      </c>
      <c r="F68" s="2">
        <v>61102</v>
      </c>
      <c r="G68" s="897" t="s">
        <v>532</v>
      </c>
      <c r="H68" s="177">
        <v>2000</v>
      </c>
      <c r="I68" s="177"/>
      <c r="J68" s="177"/>
      <c r="K68" s="177"/>
      <c r="L68" s="177"/>
      <c r="M68" s="676"/>
      <c r="N68" s="676"/>
      <c r="O68" s="676"/>
      <c r="P68" s="676"/>
      <c r="Q68" s="675">
        <f t="shared" si="5"/>
        <v>0</v>
      </c>
      <c r="R68" s="675">
        <f t="shared" si="7"/>
        <v>2000</v>
      </c>
      <c r="S68" s="675"/>
      <c r="T68" s="675">
        <v>200</v>
      </c>
      <c r="U68" s="675"/>
      <c r="V68" s="675"/>
      <c r="W68" s="675"/>
      <c r="X68" s="675"/>
      <c r="Y68" s="675"/>
      <c r="Z68" s="675"/>
      <c r="AA68" s="675"/>
      <c r="AB68" s="973"/>
      <c r="AC68" s="973"/>
      <c r="AD68" s="973"/>
      <c r="AE68" s="973"/>
      <c r="AF68" s="973"/>
      <c r="AG68" s="974">
        <f t="shared" si="6"/>
        <v>200</v>
      </c>
      <c r="AH68" s="974">
        <f t="shared" si="4"/>
        <v>1800</v>
      </c>
    </row>
    <row r="69" spans="1:34" ht="15.75" customHeight="1">
      <c r="A69" s="891">
        <v>1</v>
      </c>
      <c r="B69" s="892" t="s">
        <v>43</v>
      </c>
      <c r="C69" s="892" t="s">
        <v>43</v>
      </c>
      <c r="D69" s="892" t="s">
        <v>45</v>
      </c>
      <c r="E69" s="888" t="s">
        <v>608</v>
      </c>
      <c r="F69" s="2">
        <v>61104</v>
      </c>
      <c r="G69" s="897" t="s">
        <v>212</v>
      </c>
      <c r="H69" s="177">
        <v>16500</v>
      </c>
      <c r="I69" s="177"/>
      <c r="J69" s="177"/>
      <c r="K69" s="177"/>
      <c r="L69" s="177"/>
      <c r="M69" s="676"/>
      <c r="N69" s="676"/>
      <c r="O69" s="676"/>
      <c r="P69" s="676"/>
      <c r="Q69" s="675">
        <f t="shared" si="5"/>
        <v>0</v>
      </c>
      <c r="R69" s="675">
        <f t="shared" si="7"/>
        <v>16500</v>
      </c>
      <c r="S69" s="675"/>
      <c r="T69" s="675">
        <v>200</v>
      </c>
      <c r="U69" s="675">
        <v>3000</v>
      </c>
      <c r="V69" s="675">
        <v>700</v>
      </c>
      <c r="W69" s="675"/>
      <c r="X69" s="675">
        <v>700</v>
      </c>
      <c r="Y69" s="675">
        <v>700</v>
      </c>
      <c r="Z69" s="675">
        <v>900</v>
      </c>
      <c r="AA69" s="675"/>
      <c r="AB69" s="675">
        <v>0</v>
      </c>
      <c r="AC69" s="675"/>
      <c r="AD69" s="675">
        <v>6605</v>
      </c>
      <c r="AE69" s="675">
        <v>1200</v>
      </c>
      <c r="AF69" s="675">
        <v>2000</v>
      </c>
      <c r="AG69" s="974">
        <f t="shared" si="6"/>
        <v>16005</v>
      </c>
      <c r="AH69" s="974">
        <f t="shared" si="4"/>
        <v>495</v>
      </c>
    </row>
    <row r="70" spans="1:34" ht="15.75" customHeight="1">
      <c r="A70" s="891">
        <v>1</v>
      </c>
      <c r="B70" s="892" t="s">
        <v>43</v>
      </c>
      <c r="C70" s="892" t="s">
        <v>43</v>
      </c>
      <c r="D70" s="892" t="s">
        <v>45</v>
      </c>
      <c r="E70" s="888" t="s">
        <v>608</v>
      </c>
      <c r="F70" s="2">
        <v>61199</v>
      </c>
      <c r="G70" s="898" t="s">
        <v>147</v>
      </c>
      <c r="H70" s="337">
        <v>1500</v>
      </c>
      <c r="I70" s="337"/>
      <c r="J70" s="337"/>
      <c r="K70" s="337"/>
      <c r="L70" s="337"/>
      <c r="M70" s="677"/>
      <c r="N70" s="677"/>
      <c r="O70" s="677"/>
      <c r="P70" s="677"/>
      <c r="Q70" s="675">
        <f t="shared" si="5"/>
        <v>0</v>
      </c>
      <c r="R70" s="675">
        <f t="shared" si="7"/>
        <v>1500</v>
      </c>
      <c r="S70" s="675"/>
      <c r="T70" s="675"/>
      <c r="U70" s="675"/>
      <c r="V70" s="675"/>
      <c r="W70" s="675"/>
      <c r="X70" s="675"/>
      <c r="Y70" s="675"/>
      <c r="Z70" s="675"/>
      <c r="AA70" s="675"/>
      <c r="AB70" s="675"/>
      <c r="AC70" s="675"/>
      <c r="AD70" s="675"/>
      <c r="AE70" s="675"/>
      <c r="AF70" s="675"/>
      <c r="AG70" s="974">
        <f t="shared" si="6"/>
        <v>0</v>
      </c>
      <c r="AH70" s="974">
        <f t="shared" si="4"/>
        <v>1500</v>
      </c>
    </row>
    <row r="71" spans="1:34" ht="30.75" customHeight="1">
      <c r="A71" s="891">
        <v>1</v>
      </c>
      <c r="B71" s="892" t="s">
        <v>43</v>
      </c>
      <c r="C71" s="892" t="s">
        <v>43</v>
      </c>
      <c r="D71" s="892" t="s">
        <v>45</v>
      </c>
      <c r="E71" s="888" t="s">
        <v>608</v>
      </c>
      <c r="F71" s="2">
        <v>61403</v>
      </c>
      <c r="G71" s="294" t="s">
        <v>1002</v>
      </c>
      <c r="H71" s="337">
        <v>11000</v>
      </c>
      <c r="I71" s="337"/>
      <c r="J71" s="337"/>
      <c r="K71" s="337"/>
      <c r="L71" s="337"/>
      <c r="M71" s="677"/>
      <c r="N71" s="677"/>
      <c r="O71" s="677"/>
      <c r="P71" s="677"/>
      <c r="Q71" s="675">
        <f t="shared" si="5"/>
        <v>0</v>
      </c>
      <c r="R71" s="675">
        <f t="shared" si="7"/>
        <v>11000</v>
      </c>
      <c r="S71" s="675"/>
      <c r="T71" s="675"/>
      <c r="U71" s="675"/>
      <c r="V71" s="675"/>
      <c r="W71" s="675"/>
      <c r="X71" s="675"/>
      <c r="Y71" s="675"/>
      <c r="Z71" s="675"/>
      <c r="AA71" s="675"/>
      <c r="AB71" s="675"/>
      <c r="AC71" s="675"/>
      <c r="AD71" s="675">
        <v>10000</v>
      </c>
      <c r="AE71" s="675"/>
      <c r="AF71" s="675"/>
      <c r="AG71" s="974">
        <f t="shared" si="6"/>
        <v>10000</v>
      </c>
      <c r="AH71" s="974">
        <f t="shared" si="4"/>
        <v>1000</v>
      </c>
    </row>
    <row r="72" spans="1:34" ht="30.75" customHeight="1">
      <c r="A72" s="891">
        <v>1</v>
      </c>
      <c r="B72" s="892" t="s">
        <v>43</v>
      </c>
      <c r="C72" s="892" t="s">
        <v>43</v>
      </c>
      <c r="D72" s="892" t="s">
        <v>43</v>
      </c>
      <c r="E72" s="888" t="s">
        <v>608</v>
      </c>
      <c r="F72" s="2">
        <v>61699</v>
      </c>
      <c r="G72" s="899" t="s">
        <v>1004</v>
      </c>
      <c r="H72" s="337">
        <v>1000</v>
      </c>
      <c r="I72" s="337"/>
      <c r="J72" s="337"/>
      <c r="K72" s="337"/>
      <c r="L72" s="337"/>
      <c r="M72" s="677"/>
      <c r="N72" s="677">
        <v>0</v>
      </c>
      <c r="O72" s="677"/>
      <c r="P72" s="677"/>
      <c r="Q72" s="675">
        <f t="shared" si="5"/>
        <v>0</v>
      </c>
      <c r="R72" s="675">
        <f t="shared" si="7"/>
        <v>1000</v>
      </c>
      <c r="S72" s="675"/>
      <c r="T72" s="675"/>
      <c r="U72" s="675"/>
      <c r="V72" s="675"/>
      <c r="W72" s="675"/>
      <c r="X72" s="675"/>
      <c r="Y72" s="675"/>
      <c r="Z72" s="675"/>
      <c r="AA72" s="675"/>
      <c r="AB72" s="675"/>
      <c r="AC72" s="675"/>
      <c r="AD72" s="675"/>
      <c r="AE72" s="675"/>
      <c r="AF72" s="675"/>
      <c r="AG72" s="974">
        <f t="shared" si="6"/>
        <v>0</v>
      </c>
      <c r="AH72" s="974">
        <f t="shared" si="4"/>
        <v>1000</v>
      </c>
    </row>
    <row r="73" spans="1:34" ht="24.75" customHeight="1" thickBot="1">
      <c r="A73" s="891">
        <v>1</v>
      </c>
      <c r="B73" s="892" t="s">
        <v>43</v>
      </c>
      <c r="C73" s="892" t="s">
        <v>43</v>
      </c>
      <c r="D73" s="892" t="s">
        <v>45</v>
      </c>
      <c r="E73" s="888" t="s">
        <v>608</v>
      </c>
      <c r="F73" s="2">
        <v>72101</v>
      </c>
      <c r="G73" s="900" t="s">
        <v>1018</v>
      </c>
      <c r="H73" s="337">
        <v>108281</v>
      </c>
      <c r="I73" s="337">
        <v>18281</v>
      </c>
      <c r="J73" s="337">
        <v>20000</v>
      </c>
      <c r="K73" s="337">
        <v>15000</v>
      </c>
      <c r="L73" s="337">
        <v>20000</v>
      </c>
      <c r="M73" s="677"/>
      <c r="N73" s="677">
        <v>10000</v>
      </c>
      <c r="O73" s="677">
        <v>25000</v>
      </c>
      <c r="P73" s="677"/>
      <c r="Q73" s="675">
        <f t="shared" si="5"/>
        <v>108281</v>
      </c>
      <c r="R73" s="675">
        <f t="shared" ref="R73" si="8">H73-Q73</f>
        <v>0</v>
      </c>
      <c r="S73" s="675"/>
      <c r="T73" s="675"/>
      <c r="U73" s="675"/>
      <c r="V73" s="675"/>
      <c r="W73" s="675"/>
      <c r="X73" s="675"/>
      <c r="Y73" s="675"/>
      <c r="Z73" s="675"/>
      <c r="AA73" s="675"/>
      <c r="AB73" s="675"/>
      <c r="AC73" s="675"/>
      <c r="AD73" s="675"/>
      <c r="AE73" s="675"/>
      <c r="AF73" s="675"/>
      <c r="AG73" s="974">
        <f t="shared" si="6"/>
        <v>0</v>
      </c>
      <c r="AH73" s="974">
        <f>R73-AG73</f>
        <v>0</v>
      </c>
    </row>
    <row r="74" spans="1:34" ht="28.5" customHeight="1" thickBot="1">
      <c r="A74" s="1146"/>
      <c r="B74" s="1147"/>
      <c r="C74" s="1147"/>
      <c r="D74" s="1147"/>
      <c r="E74" s="1147"/>
      <c r="F74" s="1148"/>
      <c r="G74" s="319" t="s">
        <v>609</v>
      </c>
      <c r="H74" s="227">
        <f>SUM(H11:H73)</f>
        <v>637832.57999999996</v>
      </c>
      <c r="I74" s="227">
        <f>SUM(I11:I73)</f>
        <v>22781</v>
      </c>
      <c r="J74" s="227">
        <f t="shared" ref="J74:K74" si="9">SUM(J11:J73)</f>
        <v>26000</v>
      </c>
      <c r="K74" s="227">
        <f t="shared" si="9"/>
        <v>17000</v>
      </c>
      <c r="L74" s="227">
        <f>SUM(L11:L73)</f>
        <v>25000</v>
      </c>
      <c r="M74" s="227"/>
      <c r="N74" s="227">
        <f t="shared" ref="N74:P74" si="10">SUM(N11:N73)</f>
        <v>25000</v>
      </c>
      <c r="O74" s="227">
        <f t="shared" si="10"/>
        <v>28000</v>
      </c>
      <c r="P74" s="227">
        <f t="shared" si="10"/>
        <v>8200</v>
      </c>
      <c r="Q74" s="825">
        <f>SUM(Q11:Q73)</f>
        <v>151981</v>
      </c>
      <c r="R74" s="825">
        <f>SUM(R11:R73)</f>
        <v>153797.22999999998</v>
      </c>
      <c r="S74" s="825">
        <f>SUM(S11:S73)</f>
        <v>2500</v>
      </c>
      <c r="T74" s="825">
        <f t="shared" ref="T74:W74" si="11">SUM(T11:T73)</f>
        <v>400</v>
      </c>
      <c r="U74" s="825">
        <f t="shared" si="11"/>
        <v>4500</v>
      </c>
      <c r="V74" s="825">
        <f t="shared" si="11"/>
        <v>700</v>
      </c>
      <c r="W74" s="825">
        <f t="shared" si="11"/>
        <v>900</v>
      </c>
      <c r="X74" s="825">
        <f>SUM(X11:X73)</f>
        <v>61731.42</v>
      </c>
      <c r="Y74" s="825">
        <f>SUM(Y11:Y73)</f>
        <v>9700</v>
      </c>
      <c r="Z74" s="825">
        <f t="shared" ref="Z74:AA74" si="12">SUM(Z11:Z73)</f>
        <v>1700</v>
      </c>
      <c r="AA74" s="825">
        <f t="shared" si="12"/>
        <v>1350</v>
      </c>
      <c r="AB74" s="825">
        <f>SUM(AB11:AB73)</f>
        <v>8260</v>
      </c>
      <c r="AC74" s="825">
        <f t="shared" ref="AC74:AE74" si="13">SUM(AC11:AC73)</f>
        <v>5652</v>
      </c>
      <c r="AD74" s="825">
        <f t="shared" si="13"/>
        <v>18380</v>
      </c>
      <c r="AE74" s="825">
        <f t="shared" si="13"/>
        <v>1565</v>
      </c>
      <c r="AF74" s="825">
        <f>SUM(AF11:AF73)</f>
        <v>5000</v>
      </c>
      <c r="AG74" s="227">
        <f>SUM(AG11:AG73)</f>
        <v>122338.42</v>
      </c>
      <c r="AH74" s="227">
        <f>SUM(AH11:AH73)</f>
        <v>31458.809999999998</v>
      </c>
    </row>
    <row r="76" spans="1:34">
      <c r="I76" s="4" t="s">
        <v>865</v>
      </c>
      <c r="J76" s="671">
        <f>SUM(H11:H21)</f>
        <v>332054.34999999998</v>
      </c>
    </row>
    <row r="77" spans="1:34">
      <c r="I77" s="4" t="s">
        <v>882</v>
      </c>
      <c r="J77" s="671">
        <f>SUM(I74:O74)</f>
        <v>143781</v>
      </c>
      <c r="R77" s="790">
        <f>+R74+AG74+AH74</f>
        <v>307594.45999999996</v>
      </c>
    </row>
    <row r="78" spans="1:34" ht="20.25">
      <c r="A78" s="1104"/>
      <c r="B78" s="1104"/>
      <c r="C78" s="1104"/>
      <c r="D78" s="1104"/>
      <c r="E78" s="1104"/>
      <c r="F78" s="1104"/>
      <c r="G78" s="1104"/>
      <c r="H78" s="1104"/>
      <c r="I78" s="174" t="s">
        <v>883</v>
      </c>
      <c r="J78" s="174">
        <f>+H74-J76-J77</f>
        <v>161997.22999999998</v>
      </c>
      <c r="K78" s="174">
        <f>J78-(SUM(S74:AF74))</f>
        <v>39658.809999999983</v>
      </c>
      <c r="L78" s="174"/>
      <c r="M78" s="174"/>
      <c r="N78" s="174"/>
      <c r="O78" s="174"/>
      <c r="P78" s="174"/>
      <c r="Q78" s="174"/>
    </row>
    <row r="79" spans="1:34" ht="18">
      <c r="A79" s="1138" t="s">
        <v>327</v>
      </c>
      <c r="B79" s="1138"/>
      <c r="C79" s="1138"/>
      <c r="D79" s="1138"/>
      <c r="E79" s="1138"/>
      <c r="F79" s="1138"/>
      <c r="G79" s="1138"/>
      <c r="H79" s="1138"/>
      <c r="I79" s="185"/>
      <c r="J79" s="185"/>
      <c r="K79" s="185"/>
      <c r="L79" s="185"/>
      <c r="M79" s="185"/>
      <c r="N79" s="185"/>
      <c r="O79" s="185"/>
      <c r="P79" s="185"/>
      <c r="Q79" s="185"/>
    </row>
    <row r="80" spans="1:34" ht="15.75">
      <c r="A80" s="1136" t="s">
        <v>152</v>
      </c>
      <c r="B80" s="1137"/>
      <c r="C80" s="1137"/>
      <c r="D80" s="1137"/>
      <c r="E80" s="1137"/>
      <c r="F80" s="1137"/>
      <c r="G80" s="1137"/>
      <c r="H80" s="1137"/>
      <c r="I80" s="142"/>
      <c r="J80" s="142"/>
      <c r="K80" s="142"/>
      <c r="L80" s="142"/>
      <c r="M80" s="142"/>
      <c r="N80" s="142"/>
      <c r="O80" s="142"/>
      <c r="P80" s="142"/>
      <c r="Q80" s="142"/>
    </row>
    <row r="81" spans="1:17" ht="15.75">
      <c r="A81" s="1136" t="s">
        <v>586</v>
      </c>
      <c r="B81" s="1137"/>
      <c r="C81" s="1137"/>
      <c r="D81" s="1137"/>
      <c r="E81" s="1137"/>
      <c r="F81" s="1137"/>
      <c r="G81" s="1137"/>
      <c r="H81" s="1137"/>
      <c r="I81" s="142"/>
      <c r="J81" s="142"/>
      <c r="K81" s="142"/>
      <c r="L81" s="142"/>
      <c r="M81" s="142"/>
      <c r="N81" s="142"/>
      <c r="O81" s="142"/>
      <c r="P81" s="142"/>
      <c r="Q81" s="142"/>
    </row>
    <row r="82" spans="1:17" ht="15">
      <c r="A82" s="1134" t="s">
        <v>7</v>
      </c>
      <c r="B82" s="1135"/>
      <c r="C82" s="1135"/>
      <c r="D82" s="1135"/>
      <c r="E82" s="1135"/>
      <c r="F82" s="1135"/>
      <c r="G82" s="1135"/>
      <c r="H82" s="1135"/>
      <c r="I82" s="142"/>
      <c r="J82" s="142"/>
      <c r="K82" s="142"/>
      <c r="L82" s="142"/>
      <c r="M82" s="142"/>
      <c r="N82" s="142"/>
      <c r="O82" s="142"/>
      <c r="P82" s="142"/>
      <c r="Q82" s="142"/>
    </row>
    <row r="83" spans="1:17" ht="18">
      <c r="A83" s="1130"/>
      <c r="B83" s="1131"/>
      <c r="C83" s="1131"/>
      <c r="D83" s="1131"/>
      <c r="E83" s="1131"/>
      <c r="F83" s="1131"/>
      <c r="G83" s="1131"/>
      <c r="H83" s="1131"/>
      <c r="I83" s="142"/>
      <c r="J83" s="142"/>
      <c r="K83" s="142"/>
      <c r="L83" s="142"/>
      <c r="M83" s="142"/>
      <c r="N83" s="142"/>
      <c r="O83" s="142"/>
      <c r="P83" s="142"/>
      <c r="Q83" s="142"/>
    </row>
    <row r="84" spans="1:17" ht="15">
      <c r="A84" s="1132" t="s">
        <v>9</v>
      </c>
      <c r="B84" s="1132"/>
      <c r="C84" s="1132"/>
      <c r="D84" s="1132"/>
      <c r="E84" s="1132"/>
      <c r="F84" s="1132"/>
      <c r="G84" s="1132"/>
      <c r="H84" s="1132"/>
      <c r="I84" s="142"/>
      <c r="J84" s="142"/>
      <c r="K84" s="142"/>
      <c r="L84" s="142"/>
      <c r="M84" s="142"/>
      <c r="N84" s="142"/>
      <c r="O84" s="142"/>
      <c r="P84" s="142"/>
      <c r="Q84" s="142"/>
    </row>
    <row r="85" spans="1:17" ht="15.75" thickBot="1">
      <c r="A85" s="1133" t="s">
        <v>588</v>
      </c>
      <c r="B85" s="1133"/>
      <c r="C85" s="1133"/>
      <c r="D85" s="1133"/>
      <c r="E85" s="1133"/>
      <c r="F85" s="1133"/>
      <c r="G85" s="1133"/>
      <c r="H85" s="1133"/>
      <c r="I85" s="142"/>
      <c r="J85" s="142"/>
      <c r="K85" s="142"/>
      <c r="L85" s="142"/>
      <c r="M85" s="142"/>
      <c r="N85" s="142"/>
      <c r="O85" s="142"/>
      <c r="P85" s="142"/>
      <c r="Q85" s="142"/>
    </row>
    <row r="86" spans="1:17" ht="13.5" thickBot="1">
      <c r="A86" s="1142" t="s">
        <v>0</v>
      </c>
      <c r="B86" s="1143"/>
      <c r="C86" s="1143"/>
      <c r="D86" s="1143"/>
      <c r="E86" s="1143"/>
      <c r="F86" s="1143"/>
      <c r="G86" s="1144" t="s">
        <v>128</v>
      </c>
      <c r="H86" s="1123" t="s">
        <v>129</v>
      </c>
      <c r="I86" s="1123"/>
      <c r="J86" s="668"/>
      <c r="K86" s="668"/>
      <c r="L86" s="668"/>
      <c r="M86" s="668"/>
      <c r="N86" s="668"/>
      <c r="O86" s="668"/>
      <c r="P86" s="668"/>
      <c r="Q86" s="1123"/>
    </row>
    <row r="87" spans="1:17" ht="121.5" customHeight="1" thickBot="1">
      <c r="A87" s="223" t="s">
        <v>122</v>
      </c>
      <c r="B87" s="224" t="s">
        <v>123</v>
      </c>
      <c r="C87" s="224" t="s">
        <v>103</v>
      </c>
      <c r="D87" s="224" t="s">
        <v>127</v>
      </c>
      <c r="E87" s="225" t="s">
        <v>125</v>
      </c>
      <c r="F87" s="226" t="s">
        <v>126</v>
      </c>
      <c r="G87" s="1145"/>
      <c r="H87" s="1124"/>
      <c r="I87" s="1124"/>
      <c r="J87" s="669"/>
      <c r="K87" s="669"/>
      <c r="L87" s="669"/>
      <c r="M87" s="669"/>
      <c r="N87" s="669"/>
      <c r="O87" s="669"/>
      <c r="P87" s="669"/>
      <c r="Q87" s="1124"/>
    </row>
    <row r="88" spans="1:17" s="554" customFormat="1" ht="15">
      <c r="A88" s="555">
        <v>1</v>
      </c>
      <c r="B88" s="556" t="s">
        <v>43</v>
      </c>
      <c r="C88" s="556" t="s">
        <v>191</v>
      </c>
      <c r="D88" s="556" t="s">
        <v>45</v>
      </c>
      <c r="E88" s="552" t="s">
        <v>608</v>
      </c>
      <c r="F88" s="557" t="s">
        <v>29</v>
      </c>
      <c r="G88" s="558" t="s">
        <v>30</v>
      </c>
      <c r="H88" s="544">
        <f>'ok-Planillas 2023'!G84</f>
        <v>79425</v>
      </c>
      <c r="I88" s="544"/>
      <c r="J88" s="544"/>
      <c r="K88" s="544"/>
      <c r="L88" s="544"/>
      <c r="M88" s="544"/>
      <c r="N88" s="544"/>
      <c r="O88" s="544"/>
      <c r="P88" s="544"/>
      <c r="Q88" s="544"/>
    </row>
    <row r="89" spans="1:17" ht="15">
      <c r="A89" s="8">
        <v>1</v>
      </c>
      <c r="B89" s="1" t="s">
        <v>43</v>
      </c>
      <c r="C89" s="10" t="s">
        <v>191</v>
      </c>
      <c r="D89" s="1" t="s">
        <v>45</v>
      </c>
      <c r="E89" s="44" t="s">
        <v>608</v>
      </c>
      <c r="F89" s="2">
        <v>51103</v>
      </c>
      <c r="G89" s="6" t="s">
        <v>31</v>
      </c>
      <c r="H89" s="15"/>
      <c r="I89" s="15"/>
      <c r="J89" s="15"/>
      <c r="K89" s="15"/>
      <c r="L89" s="15"/>
      <c r="M89" s="15"/>
      <c r="N89" s="15"/>
      <c r="O89" s="15"/>
      <c r="P89" s="15"/>
      <c r="Q89" s="15"/>
    </row>
    <row r="90" spans="1:17" ht="15">
      <c r="A90" s="8">
        <v>1</v>
      </c>
      <c r="B90" s="1" t="s">
        <v>43</v>
      </c>
      <c r="C90" s="10" t="s">
        <v>191</v>
      </c>
      <c r="D90" s="1" t="s">
        <v>45</v>
      </c>
      <c r="E90" s="44" t="s">
        <v>608</v>
      </c>
      <c r="F90" s="2">
        <v>51105</v>
      </c>
      <c r="G90" s="6" t="s">
        <v>62</v>
      </c>
      <c r="H90" s="13"/>
      <c r="I90" s="13"/>
      <c r="J90" s="13"/>
      <c r="K90" s="13"/>
      <c r="L90" s="13"/>
      <c r="M90" s="13"/>
      <c r="N90" s="13"/>
      <c r="O90" s="13"/>
      <c r="P90" s="13"/>
      <c r="Q90" s="13"/>
    </row>
    <row r="91" spans="1:17" ht="15">
      <c r="A91" s="8">
        <v>1</v>
      </c>
      <c r="B91" s="1" t="s">
        <v>43</v>
      </c>
      <c r="C91" s="10" t="s">
        <v>191</v>
      </c>
      <c r="D91" s="1" t="s">
        <v>45</v>
      </c>
      <c r="E91" s="44" t="s">
        <v>608</v>
      </c>
      <c r="F91" s="2">
        <v>51201</v>
      </c>
      <c r="G91" s="6" t="s">
        <v>30</v>
      </c>
      <c r="H91" s="13"/>
      <c r="I91" s="13"/>
      <c r="J91" s="13"/>
      <c r="K91" s="13"/>
      <c r="L91" s="13"/>
      <c r="M91" s="13"/>
      <c r="N91" s="13"/>
      <c r="O91" s="13"/>
      <c r="P91" s="13"/>
      <c r="Q91" s="13"/>
    </row>
    <row r="92" spans="1:17" ht="15">
      <c r="A92" s="8">
        <v>1</v>
      </c>
      <c r="B92" s="1" t="s">
        <v>43</v>
      </c>
      <c r="C92" s="10" t="s">
        <v>191</v>
      </c>
      <c r="D92" s="1" t="s">
        <v>45</v>
      </c>
      <c r="E92" s="44" t="s">
        <v>608</v>
      </c>
      <c r="F92" s="2">
        <v>51401</v>
      </c>
      <c r="G92" s="6" t="s">
        <v>472</v>
      </c>
      <c r="H92" s="15"/>
      <c r="I92" s="15"/>
      <c r="J92" s="15"/>
      <c r="K92" s="15"/>
      <c r="L92" s="15"/>
      <c r="M92" s="15"/>
      <c r="N92" s="15"/>
      <c r="O92" s="15"/>
      <c r="P92" s="15"/>
      <c r="Q92" s="15"/>
    </row>
    <row r="93" spans="1:17" ht="15">
      <c r="A93" s="8">
        <v>1</v>
      </c>
      <c r="B93" s="1" t="s">
        <v>43</v>
      </c>
      <c r="C93" s="10" t="s">
        <v>191</v>
      </c>
      <c r="D93" s="1" t="s">
        <v>45</v>
      </c>
      <c r="E93" s="44" t="s">
        <v>608</v>
      </c>
      <c r="F93" s="2">
        <v>51501</v>
      </c>
      <c r="G93" s="6" t="s">
        <v>473</v>
      </c>
      <c r="H93" s="15"/>
      <c r="I93" s="15"/>
      <c r="J93" s="15"/>
      <c r="K93" s="15"/>
      <c r="L93" s="15"/>
      <c r="M93" s="15"/>
      <c r="N93" s="15"/>
      <c r="O93" s="15"/>
      <c r="P93" s="15"/>
      <c r="Q93" s="15"/>
    </row>
    <row r="94" spans="1:17" ht="15">
      <c r="A94" s="8"/>
      <c r="B94" s="1"/>
      <c r="C94" s="10" t="s">
        <v>191</v>
      </c>
      <c r="D94" s="1"/>
      <c r="E94" s="44" t="s">
        <v>608</v>
      </c>
      <c r="F94" s="2">
        <v>51107</v>
      </c>
      <c r="G94" s="6" t="s">
        <v>471</v>
      </c>
      <c r="H94" s="15"/>
      <c r="I94" s="15"/>
      <c r="J94" s="15"/>
      <c r="K94" s="15"/>
      <c r="L94" s="15"/>
      <c r="M94" s="15"/>
      <c r="N94" s="15"/>
      <c r="O94" s="15"/>
      <c r="P94" s="15"/>
      <c r="Q94" s="15"/>
    </row>
    <row r="95" spans="1:17" ht="15">
      <c r="A95" s="8">
        <v>1</v>
      </c>
      <c r="B95" s="1" t="s">
        <v>43</v>
      </c>
      <c r="C95" s="10" t="s">
        <v>191</v>
      </c>
      <c r="D95" s="1" t="s">
        <v>45</v>
      </c>
      <c r="E95" s="44" t="s">
        <v>608</v>
      </c>
      <c r="F95" s="2">
        <v>54104</v>
      </c>
      <c r="G95" s="6" t="s">
        <v>133</v>
      </c>
      <c r="H95" s="15"/>
      <c r="I95" s="15"/>
      <c r="J95" s="15"/>
      <c r="K95" s="15"/>
      <c r="L95" s="15"/>
      <c r="M95" s="15"/>
      <c r="N95" s="15"/>
      <c r="O95" s="15"/>
      <c r="P95" s="15"/>
      <c r="Q95" s="15"/>
    </row>
    <row r="96" spans="1:17" ht="15">
      <c r="A96" s="8">
        <v>1</v>
      </c>
      <c r="B96" s="1" t="s">
        <v>43</v>
      </c>
      <c r="C96" s="10" t="s">
        <v>191</v>
      </c>
      <c r="D96" s="1" t="s">
        <v>45</v>
      </c>
      <c r="E96" s="44" t="s">
        <v>608</v>
      </c>
      <c r="F96" s="2">
        <v>54105</v>
      </c>
      <c r="G96" s="6" t="s">
        <v>34</v>
      </c>
      <c r="H96" s="15"/>
      <c r="I96" s="15"/>
      <c r="J96" s="15"/>
      <c r="K96" s="15"/>
      <c r="L96" s="15"/>
      <c r="M96" s="15"/>
      <c r="N96" s="15"/>
      <c r="O96" s="15"/>
      <c r="P96" s="15"/>
      <c r="Q96" s="15"/>
    </row>
    <row r="97" spans="1:17" ht="15">
      <c r="A97" s="8">
        <v>1</v>
      </c>
      <c r="B97" s="1" t="s">
        <v>43</v>
      </c>
      <c r="C97" s="1" t="s">
        <v>191</v>
      </c>
      <c r="D97" s="1" t="s">
        <v>45</v>
      </c>
      <c r="E97" s="44" t="s">
        <v>608</v>
      </c>
      <c r="F97" s="2">
        <v>54114</v>
      </c>
      <c r="G97" s="6" t="s">
        <v>36</v>
      </c>
      <c r="H97" s="15"/>
      <c r="I97" s="15"/>
      <c r="J97" s="15"/>
      <c r="K97" s="15"/>
      <c r="L97" s="15"/>
      <c r="M97" s="15"/>
      <c r="N97" s="15"/>
      <c r="O97" s="15"/>
      <c r="P97" s="15"/>
      <c r="Q97" s="15"/>
    </row>
    <row r="98" spans="1:17" ht="15">
      <c r="A98" s="8">
        <v>1</v>
      </c>
      <c r="B98" s="1" t="s">
        <v>43</v>
      </c>
      <c r="C98" s="1" t="s">
        <v>191</v>
      </c>
      <c r="D98" s="1" t="s">
        <v>45</v>
      </c>
      <c r="E98" s="44" t="s">
        <v>608</v>
      </c>
      <c r="F98" s="2">
        <v>54115</v>
      </c>
      <c r="G98" s="6" t="s">
        <v>67</v>
      </c>
      <c r="H98" s="15"/>
      <c r="I98" s="15"/>
      <c r="J98" s="15"/>
      <c r="K98" s="15"/>
      <c r="L98" s="15"/>
      <c r="M98" s="15"/>
      <c r="N98" s="15"/>
      <c r="O98" s="15"/>
      <c r="P98" s="15"/>
      <c r="Q98" s="15"/>
    </row>
    <row r="99" spans="1:17" ht="15">
      <c r="A99" s="8">
        <v>1</v>
      </c>
      <c r="B99" s="1" t="s">
        <v>43</v>
      </c>
      <c r="C99" s="1" t="s">
        <v>191</v>
      </c>
      <c r="D99" s="1" t="s">
        <v>45</v>
      </c>
      <c r="E99" s="44" t="s">
        <v>608</v>
      </c>
      <c r="F99" s="2">
        <v>54116</v>
      </c>
      <c r="G99" s="6" t="s">
        <v>205</v>
      </c>
      <c r="H99" s="15"/>
      <c r="I99" s="15"/>
      <c r="J99" s="15"/>
      <c r="K99" s="15"/>
      <c r="L99" s="15"/>
      <c r="M99" s="15"/>
      <c r="N99" s="15"/>
      <c r="O99" s="15"/>
      <c r="P99" s="15"/>
      <c r="Q99" s="15"/>
    </row>
    <row r="100" spans="1:17" ht="15">
      <c r="A100" s="8">
        <v>1</v>
      </c>
      <c r="B100" s="1" t="s">
        <v>43</v>
      </c>
      <c r="C100" s="1" t="s">
        <v>191</v>
      </c>
      <c r="D100" s="1" t="s">
        <v>45</v>
      </c>
      <c r="E100" s="44" t="s">
        <v>608</v>
      </c>
      <c r="F100" s="2">
        <v>54118</v>
      </c>
      <c r="G100" s="6" t="s">
        <v>183</v>
      </c>
      <c r="H100" s="15"/>
      <c r="I100" s="15"/>
      <c r="J100" s="15"/>
      <c r="K100" s="15"/>
      <c r="L100" s="15"/>
      <c r="M100" s="15"/>
      <c r="N100" s="15"/>
      <c r="O100" s="15"/>
      <c r="P100" s="15"/>
      <c r="Q100" s="15"/>
    </row>
    <row r="101" spans="1:17" ht="15">
      <c r="A101" s="8">
        <v>1</v>
      </c>
      <c r="B101" s="1" t="s">
        <v>43</v>
      </c>
      <c r="C101" s="1" t="s">
        <v>191</v>
      </c>
      <c r="D101" s="1" t="s">
        <v>45</v>
      </c>
      <c r="E101" s="44" t="s">
        <v>608</v>
      </c>
      <c r="F101" s="2">
        <v>54119</v>
      </c>
      <c r="G101" s="6" t="s">
        <v>78</v>
      </c>
      <c r="H101" s="15"/>
      <c r="I101" s="15"/>
      <c r="J101" s="15"/>
      <c r="K101" s="15"/>
      <c r="L101" s="15"/>
      <c r="M101" s="15"/>
      <c r="N101" s="15"/>
      <c r="O101" s="15"/>
      <c r="P101" s="15"/>
      <c r="Q101" s="15"/>
    </row>
    <row r="102" spans="1:17" ht="15">
      <c r="A102" s="8">
        <v>1</v>
      </c>
      <c r="B102" s="1" t="s">
        <v>43</v>
      </c>
      <c r="C102" s="1" t="s">
        <v>191</v>
      </c>
      <c r="D102" s="1" t="s">
        <v>45</v>
      </c>
      <c r="E102" s="44" t="s">
        <v>608</v>
      </c>
      <c r="F102" s="2">
        <v>54121</v>
      </c>
      <c r="G102" s="6" t="s">
        <v>69</v>
      </c>
      <c r="H102" s="15"/>
      <c r="I102" s="15"/>
      <c r="J102" s="15"/>
      <c r="K102" s="15"/>
      <c r="L102" s="15"/>
      <c r="M102" s="15"/>
      <c r="N102" s="15"/>
      <c r="O102" s="15"/>
      <c r="P102" s="15"/>
      <c r="Q102" s="15"/>
    </row>
    <row r="103" spans="1:17" ht="15">
      <c r="A103" s="8">
        <v>1</v>
      </c>
      <c r="B103" s="1" t="s">
        <v>43</v>
      </c>
      <c r="C103" s="1" t="s">
        <v>191</v>
      </c>
      <c r="D103" s="1" t="s">
        <v>45</v>
      </c>
      <c r="E103" s="44" t="s">
        <v>608</v>
      </c>
      <c r="F103" s="2">
        <v>54199</v>
      </c>
      <c r="G103" s="6" t="s">
        <v>188</v>
      </c>
      <c r="H103" s="15"/>
      <c r="I103" s="15"/>
      <c r="J103" s="15"/>
      <c r="K103" s="15"/>
      <c r="L103" s="15"/>
      <c r="M103" s="15"/>
      <c r="N103" s="15"/>
      <c r="O103" s="15"/>
      <c r="P103" s="15"/>
      <c r="Q103" s="15"/>
    </row>
    <row r="104" spans="1:17" ht="15">
      <c r="A104" s="8">
        <v>1</v>
      </c>
      <c r="B104" s="1" t="s">
        <v>43</v>
      </c>
      <c r="C104" s="1" t="s">
        <v>191</v>
      </c>
      <c r="D104" s="1" t="s">
        <v>45</v>
      </c>
      <c r="E104" s="44" t="s">
        <v>608</v>
      </c>
      <c r="F104" s="2">
        <v>54201</v>
      </c>
      <c r="G104" s="6" t="s">
        <v>37</v>
      </c>
      <c r="H104" s="15"/>
      <c r="I104" s="15"/>
      <c r="J104" s="15"/>
      <c r="K104" s="15"/>
      <c r="L104" s="15"/>
      <c r="M104" s="15"/>
      <c r="N104" s="15"/>
      <c r="O104" s="15"/>
      <c r="P104" s="15"/>
      <c r="Q104" s="15"/>
    </row>
    <row r="105" spans="1:17" ht="15">
      <c r="A105" s="8">
        <v>1</v>
      </c>
      <c r="B105" s="1" t="s">
        <v>43</v>
      </c>
      <c r="C105" s="1" t="s">
        <v>191</v>
      </c>
      <c r="D105" s="1" t="s">
        <v>45</v>
      </c>
      <c r="E105" s="44" t="s">
        <v>608</v>
      </c>
      <c r="F105" s="2">
        <v>54202</v>
      </c>
      <c r="G105" s="6" t="s">
        <v>38</v>
      </c>
      <c r="H105" s="15"/>
      <c r="I105" s="15"/>
      <c r="J105" s="15"/>
      <c r="K105" s="15"/>
      <c r="L105" s="15"/>
      <c r="M105" s="15"/>
      <c r="N105" s="15"/>
      <c r="O105" s="15"/>
      <c r="P105" s="15"/>
      <c r="Q105" s="15"/>
    </row>
    <row r="106" spans="1:17" ht="15">
      <c r="A106" s="8">
        <v>1</v>
      </c>
      <c r="B106" s="1" t="s">
        <v>43</v>
      </c>
      <c r="C106" s="1" t="s">
        <v>191</v>
      </c>
      <c r="D106" s="1" t="s">
        <v>45</v>
      </c>
      <c r="E106" s="44" t="s">
        <v>608</v>
      </c>
      <c r="F106" s="2">
        <v>54203</v>
      </c>
      <c r="G106" s="6" t="s">
        <v>39</v>
      </c>
      <c r="H106" s="15"/>
      <c r="I106" s="15"/>
      <c r="J106" s="15"/>
      <c r="K106" s="15"/>
      <c r="L106" s="15"/>
      <c r="M106" s="15"/>
      <c r="N106" s="15"/>
      <c r="O106" s="15"/>
      <c r="P106" s="15"/>
      <c r="Q106" s="15"/>
    </row>
    <row r="107" spans="1:17" ht="15">
      <c r="A107" s="8">
        <v>1</v>
      </c>
      <c r="B107" s="1" t="s">
        <v>43</v>
      </c>
      <c r="C107" s="1" t="s">
        <v>191</v>
      </c>
      <c r="D107" s="1" t="s">
        <v>45</v>
      </c>
      <c r="E107" s="44" t="s">
        <v>608</v>
      </c>
      <c r="F107" s="2">
        <v>54204</v>
      </c>
      <c r="G107" s="6" t="s">
        <v>206</v>
      </c>
      <c r="H107" s="15"/>
      <c r="I107" s="15"/>
      <c r="J107" s="15"/>
      <c r="K107" s="15"/>
      <c r="L107" s="15"/>
      <c r="M107" s="15"/>
      <c r="N107" s="15"/>
      <c r="O107" s="15"/>
      <c r="P107" s="15"/>
      <c r="Q107" s="15"/>
    </row>
    <row r="108" spans="1:17" ht="15">
      <c r="A108" s="8">
        <v>1</v>
      </c>
      <c r="B108" s="1" t="s">
        <v>43</v>
      </c>
      <c r="C108" s="1" t="s">
        <v>191</v>
      </c>
      <c r="D108" s="1" t="s">
        <v>45</v>
      </c>
      <c r="E108" s="44" t="s">
        <v>608</v>
      </c>
      <c r="F108" s="2">
        <v>54301</v>
      </c>
      <c r="G108" s="6" t="s">
        <v>186</v>
      </c>
      <c r="H108" s="15"/>
      <c r="I108" s="15"/>
      <c r="J108" s="15"/>
      <c r="K108" s="15"/>
      <c r="L108" s="15"/>
      <c r="M108" s="15"/>
      <c r="N108" s="15"/>
      <c r="O108" s="15"/>
      <c r="P108" s="15"/>
      <c r="Q108" s="15"/>
    </row>
    <row r="109" spans="1:17" ht="15">
      <c r="A109" s="8">
        <v>1</v>
      </c>
      <c r="B109" s="1" t="s">
        <v>43</v>
      </c>
      <c r="C109" s="1" t="s">
        <v>191</v>
      </c>
      <c r="D109" s="1" t="s">
        <v>45</v>
      </c>
      <c r="E109" s="44" t="s">
        <v>608</v>
      </c>
      <c r="F109" s="2">
        <v>54302</v>
      </c>
      <c r="G109" s="6" t="s">
        <v>185</v>
      </c>
      <c r="H109" s="15"/>
      <c r="I109" s="15"/>
      <c r="J109" s="15"/>
      <c r="K109" s="15"/>
      <c r="L109" s="15"/>
      <c r="M109" s="15"/>
      <c r="N109" s="15"/>
      <c r="O109" s="15"/>
      <c r="P109" s="15"/>
      <c r="Q109" s="15"/>
    </row>
    <row r="110" spans="1:17" ht="15">
      <c r="A110" s="8">
        <v>1</v>
      </c>
      <c r="B110" s="1" t="s">
        <v>43</v>
      </c>
      <c r="C110" s="1" t="s">
        <v>191</v>
      </c>
      <c r="D110" s="1" t="s">
        <v>45</v>
      </c>
      <c r="E110" s="44" t="s">
        <v>608</v>
      </c>
      <c r="F110" s="2">
        <v>54303</v>
      </c>
      <c r="G110" s="6" t="s">
        <v>184</v>
      </c>
      <c r="H110" s="15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17" ht="15">
      <c r="A111" s="8">
        <v>1</v>
      </c>
      <c r="B111" s="1" t="s">
        <v>43</v>
      </c>
      <c r="C111" s="1" t="s">
        <v>191</v>
      </c>
      <c r="D111" s="1" t="s">
        <v>45</v>
      </c>
      <c r="E111" s="44" t="s">
        <v>608</v>
      </c>
      <c r="F111" s="2">
        <v>54304</v>
      </c>
      <c r="G111" s="6" t="s">
        <v>75</v>
      </c>
      <c r="H111" s="15"/>
      <c r="I111" s="15"/>
      <c r="J111" s="15"/>
      <c r="K111" s="15"/>
      <c r="L111" s="15"/>
      <c r="M111" s="15"/>
      <c r="N111" s="15"/>
      <c r="O111" s="15"/>
      <c r="P111" s="15"/>
      <c r="Q111" s="15"/>
    </row>
    <row r="112" spans="1:17" ht="15">
      <c r="A112" s="8">
        <v>1</v>
      </c>
      <c r="B112" s="1" t="s">
        <v>43</v>
      </c>
      <c r="C112" s="1" t="s">
        <v>191</v>
      </c>
      <c r="D112" s="1" t="s">
        <v>45</v>
      </c>
      <c r="E112" s="44" t="s">
        <v>608</v>
      </c>
      <c r="F112" s="2">
        <v>54305</v>
      </c>
      <c r="G112" s="6" t="s">
        <v>64</v>
      </c>
      <c r="H112" s="15"/>
      <c r="I112" s="15"/>
      <c r="J112" s="15"/>
      <c r="K112" s="15"/>
      <c r="L112" s="15"/>
      <c r="M112" s="15"/>
      <c r="N112" s="15"/>
      <c r="O112" s="15"/>
      <c r="P112" s="15"/>
      <c r="Q112" s="15"/>
    </row>
    <row r="113" spans="1:17" ht="15">
      <c r="A113" s="8">
        <v>1</v>
      </c>
      <c r="B113" s="1" t="s">
        <v>43</v>
      </c>
      <c r="C113" s="1" t="s">
        <v>191</v>
      </c>
      <c r="D113" s="1" t="s">
        <v>45</v>
      </c>
      <c r="E113" s="44" t="s">
        <v>608</v>
      </c>
      <c r="F113" s="2">
        <v>54399</v>
      </c>
      <c r="G113" s="6" t="s">
        <v>317</v>
      </c>
      <c r="H113" s="15"/>
      <c r="I113" s="15"/>
      <c r="J113" s="15"/>
      <c r="K113" s="15"/>
      <c r="L113" s="15"/>
      <c r="M113" s="15"/>
      <c r="N113" s="15"/>
      <c r="O113" s="15"/>
      <c r="P113" s="15"/>
      <c r="Q113" s="15"/>
    </row>
    <row r="114" spans="1:17" ht="15">
      <c r="A114" s="8">
        <v>1</v>
      </c>
      <c r="B114" s="1" t="s">
        <v>43</v>
      </c>
      <c r="C114" s="1" t="s">
        <v>191</v>
      </c>
      <c r="D114" s="1" t="s">
        <v>45</v>
      </c>
      <c r="E114" s="44" t="s">
        <v>608</v>
      </c>
      <c r="F114" s="2">
        <v>54310</v>
      </c>
      <c r="G114" s="6" t="s">
        <v>144</v>
      </c>
      <c r="H114" s="15"/>
      <c r="I114" s="15"/>
      <c r="J114" s="15"/>
      <c r="K114" s="15"/>
      <c r="L114" s="15"/>
      <c r="M114" s="15"/>
      <c r="N114" s="15"/>
      <c r="O114" s="15"/>
      <c r="P114" s="15"/>
      <c r="Q114" s="15"/>
    </row>
    <row r="115" spans="1:17" ht="15">
      <c r="A115" s="8">
        <v>1</v>
      </c>
      <c r="B115" s="1" t="s">
        <v>43</v>
      </c>
      <c r="C115" s="1" t="s">
        <v>191</v>
      </c>
      <c r="D115" s="1" t="s">
        <v>45</v>
      </c>
      <c r="E115" s="44" t="s">
        <v>608</v>
      </c>
      <c r="F115" s="2">
        <v>54313</v>
      </c>
      <c r="G115" s="6" t="s">
        <v>156</v>
      </c>
      <c r="H115" s="15"/>
      <c r="I115" s="15"/>
      <c r="J115" s="15"/>
      <c r="K115" s="15"/>
      <c r="L115" s="15"/>
      <c r="M115" s="15"/>
      <c r="N115" s="15"/>
      <c r="O115" s="15"/>
      <c r="P115" s="15"/>
      <c r="Q115" s="15"/>
    </row>
    <row r="116" spans="1:17" ht="15">
      <c r="A116" s="8">
        <v>1</v>
      </c>
      <c r="B116" s="1" t="s">
        <v>43</v>
      </c>
      <c r="C116" s="1" t="s">
        <v>191</v>
      </c>
      <c r="D116" s="1" t="s">
        <v>45</v>
      </c>
      <c r="E116" s="44" t="s">
        <v>608</v>
      </c>
      <c r="F116" s="2">
        <v>54314</v>
      </c>
      <c r="G116" s="6" t="s">
        <v>70</v>
      </c>
      <c r="H116" s="15"/>
      <c r="I116" s="15"/>
      <c r="J116" s="15"/>
      <c r="K116" s="15"/>
      <c r="L116" s="15"/>
      <c r="M116" s="15"/>
      <c r="N116" s="15"/>
      <c r="O116" s="15"/>
      <c r="P116" s="15"/>
      <c r="Q116" s="15"/>
    </row>
    <row r="117" spans="1:17" ht="15">
      <c r="A117" s="8">
        <v>1</v>
      </c>
      <c r="B117" s="1" t="s">
        <v>43</v>
      </c>
      <c r="C117" s="1" t="s">
        <v>191</v>
      </c>
      <c r="D117" s="1" t="s">
        <v>45</v>
      </c>
      <c r="E117" s="44" t="s">
        <v>608</v>
      </c>
      <c r="F117" s="2">
        <v>54401</v>
      </c>
      <c r="G117" s="6" t="s">
        <v>187</v>
      </c>
      <c r="H117" s="15"/>
      <c r="I117" s="15"/>
      <c r="J117" s="15"/>
      <c r="K117" s="15"/>
      <c r="L117" s="15"/>
      <c r="M117" s="15"/>
      <c r="N117" s="15"/>
      <c r="O117" s="15"/>
      <c r="P117" s="15"/>
      <c r="Q117" s="15"/>
    </row>
    <row r="118" spans="1:17" ht="15">
      <c r="A118" s="8">
        <v>1</v>
      </c>
      <c r="B118" s="1" t="s">
        <v>43</v>
      </c>
      <c r="C118" s="1" t="s">
        <v>191</v>
      </c>
      <c r="D118" s="1" t="s">
        <v>45</v>
      </c>
      <c r="E118" s="44" t="s">
        <v>608</v>
      </c>
      <c r="F118" s="2">
        <v>54403</v>
      </c>
      <c r="G118" s="6" t="s">
        <v>181</v>
      </c>
      <c r="H118" s="15"/>
      <c r="I118" s="15"/>
      <c r="J118" s="15"/>
      <c r="K118" s="15"/>
      <c r="L118" s="15"/>
      <c r="M118" s="15"/>
      <c r="N118" s="15"/>
      <c r="O118" s="15"/>
      <c r="P118" s="15"/>
      <c r="Q118" s="15"/>
    </row>
    <row r="119" spans="1:17" ht="15">
      <c r="A119" s="8">
        <v>1</v>
      </c>
      <c r="B119" s="1" t="s">
        <v>43</v>
      </c>
      <c r="C119" s="1" t="s">
        <v>191</v>
      </c>
      <c r="D119" s="1" t="s">
        <v>45</v>
      </c>
      <c r="E119" s="44" t="s">
        <v>608</v>
      </c>
      <c r="F119" s="2">
        <v>54503</v>
      </c>
      <c r="G119" s="6" t="s">
        <v>66</v>
      </c>
      <c r="H119" s="15"/>
      <c r="I119" s="15"/>
      <c r="J119" s="15"/>
      <c r="K119" s="15"/>
      <c r="L119" s="15"/>
      <c r="M119" s="15"/>
      <c r="N119" s="15"/>
      <c r="O119" s="15"/>
      <c r="P119" s="15"/>
      <c r="Q119" s="15"/>
    </row>
    <row r="120" spans="1:17" ht="15">
      <c r="A120" s="8">
        <v>1</v>
      </c>
      <c r="B120" s="1" t="s">
        <v>43</v>
      </c>
      <c r="C120" s="1" t="s">
        <v>191</v>
      </c>
      <c r="D120" s="1" t="s">
        <v>45</v>
      </c>
      <c r="E120" s="44" t="s">
        <v>608</v>
      </c>
      <c r="F120" s="2">
        <v>54504</v>
      </c>
      <c r="G120" s="6" t="s">
        <v>71</v>
      </c>
      <c r="H120" s="15"/>
      <c r="I120" s="15"/>
      <c r="J120" s="15"/>
      <c r="K120" s="15"/>
      <c r="L120" s="15"/>
      <c r="M120" s="15"/>
      <c r="N120" s="15"/>
      <c r="O120" s="15"/>
      <c r="P120" s="15"/>
      <c r="Q120" s="15"/>
    </row>
    <row r="121" spans="1:17" ht="15">
      <c r="A121" s="8">
        <v>1</v>
      </c>
      <c r="B121" s="1" t="s">
        <v>43</v>
      </c>
      <c r="C121" s="1" t="s">
        <v>191</v>
      </c>
      <c r="D121" s="1" t="s">
        <v>45</v>
      </c>
      <c r="E121" s="44" t="s">
        <v>608</v>
      </c>
      <c r="F121" s="2">
        <v>54507</v>
      </c>
      <c r="G121" s="6" t="s">
        <v>207</v>
      </c>
      <c r="H121" s="15"/>
      <c r="I121" s="15"/>
      <c r="J121" s="15"/>
      <c r="K121" s="15"/>
      <c r="L121" s="15"/>
      <c r="M121" s="15"/>
      <c r="N121" s="15"/>
      <c r="O121" s="15"/>
      <c r="P121" s="15"/>
      <c r="Q121" s="15"/>
    </row>
    <row r="122" spans="1:17" ht="15">
      <c r="A122" s="8">
        <v>1</v>
      </c>
      <c r="B122" s="1" t="s">
        <v>43</v>
      </c>
      <c r="C122" s="1" t="s">
        <v>191</v>
      </c>
      <c r="D122" s="1" t="s">
        <v>45</v>
      </c>
      <c r="E122" s="44" t="s">
        <v>608</v>
      </c>
      <c r="F122" s="2">
        <v>54508</v>
      </c>
      <c r="G122" s="6" t="s">
        <v>159</v>
      </c>
      <c r="H122" s="15"/>
      <c r="I122" s="15"/>
      <c r="J122" s="15"/>
      <c r="K122" s="15"/>
      <c r="L122" s="15"/>
      <c r="M122" s="15"/>
      <c r="N122" s="15"/>
      <c r="O122" s="15"/>
      <c r="P122" s="15"/>
      <c r="Q122" s="15"/>
    </row>
    <row r="123" spans="1:17" ht="15">
      <c r="A123" s="8">
        <v>1</v>
      </c>
      <c r="B123" s="1" t="s">
        <v>43</v>
      </c>
      <c r="C123" s="1" t="s">
        <v>191</v>
      </c>
      <c r="D123" s="1" t="s">
        <v>45</v>
      </c>
      <c r="E123" s="44" t="s">
        <v>608</v>
      </c>
      <c r="F123" s="2">
        <v>55601</v>
      </c>
      <c r="G123" s="6" t="s">
        <v>82</v>
      </c>
      <c r="H123" s="15"/>
      <c r="I123" s="15"/>
      <c r="J123" s="15"/>
      <c r="K123" s="15"/>
      <c r="L123" s="15"/>
      <c r="M123" s="15"/>
      <c r="N123" s="15"/>
      <c r="O123" s="15"/>
      <c r="P123" s="15"/>
      <c r="Q123" s="15"/>
    </row>
    <row r="124" spans="1:17" ht="15">
      <c r="A124" s="8">
        <v>1</v>
      </c>
      <c r="B124" s="1" t="s">
        <v>43</v>
      </c>
      <c r="C124" s="1" t="s">
        <v>191</v>
      </c>
      <c r="D124" s="1" t="s">
        <v>45</v>
      </c>
      <c r="E124" s="44" t="s">
        <v>608</v>
      </c>
      <c r="F124" s="2">
        <v>55602</v>
      </c>
      <c r="G124" s="6" t="s">
        <v>209</v>
      </c>
      <c r="H124" s="15"/>
      <c r="I124" s="15"/>
      <c r="J124" s="15"/>
      <c r="K124" s="15"/>
      <c r="L124" s="15"/>
      <c r="M124" s="15"/>
      <c r="N124" s="15"/>
      <c r="O124" s="15"/>
      <c r="P124" s="15"/>
      <c r="Q124" s="15"/>
    </row>
    <row r="125" spans="1:17" ht="15">
      <c r="A125" s="8">
        <v>1</v>
      </c>
      <c r="B125" s="1" t="s">
        <v>43</v>
      </c>
      <c r="C125" s="1" t="s">
        <v>191</v>
      </c>
      <c r="D125" s="1" t="s">
        <v>45</v>
      </c>
      <c r="E125" s="44" t="s">
        <v>608</v>
      </c>
      <c r="F125" s="2">
        <v>55603</v>
      </c>
      <c r="G125" s="6" t="s">
        <v>73</v>
      </c>
      <c r="H125" s="15"/>
      <c r="I125" s="15"/>
      <c r="J125" s="15"/>
      <c r="K125" s="15"/>
      <c r="L125" s="15"/>
      <c r="M125" s="15"/>
      <c r="N125" s="15"/>
      <c r="O125" s="15"/>
      <c r="P125" s="15"/>
      <c r="Q125" s="15"/>
    </row>
    <row r="126" spans="1:17" ht="15">
      <c r="A126" s="8">
        <v>1</v>
      </c>
      <c r="B126" s="1" t="s">
        <v>43</v>
      </c>
      <c r="C126" s="1" t="s">
        <v>191</v>
      </c>
      <c r="D126" s="1" t="s">
        <v>45</v>
      </c>
      <c r="E126" s="44" t="s">
        <v>608</v>
      </c>
      <c r="F126" s="2">
        <v>55703</v>
      </c>
      <c r="G126" s="6" t="s">
        <v>74</v>
      </c>
      <c r="H126" s="15"/>
      <c r="I126" s="15"/>
      <c r="J126" s="15"/>
      <c r="K126" s="15"/>
      <c r="L126" s="15"/>
      <c r="M126" s="15"/>
      <c r="N126" s="15"/>
      <c r="O126" s="15"/>
      <c r="P126" s="15"/>
      <c r="Q126" s="15"/>
    </row>
    <row r="127" spans="1:17" ht="15">
      <c r="A127" s="8">
        <v>1</v>
      </c>
      <c r="B127" s="1" t="s">
        <v>43</v>
      </c>
      <c r="C127" s="1" t="s">
        <v>191</v>
      </c>
      <c r="D127" s="1" t="s">
        <v>45</v>
      </c>
      <c r="E127" s="44" t="s">
        <v>608</v>
      </c>
      <c r="F127" s="2">
        <v>55799</v>
      </c>
      <c r="G127" s="6" t="s">
        <v>189</v>
      </c>
      <c r="H127" s="15"/>
      <c r="I127" s="15"/>
      <c r="J127" s="15"/>
      <c r="K127" s="15"/>
      <c r="L127" s="15"/>
      <c r="M127" s="15"/>
      <c r="N127" s="15"/>
      <c r="O127" s="15"/>
      <c r="P127" s="15"/>
      <c r="Q127" s="15"/>
    </row>
    <row r="128" spans="1:17" ht="15">
      <c r="A128" s="8">
        <v>1</v>
      </c>
      <c r="B128" s="1" t="s">
        <v>43</v>
      </c>
      <c r="C128" s="1" t="s">
        <v>191</v>
      </c>
      <c r="D128" s="1" t="s">
        <v>45</v>
      </c>
      <c r="E128" s="44" t="s">
        <v>608</v>
      </c>
      <c r="F128" s="2">
        <v>56303</v>
      </c>
      <c r="G128" s="6" t="s">
        <v>210</v>
      </c>
      <c r="H128" s="15"/>
      <c r="I128" s="15"/>
      <c r="J128" s="15"/>
      <c r="K128" s="15"/>
      <c r="L128" s="15"/>
      <c r="M128" s="15"/>
      <c r="N128" s="15"/>
      <c r="O128" s="15"/>
      <c r="P128" s="15"/>
      <c r="Q128" s="15"/>
    </row>
    <row r="129" spans="1:17" ht="15">
      <c r="A129" s="8">
        <v>1</v>
      </c>
      <c r="B129" s="1" t="s">
        <v>43</v>
      </c>
      <c r="C129" s="1" t="s">
        <v>191</v>
      </c>
      <c r="D129" s="1" t="s">
        <v>45</v>
      </c>
      <c r="E129" s="44" t="s">
        <v>608</v>
      </c>
      <c r="F129" s="2">
        <v>56304</v>
      </c>
      <c r="G129" s="6" t="s">
        <v>182</v>
      </c>
      <c r="H129" s="15"/>
      <c r="I129" s="15"/>
      <c r="J129" s="15"/>
      <c r="K129" s="15"/>
      <c r="L129" s="15"/>
      <c r="M129" s="15"/>
      <c r="N129" s="15"/>
      <c r="O129" s="15"/>
      <c r="P129" s="15"/>
      <c r="Q129" s="15"/>
    </row>
    <row r="130" spans="1:17" ht="15">
      <c r="A130" s="8">
        <v>1</v>
      </c>
      <c r="B130" s="1" t="s">
        <v>43</v>
      </c>
      <c r="C130" s="1" t="s">
        <v>191</v>
      </c>
      <c r="D130" s="1" t="s">
        <v>45</v>
      </c>
      <c r="E130" s="44" t="s">
        <v>608</v>
      </c>
      <c r="F130" s="2">
        <v>61101</v>
      </c>
      <c r="G130" s="7" t="s">
        <v>211</v>
      </c>
      <c r="H130" s="17"/>
      <c r="I130" s="17"/>
      <c r="J130" s="17"/>
      <c r="K130" s="17"/>
      <c r="L130" s="17"/>
      <c r="M130" s="17"/>
      <c r="N130" s="17"/>
      <c r="O130" s="17"/>
      <c r="P130" s="17"/>
      <c r="Q130" s="17"/>
    </row>
    <row r="131" spans="1:17" ht="15">
      <c r="A131" s="8">
        <v>1</v>
      </c>
      <c r="B131" s="1" t="s">
        <v>43</v>
      </c>
      <c r="C131" s="1" t="s">
        <v>191</v>
      </c>
      <c r="D131" s="1" t="s">
        <v>45</v>
      </c>
      <c r="E131" s="44" t="s">
        <v>608</v>
      </c>
      <c r="F131" s="2">
        <v>61104</v>
      </c>
      <c r="G131" s="7" t="s">
        <v>212</v>
      </c>
      <c r="H131" s="17"/>
      <c r="I131" s="17"/>
      <c r="J131" s="17"/>
      <c r="K131" s="17"/>
      <c r="L131" s="17"/>
      <c r="M131" s="17"/>
      <c r="N131" s="17"/>
      <c r="O131" s="17"/>
      <c r="P131" s="17"/>
      <c r="Q131" s="17"/>
    </row>
    <row r="132" spans="1:17" ht="15">
      <c r="A132" s="8">
        <v>1</v>
      </c>
      <c r="B132" s="1" t="s">
        <v>43</v>
      </c>
      <c r="C132" s="1" t="s">
        <v>191</v>
      </c>
      <c r="D132" s="1" t="s">
        <v>45</v>
      </c>
      <c r="E132" s="44" t="s">
        <v>608</v>
      </c>
      <c r="F132" s="2">
        <v>72101</v>
      </c>
      <c r="G132" s="7" t="s">
        <v>213</v>
      </c>
      <c r="H132" s="17"/>
      <c r="I132" s="17"/>
      <c r="J132" s="17"/>
      <c r="K132" s="17"/>
      <c r="L132" s="17"/>
      <c r="M132" s="17"/>
      <c r="N132" s="17"/>
      <c r="O132" s="17"/>
      <c r="P132" s="17"/>
      <c r="Q132" s="17"/>
    </row>
    <row r="133" spans="1:17" ht="15.75" thickBot="1">
      <c r="A133" s="18"/>
      <c r="B133" s="16"/>
      <c r="C133" s="1"/>
      <c r="D133" s="16"/>
      <c r="E133" s="45"/>
      <c r="F133" s="3"/>
      <c r="G133" s="7"/>
      <c r="H133" s="17"/>
      <c r="I133" s="17"/>
      <c r="J133" s="17"/>
      <c r="K133" s="17"/>
      <c r="L133" s="17"/>
      <c r="M133" s="17"/>
      <c r="N133" s="17"/>
      <c r="O133" s="17"/>
      <c r="P133" s="17"/>
      <c r="Q133" s="17"/>
    </row>
    <row r="134" spans="1:17" ht="23.25" thickBot="1">
      <c r="A134" s="1139"/>
      <c r="B134" s="1140"/>
      <c r="C134" s="1140"/>
      <c r="D134" s="1140"/>
      <c r="E134" s="1140"/>
      <c r="F134" s="1141"/>
      <c r="G134" s="319" t="s">
        <v>610</v>
      </c>
      <c r="H134" s="227">
        <f>SUM(H88:H133)</f>
        <v>79425</v>
      </c>
      <c r="I134" s="227"/>
      <c r="J134" s="227"/>
      <c r="K134" s="227"/>
      <c r="L134" s="227"/>
      <c r="M134" s="227"/>
      <c r="N134" s="227"/>
      <c r="O134" s="227"/>
      <c r="P134" s="227"/>
      <c r="Q134" s="227"/>
    </row>
    <row r="138" spans="1:17" ht="20.25">
      <c r="A138" s="1104"/>
      <c r="B138" s="1104"/>
      <c r="C138" s="1104"/>
      <c r="D138" s="1104"/>
      <c r="E138" s="1104"/>
      <c r="F138" s="1104"/>
      <c r="G138" s="1104"/>
      <c r="H138" s="1104"/>
      <c r="I138" s="174"/>
      <c r="J138" s="174"/>
      <c r="K138" s="174"/>
      <c r="L138" s="174"/>
      <c r="M138" s="174"/>
      <c r="N138" s="174"/>
      <c r="O138" s="174"/>
      <c r="P138" s="174"/>
      <c r="Q138" s="174"/>
    </row>
    <row r="139" spans="1:17" ht="18">
      <c r="A139" s="1138" t="s">
        <v>327</v>
      </c>
      <c r="B139" s="1138"/>
      <c r="C139" s="1138"/>
      <c r="D139" s="1138"/>
      <c r="E139" s="1138"/>
      <c r="F139" s="1138"/>
      <c r="G139" s="1138"/>
      <c r="H139" s="1138"/>
      <c r="I139" s="185"/>
      <c r="J139" s="185"/>
      <c r="K139" s="185"/>
      <c r="L139" s="185"/>
      <c r="M139" s="185"/>
      <c r="N139" s="185"/>
      <c r="O139" s="185"/>
      <c r="P139" s="185"/>
      <c r="Q139" s="185"/>
    </row>
    <row r="140" spans="1:17" ht="15.75">
      <c r="A140" s="1136" t="s">
        <v>152</v>
      </c>
      <c r="B140" s="1137"/>
      <c r="C140" s="1137"/>
      <c r="D140" s="1137"/>
      <c r="E140" s="1137"/>
      <c r="F140" s="1137"/>
      <c r="G140" s="1137"/>
      <c r="H140" s="1137"/>
      <c r="I140" s="142"/>
      <c r="J140" s="142"/>
      <c r="K140" s="142"/>
      <c r="L140" s="142"/>
      <c r="M140" s="142"/>
      <c r="N140" s="142"/>
      <c r="O140" s="142"/>
      <c r="P140" s="142"/>
      <c r="Q140" s="142"/>
    </row>
    <row r="141" spans="1:17" ht="15.75">
      <c r="A141" s="1136" t="s">
        <v>586</v>
      </c>
      <c r="B141" s="1137"/>
      <c r="C141" s="1137"/>
      <c r="D141" s="1137"/>
      <c r="E141" s="1137"/>
      <c r="F141" s="1137"/>
      <c r="G141" s="1137"/>
      <c r="H141" s="1137"/>
      <c r="I141" s="142"/>
      <c r="J141" s="142"/>
      <c r="K141" s="142"/>
      <c r="L141" s="142"/>
      <c r="M141" s="142"/>
      <c r="N141" s="142"/>
      <c r="O141" s="142"/>
      <c r="P141" s="142"/>
      <c r="Q141" s="142"/>
    </row>
    <row r="142" spans="1:17" ht="15">
      <c r="A142" s="1134" t="s">
        <v>7</v>
      </c>
      <c r="B142" s="1135"/>
      <c r="C142" s="1135"/>
      <c r="D142" s="1135"/>
      <c r="E142" s="1135"/>
      <c r="F142" s="1135"/>
      <c r="G142" s="1135"/>
      <c r="H142" s="1135"/>
      <c r="I142" s="142"/>
      <c r="J142" s="142"/>
      <c r="K142" s="142"/>
      <c r="L142" s="142"/>
      <c r="M142" s="142"/>
      <c r="N142" s="142"/>
      <c r="O142" s="142"/>
      <c r="P142" s="142"/>
      <c r="Q142" s="142"/>
    </row>
    <row r="143" spans="1:17" ht="18">
      <c r="A143" s="1130"/>
      <c r="B143" s="1131"/>
      <c r="C143" s="1131"/>
      <c r="D143" s="1131"/>
      <c r="E143" s="1131"/>
      <c r="F143" s="1131"/>
      <c r="G143" s="1131"/>
      <c r="H143" s="1131"/>
      <c r="I143" s="142"/>
      <c r="J143" s="142"/>
      <c r="K143" s="142"/>
      <c r="L143" s="142"/>
      <c r="M143" s="142"/>
      <c r="N143" s="142"/>
      <c r="O143" s="142"/>
      <c r="P143" s="142"/>
      <c r="Q143" s="142"/>
    </row>
    <row r="144" spans="1:17" ht="15">
      <c r="A144" s="1132" t="s">
        <v>9</v>
      </c>
      <c r="B144" s="1132"/>
      <c r="C144" s="1132"/>
      <c r="D144" s="1132"/>
      <c r="E144" s="1132"/>
      <c r="F144" s="1132"/>
      <c r="G144" s="1132"/>
      <c r="H144" s="1132"/>
      <c r="I144" s="142"/>
      <c r="J144" s="142"/>
      <c r="K144" s="142"/>
      <c r="L144" s="142"/>
      <c r="M144" s="142"/>
      <c r="N144" s="142"/>
      <c r="O144" s="142"/>
      <c r="P144" s="142"/>
      <c r="Q144" s="142"/>
    </row>
    <row r="145" spans="1:18" ht="15.75" thickBot="1">
      <c r="A145" s="1133" t="s">
        <v>589</v>
      </c>
      <c r="B145" s="1133"/>
      <c r="C145" s="1133"/>
      <c r="D145" s="1133"/>
      <c r="E145" s="1133"/>
      <c r="F145" s="1133"/>
      <c r="G145" s="1133"/>
      <c r="H145" s="1133"/>
      <c r="I145" s="142"/>
      <c r="J145" s="142"/>
      <c r="K145" s="142"/>
      <c r="L145" s="142"/>
      <c r="M145" s="142"/>
      <c r="N145" s="142"/>
      <c r="O145" s="142"/>
      <c r="P145" s="142"/>
      <c r="Q145" s="142"/>
    </row>
    <row r="146" spans="1:18" ht="13.5" thickBot="1">
      <c r="A146" s="1142" t="s">
        <v>0</v>
      </c>
      <c r="B146" s="1143"/>
      <c r="C146" s="1143"/>
      <c r="D146" s="1143"/>
      <c r="E146" s="1143"/>
      <c r="F146" s="1143"/>
      <c r="G146" s="1144" t="s">
        <v>128</v>
      </c>
      <c r="H146" s="1123" t="s">
        <v>129</v>
      </c>
      <c r="I146" s="1123"/>
      <c r="J146" s="668"/>
      <c r="K146" s="668"/>
      <c r="L146" s="668"/>
      <c r="M146" s="668"/>
      <c r="N146" s="668"/>
      <c r="O146" s="668"/>
      <c r="P146" s="668"/>
      <c r="Q146" s="1123"/>
    </row>
    <row r="147" spans="1:18" ht="165.75" customHeight="1" thickBot="1">
      <c r="A147" s="223" t="s">
        <v>122</v>
      </c>
      <c r="B147" s="224" t="s">
        <v>123</v>
      </c>
      <c r="C147" s="224" t="s">
        <v>103</v>
      </c>
      <c r="D147" s="224" t="s">
        <v>127</v>
      </c>
      <c r="E147" s="225" t="s">
        <v>125</v>
      </c>
      <c r="F147" s="226" t="s">
        <v>126</v>
      </c>
      <c r="G147" s="1145"/>
      <c r="H147" s="1124"/>
      <c r="I147" s="1124"/>
      <c r="J147" s="669"/>
      <c r="K147" s="669"/>
      <c r="L147" s="669"/>
      <c r="M147" s="669"/>
      <c r="N147" s="669"/>
      <c r="O147" s="669"/>
      <c r="P147" s="669"/>
      <c r="Q147" s="1124"/>
    </row>
    <row r="148" spans="1:18" s="554" customFormat="1" ht="15">
      <c r="A148" s="886">
        <v>1</v>
      </c>
      <c r="B148" s="887" t="s">
        <v>191</v>
      </c>
      <c r="C148" s="887" t="s">
        <v>43</v>
      </c>
      <c r="D148" s="887" t="s">
        <v>45</v>
      </c>
      <c r="E148" s="888" t="s">
        <v>608</v>
      </c>
      <c r="F148" s="889" t="s">
        <v>29</v>
      </c>
      <c r="G148" s="890" t="s">
        <v>30</v>
      </c>
      <c r="H148" s="675">
        <f>'ok-Planillas 2023'!H84</f>
        <v>158850</v>
      </c>
      <c r="I148" s="544"/>
      <c r="J148" s="544"/>
      <c r="K148" s="544"/>
      <c r="L148" s="544"/>
      <c r="M148" s="544"/>
      <c r="N148" s="544"/>
      <c r="O148" s="544"/>
      <c r="P148" s="544"/>
      <c r="Q148" s="544"/>
    </row>
    <row r="149" spans="1:18" ht="15">
      <c r="A149" s="891">
        <v>1</v>
      </c>
      <c r="B149" s="887" t="s">
        <v>191</v>
      </c>
      <c r="C149" s="892" t="s">
        <v>43</v>
      </c>
      <c r="D149" s="892" t="s">
        <v>45</v>
      </c>
      <c r="E149" s="888" t="s">
        <v>608</v>
      </c>
      <c r="F149" s="2">
        <v>51103</v>
      </c>
      <c r="G149" s="294" t="s">
        <v>31</v>
      </c>
      <c r="H149" s="176"/>
      <c r="I149" s="15"/>
      <c r="J149" s="15"/>
      <c r="K149" s="15"/>
      <c r="L149" s="15"/>
      <c r="M149" s="15"/>
      <c r="N149" s="15"/>
      <c r="O149" s="15"/>
      <c r="P149" s="15"/>
      <c r="Q149" s="15"/>
      <c r="R149" s="175"/>
    </row>
    <row r="150" spans="1:18" ht="15">
      <c r="A150" s="891">
        <v>1</v>
      </c>
      <c r="B150" s="887" t="s">
        <v>191</v>
      </c>
      <c r="C150" s="892" t="s">
        <v>43</v>
      </c>
      <c r="D150" s="892" t="s">
        <v>45</v>
      </c>
      <c r="E150" s="888" t="s">
        <v>608</v>
      </c>
      <c r="F150" s="2">
        <v>51107</v>
      </c>
      <c r="G150" s="294" t="s">
        <v>474</v>
      </c>
      <c r="H150" s="893"/>
      <c r="I150" s="13"/>
      <c r="J150" s="13"/>
      <c r="K150" s="13"/>
      <c r="L150" s="13"/>
      <c r="M150" s="13"/>
      <c r="N150" s="13"/>
      <c r="O150" s="13"/>
      <c r="P150" s="13"/>
      <c r="Q150" s="13"/>
    </row>
    <row r="151" spans="1:18" ht="15">
      <c r="A151" s="891">
        <v>1</v>
      </c>
      <c r="B151" s="887" t="s">
        <v>191</v>
      </c>
      <c r="C151" s="892" t="s">
        <v>43</v>
      </c>
      <c r="D151" s="892" t="s">
        <v>45</v>
      </c>
      <c r="E151" s="888" t="s">
        <v>608</v>
      </c>
      <c r="F151" s="2">
        <v>51201</v>
      </c>
      <c r="G151" s="294" t="s">
        <v>30</v>
      </c>
      <c r="H151" s="893"/>
      <c r="I151" s="13"/>
      <c r="J151" s="13"/>
      <c r="K151" s="13"/>
      <c r="L151" s="13"/>
      <c r="M151" s="13"/>
      <c r="N151" s="13"/>
      <c r="O151" s="13"/>
      <c r="P151" s="13"/>
      <c r="Q151" s="13"/>
    </row>
    <row r="152" spans="1:18" ht="15">
      <c r="A152" s="891">
        <v>1</v>
      </c>
      <c r="B152" s="887" t="s">
        <v>191</v>
      </c>
      <c r="C152" s="892" t="s">
        <v>43</v>
      </c>
      <c r="D152" s="892" t="s">
        <v>45</v>
      </c>
      <c r="E152" s="888" t="s">
        <v>608</v>
      </c>
      <c r="F152" s="2">
        <v>51202</v>
      </c>
      <c r="G152" s="294" t="s">
        <v>132</v>
      </c>
      <c r="H152" s="893"/>
      <c r="I152" s="13"/>
      <c r="J152" s="13"/>
      <c r="K152" s="13"/>
      <c r="L152" s="13"/>
      <c r="M152" s="13"/>
      <c r="N152" s="13"/>
      <c r="O152" s="13"/>
      <c r="P152" s="13"/>
      <c r="Q152" s="13"/>
    </row>
    <row r="153" spans="1:18" s="554" customFormat="1" ht="15">
      <c r="A153" s="891">
        <v>1</v>
      </c>
      <c r="B153" s="887" t="s">
        <v>191</v>
      </c>
      <c r="C153" s="892" t="s">
        <v>43</v>
      </c>
      <c r="D153" s="892" t="s">
        <v>45</v>
      </c>
      <c r="E153" s="888" t="s">
        <v>608</v>
      </c>
      <c r="F153" s="2">
        <v>51301</v>
      </c>
      <c r="G153" s="294" t="s">
        <v>612</v>
      </c>
      <c r="H153" s="893">
        <f>'ok-Planillas 2023'!F121</f>
        <v>900</v>
      </c>
      <c r="I153" s="553"/>
      <c r="J153" s="553"/>
      <c r="K153" s="553"/>
      <c r="L153" s="553"/>
      <c r="M153" s="553"/>
      <c r="N153" s="553"/>
      <c r="O153" s="553"/>
      <c r="P153" s="553"/>
      <c r="Q153" s="553"/>
    </row>
    <row r="154" spans="1:18" ht="15">
      <c r="A154" s="8">
        <v>1</v>
      </c>
      <c r="B154" s="10" t="s">
        <v>191</v>
      </c>
      <c r="C154" s="1" t="s">
        <v>43</v>
      </c>
      <c r="D154" s="1" t="s">
        <v>45</v>
      </c>
      <c r="E154" s="44" t="s">
        <v>608</v>
      </c>
      <c r="F154" s="2">
        <v>54101</v>
      </c>
      <c r="G154" s="6" t="s">
        <v>33</v>
      </c>
      <c r="H154" s="15"/>
      <c r="I154" s="15"/>
      <c r="J154" s="15"/>
      <c r="K154" s="15"/>
      <c r="L154" s="15"/>
      <c r="M154" s="15"/>
      <c r="N154" s="15"/>
      <c r="O154" s="15"/>
      <c r="P154" s="15"/>
      <c r="Q154" s="15"/>
    </row>
    <row r="155" spans="1:18" ht="15">
      <c r="A155" s="8">
        <v>1</v>
      </c>
      <c r="B155" s="10" t="s">
        <v>191</v>
      </c>
      <c r="C155" s="1" t="s">
        <v>43</v>
      </c>
      <c r="D155" s="1" t="s">
        <v>45</v>
      </c>
      <c r="E155" s="44" t="s">
        <v>608</v>
      </c>
      <c r="F155" s="2">
        <v>54104</v>
      </c>
      <c r="G155" s="6" t="s">
        <v>133</v>
      </c>
      <c r="H155" s="15"/>
      <c r="I155" s="15"/>
      <c r="J155" s="15"/>
      <c r="K155" s="15"/>
      <c r="L155" s="15"/>
      <c r="M155" s="15"/>
      <c r="N155" s="15"/>
      <c r="O155" s="15"/>
      <c r="P155" s="15"/>
      <c r="Q155" s="15"/>
    </row>
    <row r="156" spans="1:18" ht="15">
      <c r="A156" s="8">
        <v>1</v>
      </c>
      <c r="B156" s="10" t="s">
        <v>191</v>
      </c>
      <c r="C156" s="1" t="s">
        <v>43</v>
      </c>
      <c r="D156" s="1" t="s">
        <v>45</v>
      </c>
      <c r="E156" s="44" t="s">
        <v>608</v>
      </c>
      <c r="F156" s="2">
        <v>54105</v>
      </c>
      <c r="G156" s="6" t="s">
        <v>34</v>
      </c>
      <c r="H156" s="15"/>
      <c r="I156" s="15"/>
      <c r="J156" s="15"/>
      <c r="K156" s="15"/>
      <c r="L156" s="15"/>
      <c r="M156" s="15"/>
      <c r="N156" s="15"/>
      <c r="O156" s="15"/>
      <c r="P156" s="15"/>
      <c r="Q156" s="15"/>
    </row>
    <row r="157" spans="1:18" ht="15">
      <c r="A157" s="8"/>
      <c r="B157" s="10" t="s">
        <v>191</v>
      </c>
      <c r="C157" s="1"/>
      <c r="D157" s="1"/>
      <c r="E157" s="44" t="s">
        <v>608</v>
      </c>
      <c r="F157" s="2">
        <v>54106</v>
      </c>
      <c r="G157" s="6" t="s">
        <v>321</v>
      </c>
      <c r="H157" s="15"/>
      <c r="I157" s="15"/>
      <c r="J157" s="15"/>
      <c r="K157" s="15"/>
      <c r="L157" s="15"/>
      <c r="M157" s="15"/>
      <c r="N157" s="15"/>
      <c r="O157" s="15"/>
      <c r="P157" s="15"/>
      <c r="Q157" s="15"/>
    </row>
    <row r="158" spans="1:18" ht="15">
      <c r="A158" s="8">
        <v>1</v>
      </c>
      <c r="B158" s="10" t="s">
        <v>191</v>
      </c>
      <c r="C158" s="1" t="s">
        <v>43</v>
      </c>
      <c r="D158" s="1" t="s">
        <v>45</v>
      </c>
      <c r="E158" s="44" t="s">
        <v>608</v>
      </c>
      <c r="F158" s="2">
        <v>54109</v>
      </c>
      <c r="G158" s="6" t="s">
        <v>136</v>
      </c>
      <c r="H158" s="15"/>
      <c r="I158" s="15"/>
      <c r="J158" s="15"/>
      <c r="K158" s="15"/>
      <c r="L158" s="15"/>
      <c r="M158" s="15"/>
      <c r="N158" s="15"/>
      <c r="O158" s="15"/>
      <c r="P158" s="15"/>
      <c r="Q158" s="15"/>
    </row>
    <row r="159" spans="1:18" ht="15">
      <c r="A159" s="8">
        <v>1</v>
      </c>
      <c r="B159" s="10" t="s">
        <v>191</v>
      </c>
      <c r="C159" s="1" t="s">
        <v>43</v>
      </c>
      <c r="D159" s="1" t="s">
        <v>45</v>
      </c>
      <c r="E159" s="44" t="s">
        <v>608</v>
      </c>
      <c r="F159" s="2">
        <v>54110</v>
      </c>
      <c r="G159" s="294" t="s">
        <v>35</v>
      </c>
      <c r="H159" s="15"/>
      <c r="I159" s="15"/>
      <c r="J159" s="15"/>
      <c r="K159" s="15"/>
      <c r="L159" s="15"/>
      <c r="M159" s="15"/>
      <c r="N159" s="15"/>
      <c r="O159" s="15"/>
      <c r="P159" s="15"/>
      <c r="Q159" s="15"/>
    </row>
    <row r="160" spans="1:18" ht="15">
      <c r="A160" s="8">
        <v>1</v>
      </c>
      <c r="B160" s="10" t="s">
        <v>191</v>
      </c>
      <c r="C160" s="1" t="s">
        <v>43</v>
      </c>
      <c r="D160" s="1" t="s">
        <v>45</v>
      </c>
      <c r="E160" s="44" t="s">
        <v>608</v>
      </c>
      <c r="F160" s="2">
        <v>54111</v>
      </c>
      <c r="G160" s="6" t="s">
        <v>41</v>
      </c>
      <c r="H160" s="15"/>
      <c r="I160" s="15"/>
      <c r="J160" s="15"/>
      <c r="K160" s="15"/>
      <c r="L160" s="15"/>
      <c r="M160" s="15"/>
      <c r="N160" s="15"/>
      <c r="O160" s="15"/>
      <c r="P160" s="15"/>
      <c r="Q160" s="15"/>
    </row>
    <row r="161" spans="1:17" ht="15">
      <c r="A161" s="8">
        <v>1</v>
      </c>
      <c r="B161" s="10" t="s">
        <v>191</v>
      </c>
      <c r="C161" s="1" t="s">
        <v>43</v>
      </c>
      <c r="D161" s="1" t="s">
        <v>45</v>
      </c>
      <c r="E161" s="44" t="s">
        <v>608</v>
      </c>
      <c r="F161" s="2">
        <v>54112</v>
      </c>
      <c r="G161" s="6" t="s">
        <v>40</v>
      </c>
      <c r="H161" s="15"/>
      <c r="I161" s="15"/>
      <c r="J161" s="15"/>
      <c r="K161" s="15"/>
      <c r="L161" s="15"/>
      <c r="M161" s="15"/>
      <c r="N161" s="15"/>
      <c r="O161" s="15"/>
      <c r="P161" s="15"/>
      <c r="Q161" s="15"/>
    </row>
    <row r="162" spans="1:17" ht="15">
      <c r="A162" s="8">
        <v>1</v>
      </c>
      <c r="B162" s="10" t="s">
        <v>191</v>
      </c>
      <c r="C162" s="1" t="s">
        <v>43</v>
      </c>
      <c r="D162" s="1" t="s">
        <v>45</v>
      </c>
      <c r="E162" s="44" t="s">
        <v>608</v>
      </c>
      <c r="F162" s="2">
        <v>54114</v>
      </c>
      <c r="G162" s="6" t="s">
        <v>36</v>
      </c>
      <c r="H162" s="15"/>
      <c r="I162" s="15"/>
      <c r="J162" s="15"/>
      <c r="K162" s="15"/>
      <c r="L162" s="15"/>
      <c r="M162" s="15"/>
      <c r="N162" s="15"/>
      <c r="O162" s="15"/>
      <c r="P162" s="15"/>
      <c r="Q162" s="15"/>
    </row>
    <row r="163" spans="1:17" ht="15">
      <c r="A163" s="8">
        <v>1</v>
      </c>
      <c r="B163" s="10" t="s">
        <v>191</v>
      </c>
      <c r="C163" s="1" t="s">
        <v>43</v>
      </c>
      <c r="D163" s="1" t="s">
        <v>45</v>
      </c>
      <c r="E163" s="44" t="s">
        <v>608</v>
      </c>
      <c r="F163" s="2">
        <v>54115</v>
      </c>
      <c r="G163" s="6" t="s">
        <v>67</v>
      </c>
      <c r="H163" s="15"/>
      <c r="I163" s="15"/>
      <c r="J163" s="15"/>
      <c r="K163" s="15"/>
      <c r="L163" s="15"/>
      <c r="M163" s="15"/>
      <c r="N163" s="15"/>
      <c r="O163" s="15"/>
      <c r="P163" s="15"/>
      <c r="Q163" s="15"/>
    </row>
    <row r="164" spans="1:17" ht="15">
      <c r="A164" s="8">
        <v>1</v>
      </c>
      <c r="B164" s="10" t="s">
        <v>191</v>
      </c>
      <c r="C164" s="1" t="s">
        <v>43</v>
      </c>
      <c r="D164" s="1" t="s">
        <v>45</v>
      </c>
      <c r="E164" s="44" t="s">
        <v>608</v>
      </c>
      <c r="F164" s="2">
        <v>54118</v>
      </c>
      <c r="G164" s="6" t="s">
        <v>183</v>
      </c>
      <c r="H164" s="15"/>
      <c r="I164" s="15"/>
      <c r="J164" s="15"/>
      <c r="K164" s="15"/>
      <c r="L164" s="15"/>
      <c r="M164" s="15"/>
      <c r="N164" s="15"/>
      <c r="O164" s="15"/>
      <c r="P164" s="15"/>
      <c r="Q164" s="15"/>
    </row>
    <row r="165" spans="1:17" ht="15">
      <c r="A165" s="8">
        <v>1</v>
      </c>
      <c r="B165" s="10" t="s">
        <v>191</v>
      </c>
      <c r="C165" s="1" t="s">
        <v>43</v>
      </c>
      <c r="D165" s="1" t="s">
        <v>45</v>
      </c>
      <c r="E165" s="44" t="s">
        <v>608</v>
      </c>
      <c r="F165" s="2">
        <v>54119</v>
      </c>
      <c r="G165" s="6" t="s">
        <v>78</v>
      </c>
      <c r="H165" s="15"/>
      <c r="I165" s="15"/>
      <c r="J165" s="15"/>
      <c r="K165" s="15"/>
      <c r="L165" s="15"/>
      <c r="M165" s="15"/>
      <c r="N165" s="15"/>
      <c r="O165" s="15"/>
      <c r="P165" s="15"/>
      <c r="Q165" s="15"/>
    </row>
    <row r="166" spans="1:17" ht="15">
      <c r="A166" s="8">
        <v>1</v>
      </c>
      <c r="B166" s="10" t="s">
        <v>191</v>
      </c>
      <c r="C166" s="1" t="s">
        <v>43</v>
      </c>
      <c r="D166" s="1" t="s">
        <v>45</v>
      </c>
      <c r="E166" s="44" t="s">
        <v>608</v>
      </c>
      <c r="F166" s="2">
        <v>54121</v>
      </c>
      <c r="G166" s="6" t="s">
        <v>69</v>
      </c>
      <c r="H166" s="15"/>
      <c r="I166" s="15"/>
      <c r="J166" s="15"/>
      <c r="K166" s="15"/>
      <c r="L166" s="15"/>
      <c r="M166" s="15"/>
      <c r="N166" s="15"/>
      <c r="O166" s="15"/>
      <c r="P166" s="15"/>
      <c r="Q166" s="15"/>
    </row>
    <row r="167" spans="1:17" ht="15">
      <c r="A167" s="8">
        <v>1</v>
      </c>
      <c r="B167" s="10" t="s">
        <v>191</v>
      </c>
      <c r="C167" s="1" t="s">
        <v>43</v>
      </c>
      <c r="D167" s="1" t="s">
        <v>45</v>
      </c>
      <c r="E167" s="44" t="s">
        <v>608</v>
      </c>
      <c r="F167" s="2">
        <v>54199</v>
      </c>
      <c r="G167" s="6" t="s">
        <v>188</v>
      </c>
      <c r="H167" s="15"/>
      <c r="I167" s="15"/>
      <c r="J167" s="15"/>
      <c r="K167" s="15"/>
      <c r="L167" s="15"/>
      <c r="M167" s="15"/>
      <c r="N167" s="15"/>
      <c r="O167" s="15"/>
      <c r="P167" s="15"/>
      <c r="Q167" s="15"/>
    </row>
    <row r="168" spans="1:17" ht="15">
      <c r="A168" s="8">
        <v>1</v>
      </c>
      <c r="B168" s="10" t="s">
        <v>191</v>
      </c>
      <c r="C168" s="1" t="s">
        <v>43</v>
      </c>
      <c r="D168" s="1" t="s">
        <v>45</v>
      </c>
      <c r="E168" s="44" t="s">
        <v>608</v>
      </c>
      <c r="F168" s="2">
        <v>54204</v>
      </c>
      <c r="G168" s="6" t="s">
        <v>206</v>
      </c>
      <c r="H168" s="15"/>
      <c r="I168" s="15"/>
      <c r="J168" s="15"/>
      <c r="K168" s="15"/>
      <c r="L168" s="15"/>
      <c r="M168" s="15"/>
      <c r="N168" s="15"/>
      <c r="O168" s="15"/>
      <c r="P168" s="15"/>
      <c r="Q168" s="15"/>
    </row>
    <row r="169" spans="1:17" ht="15">
      <c r="A169" s="8">
        <v>1</v>
      </c>
      <c r="B169" s="1" t="s">
        <v>191</v>
      </c>
      <c r="C169" s="1" t="s">
        <v>43</v>
      </c>
      <c r="D169" s="1" t="s">
        <v>45</v>
      </c>
      <c r="E169" s="44" t="s">
        <v>608</v>
      </c>
      <c r="F169" s="2">
        <v>54301</v>
      </c>
      <c r="G169" s="6" t="s">
        <v>186</v>
      </c>
      <c r="H169" s="15"/>
      <c r="I169" s="15"/>
      <c r="J169" s="15"/>
      <c r="K169" s="15"/>
      <c r="L169" s="15"/>
      <c r="M169" s="15"/>
      <c r="N169" s="15"/>
      <c r="O169" s="15"/>
      <c r="P169" s="15"/>
      <c r="Q169" s="15"/>
    </row>
    <row r="170" spans="1:17" ht="15">
      <c r="A170" s="8">
        <v>1</v>
      </c>
      <c r="B170" s="1" t="s">
        <v>191</v>
      </c>
      <c r="C170" s="1" t="s">
        <v>43</v>
      </c>
      <c r="D170" s="1" t="s">
        <v>45</v>
      </c>
      <c r="E170" s="44" t="s">
        <v>608</v>
      </c>
      <c r="F170" s="2">
        <v>54302</v>
      </c>
      <c r="G170" s="6" t="s">
        <v>185</v>
      </c>
      <c r="H170" s="15"/>
      <c r="I170" s="15"/>
      <c r="J170" s="15"/>
      <c r="K170" s="15"/>
      <c r="L170" s="15"/>
      <c r="M170" s="15"/>
      <c r="N170" s="15"/>
      <c r="O170" s="15"/>
      <c r="P170" s="15"/>
      <c r="Q170" s="15"/>
    </row>
    <row r="171" spans="1:17" ht="15">
      <c r="A171" s="8">
        <v>1</v>
      </c>
      <c r="B171" s="1" t="s">
        <v>191</v>
      </c>
      <c r="C171" s="1" t="s">
        <v>43</v>
      </c>
      <c r="D171" s="1" t="s">
        <v>45</v>
      </c>
      <c r="E171" s="44" t="s">
        <v>608</v>
      </c>
      <c r="F171" s="2">
        <v>54303</v>
      </c>
      <c r="G171" s="6" t="s">
        <v>184</v>
      </c>
      <c r="H171" s="15"/>
      <c r="I171" s="15"/>
      <c r="J171" s="15"/>
      <c r="K171" s="15"/>
      <c r="L171" s="15"/>
      <c r="M171" s="15"/>
      <c r="N171" s="15"/>
      <c r="O171" s="15"/>
      <c r="P171" s="15"/>
      <c r="Q171" s="15"/>
    </row>
    <row r="172" spans="1:17" ht="15">
      <c r="A172" s="8">
        <v>1</v>
      </c>
      <c r="B172" s="1" t="s">
        <v>191</v>
      </c>
      <c r="C172" s="1" t="s">
        <v>43</v>
      </c>
      <c r="D172" s="1" t="s">
        <v>45</v>
      </c>
      <c r="E172" s="44" t="s">
        <v>608</v>
      </c>
      <c r="F172" s="2">
        <v>54304</v>
      </c>
      <c r="G172" s="6" t="s">
        <v>75</v>
      </c>
      <c r="H172" s="15"/>
      <c r="I172" s="15"/>
      <c r="J172" s="15"/>
      <c r="K172" s="15"/>
      <c r="L172" s="15"/>
      <c r="M172" s="15"/>
      <c r="N172" s="15"/>
      <c r="O172" s="15"/>
      <c r="P172" s="15"/>
      <c r="Q172" s="15"/>
    </row>
    <row r="173" spans="1:17" ht="15">
      <c r="A173" s="8">
        <v>1</v>
      </c>
      <c r="B173" s="1" t="s">
        <v>191</v>
      </c>
      <c r="C173" s="1" t="s">
        <v>43</v>
      </c>
      <c r="D173" s="1" t="s">
        <v>45</v>
      </c>
      <c r="E173" s="44" t="s">
        <v>608</v>
      </c>
      <c r="F173" s="2">
        <v>54305</v>
      </c>
      <c r="G173" s="6" t="s">
        <v>64</v>
      </c>
      <c r="H173" s="15"/>
      <c r="I173" s="15"/>
      <c r="J173" s="15"/>
      <c r="K173" s="15"/>
      <c r="L173" s="15"/>
      <c r="M173" s="15"/>
      <c r="N173" s="15"/>
      <c r="O173" s="15"/>
      <c r="P173" s="15"/>
      <c r="Q173" s="15"/>
    </row>
    <row r="174" spans="1:17" ht="15">
      <c r="A174" s="8">
        <v>1</v>
      </c>
      <c r="B174" s="1" t="s">
        <v>191</v>
      </c>
      <c r="C174" s="1" t="s">
        <v>43</v>
      </c>
      <c r="D174" s="1" t="s">
        <v>45</v>
      </c>
      <c r="E174" s="44" t="s">
        <v>608</v>
      </c>
      <c r="F174" s="2">
        <v>54699</v>
      </c>
      <c r="G174" s="6" t="s">
        <v>662</v>
      </c>
      <c r="H174" s="15"/>
      <c r="I174" s="15"/>
      <c r="J174" s="15"/>
      <c r="K174" s="15"/>
      <c r="L174" s="15"/>
      <c r="M174" s="15"/>
      <c r="N174" s="15"/>
      <c r="O174" s="15"/>
      <c r="P174" s="15"/>
      <c r="Q174" s="15"/>
    </row>
    <row r="175" spans="1:17" ht="15">
      <c r="A175" s="8">
        <v>1</v>
      </c>
      <c r="B175" s="1" t="s">
        <v>191</v>
      </c>
      <c r="C175" s="1" t="s">
        <v>43</v>
      </c>
      <c r="D175" s="1" t="s">
        <v>45</v>
      </c>
      <c r="E175" s="44" t="s">
        <v>608</v>
      </c>
      <c r="F175" s="2">
        <v>54310</v>
      </c>
      <c r="G175" s="6" t="s">
        <v>144</v>
      </c>
      <c r="H175" s="15"/>
      <c r="I175" s="15"/>
      <c r="J175" s="15"/>
      <c r="K175" s="15"/>
      <c r="L175" s="15"/>
      <c r="M175" s="15"/>
      <c r="N175" s="15"/>
      <c r="O175" s="15"/>
      <c r="P175" s="15"/>
      <c r="Q175" s="15"/>
    </row>
    <row r="176" spans="1:17" ht="15">
      <c r="A176" s="8">
        <v>1</v>
      </c>
      <c r="B176" s="1" t="s">
        <v>191</v>
      </c>
      <c r="C176" s="1" t="s">
        <v>43</v>
      </c>
      <c r="D176" s="1" t="s">
        <v>45</v>
      </c>
      <c r="E176" s="44" t="s">
        <v>608</v>
      </c>
      <c r="F176" s="2">
        <v>54313</v>
      </c>
      <c r="G176" s="6" t="s">
        <v>156</v>
      </c>
      <c r="H176" s="15"/>
      <c r="I176" s="15"/>
      <c r="J176" s="15"/>
      <c r="K176" s="15"/>
      <c r="L176" s="15"/>
      <c r="M176" s="15"/>
      <c r="N176" s="15"/>
      <c r="O176" s="15"/>
      <c r="P176" s="15"/>
      <c r="Q176" s="15"/>
    </row>
    <row r="177" spans="1:18" ht="15">
      <c r="A177" s="8">
        <v>1</v>
      </c>
      <c r="B177" s="1" t="s">
        <v>191</v>
      </c>
      <c r="C177" s="1" t="s">
        <v>43</v>
      </c>
      <c r="D177" s="1" t="s">
        <v>45</v>
      </c>
      <c r="E177" s="44" t="s">
        <v>608</v>
      </c>
      <c r="F177" s="2">
        <v>54314</v>
      </c>
      <c r="G177" s="6" t="s">
        <v>70</v>
      </c>
      <c r="H177" s="15"/>
      <c r="I177" s="15"/>
      <c r="J177" s="15"/>
      <c r="K177" s="15"/>
      <c r="L177" s="15"/>
      <c r="M177" s="15"/>
      <c r="N177" s="15"/>
      <c r="O177" s="15"/>
      <c r="P177" s="15"/>
      <c r="Q177" s="15"/>
    </row>
    <row r="178" spans="1:18" ht="15">
      <c r="A178" s="8"/>
      <c r="B178" s="1" t="s">
        <v>191</v>
      </c>
      <c r="C178" s="1"/>
      <c r="D178" s="1"/>
      <c r="E178" s="44" t="s">
        <v>608</v>
      </c>
      <c r="F178" s="2">
        <v>54316</v>
      </c>
      <c r="G178" s="6" t="s">
        <v>499</v>
      </c>
      <c r="H178" s="15"/>
      <c r="I178" s="15"/>
      <c r="J178" s="15"/>
      <c r="K178" s="15"/>
      <c r="L178" s="15"/>
      <c r="M178" s="15"/>
      <c r="N178" s="15"/>
      <c r="O178" s="15"/>
      <c r="P178" s="15"/>
      <c r="Q178" s="15"/>
    </row>
    <row r="179" spans="1:18" ht="15">
      <c r="A179" s="8">
        <v>1</v>
      </c>
      <c r="B179" s="1" t="s">
        <v>191</v>
      </c>
      <c r="C179" s="1" t="s">
        <v>43</v>
      </c>
      <c r="D179" s="1" t="s">
        <v>45</v>
      </c>
      <c r="E179" s="44" t="s">
        <v>608</v>
      </c>
      <c r="F179" s="2">
        <v>54401</v>
      </c>
      <c r="G179" s="6" t="s">
        <v>187</v>
      </c>
      <c r="H179" s="15"/>
      <c r="I179" s="15"/>
      <c r="J179" s="15"/>
      <c r="K179" s="15"/>
      <c r="L179" s="15"/>
      <c r="M179" s="15"/>
      <c r="N179" s="15"/>
      <c r="O179" s="15"/>
      <c r="P179" s="15"/>
      <c r="Q179" s="15"/>
    </row>
    <row r="180" spans="1:18" ht="15">
      <c r="A180" s="8">
        <v>1</v>
      </c>
      <c r="B180" s="1" t="s">
        <v>191</v>
      </c>
      <c r="C180" s="1" t="s">
        <v>43</v>
      </c>
      <c r="D180" s="1" t="s">
        <v>45</v>
      </c>
      <c r="E180" s="44" t="s">
        <v>608</v>
      </c>
      <c r="F180" s="2">
        <v>54403</v>
      </c>
      <c r="G180" s="6" t="s">
        <v>181</v>
      </c>
      <c r="H180" s="15"/>
      <c r="I180" s="15"/>
      <c r="J180" s="15"/>
      <c r="K180" s="15"/>
      <c r="L180" s="15"/>
      <c r="M180" s="15"/>
      <c r="N180" s="15"/>
      <c r="O180" s="15"/>
      <c r="P180" s="15"/>
      <c r="Q180" s="15"/>
    </row>
    <row r="181" spans="1:18" ht="15">
      <c r="A181" s="8">
        <v>1</v>
      </c>
      <c r="B181" s="1" t="s">
        <v>191</v>
      </c>
      <c r="C181" s="1" t="s">
        <v>43</v>
      </c>
      <c r="D181" s="1" t="s">
        <v>45</v>
      </c>
      <c r="E181" s="44" t="s">
        <v>608</v>
      </c>
      <c r="F181" s="2">
        <v>54507</v>
      </c>
      <c r="G181" s="6" t="s">
        <v>207</v>
      </c>
      <c r="H181" s="15"/>
      <c r="I181" s="15"/>
      <c r="J181" s="15"/>
      <c r="K181" s="15"/>
      <c r="L181" s="15"/>
      <c r="M181" s="15"/>
      <c r="N181" s="15"/>
      <c r="O181" s="15"/>
      <c r="P181" s="15"/>
      <c r="Q181" s="15"/>
    </row>
    <row r="182" spans="1:18" ht="15">
      <c r="A182" s="8">
        <v>1</v>
      </c>
      <c r="B182" s="1" t="s">
        <v>191</v>
      </c>
      <c r="C182" s="1" t="s">
        <v>43</v>
      </c>
      <c r="D182" s="1" t="s">
        <v>45</v>
      </c>
      <c r="E182" s="44" t="s">
        <v>608</v>
      </c>
      <c r="F182" s="2">
        <v>55601</v>
      </c>
      <c r="G182" s="6" t="s">
        <v>82</v>
      </c>
      <c r="H182" s="15"/>
      <c r="I182" s="15"/>
      <c r="J182" s="15"/>
      <c r="K182" s="15"/>
      <c r="L182" s="15"/>
      <c r="M182" s="15"/>
      <c r="N182" s="15"/>
      <c r="O182" s="15"/>
      <c r="P182" s="15"/>
      <c r="Q182" s="15"/>
    </row>
    <row r="183" spans="1:18" ht="15">
      <c r="A183" s="8">
        <v>1</v>
      </c>
      <c r="B183" s="1" t="s">
        <v>191</v>
      </c>
      <c r="C183" s="1" t="s">
        <v>43</v>
      </c>
      <c r="D183" s="1" t="s">
        <v>45</v>
      </c>
      <c r="E183" s="44" t="s">
        <v>608</v>
      </c>
      <c r="F183" s="2">
        <v>55602</v>
      </c>
      <c r="G183" s="6" t="s">
        <v>209</v>
      </c>
      <c r="H183" s="15"/>
      <c r="I183" s="15"/>
      <c r="J183" s="15"/>
      <c r="K183" s="15"/>
      <c r="L183" s="15"/>
      <c r="M183" s="15"/>
      <c r="N183" s="15"/>
      <c r="O183" s="15"/>
      <c r="P183" s="15"/>
      <c r="Q183" s="15"/>
    </row>
    <row r="184" spans="1:18" ht="15">
      <c r="A184" s="8">
        <v>1</v>
      </c>
      <c r="B184" s="1" t="s">
        <v>191</v>
      </c>
      <c r="C184" s="1" t="s">
        <v>43</v>
      </c>
      <c r="D184" s="1" t="s">
        <v>45</v>
      </c>
      <c r="E184" s="44" t="s">
        <v>608</v>
      </c>
      <c r="F184" s="2">
        <v>55603</v>
      </c>
      <c r="G184" s="6" t="s">
        <v>73</v>
      </c>
      <c r="H184" s="15"/>
      <c r="I184" s="15"/>
      <c r="J184" s="15"/>
      <c r="K184" s="15"/>
      <c r="L184" s="15"/>
      <c r="M184" s="15"/>
      <c r="N184" s="15"/>
      <c r="O184" s="15"/>
      <c r="P184" s="15"/>
      <c r="Q184" s="15"/>
    </row>
    <row r="185" spans="1:18" ht="15">
      <c r="A185" s="8">
        <v>1</v>
      </c>
      <c r="B185" s="1" t="s">
        <v>191</v>
      </c>
      <c r="C185" s="1" t="s">
        <v>43</v>
      </c>
      <c r="D185" s="1" t="s">
        <v>45</v>
      </c>
      <c r="E185" s="44" t="s">
        <v>608</v>
      </c>
      <c r="F185" s="2">
        <v>55799</v>
      </c>
      <c r="G185" s="6" t="s">
        <v>189</v>
      </c>
      <c r="H185" s="15"/>
      <c r="I185" s="15"/>
      <c r="J185" s="15"/>
      <c r="K185" s="15"/>
      <c r="L185" s="15"/>
      <c r="M185" s="15"/>
      <c r="N185" s="15"/>
      <c r="O185" s="15"/>
      <c r="P185" s="15"/>
      <c r="Q185" s="15"/>
    </row>
    <row r="186" spans="1:18" ht="15">
      <c r="A186" s="8">
        <v>1</v>
      </c>
      <c r="B186" s="1" t="s">
        <v>191</v>
      </c>
      <c r="C186" s="1" t="s">
        <v>43</v>
      </c>
      <c r="D186" s="1" t="s">
        <v>45</v>
      </c>
      <c r="E186" s="44" t="s">
        <v>608</v>
      </c>
      <c r="F186" s="2">
        <v>61101</v>
      </c>
      <c r="G186" s="7" t="s">
        <v>211</v>
      </c>
      <c r="H186" s="17"/>
      <c r="I186" s="17"/>
      <c r="J186" s="17"/>
      <c r="K186" s="17"/>
      <c r="L186" s="17"/>
      <c r="M186" s="17"/>
      <c r="N186" s="17"/>
      <c r="O186" s="17"/>
      <c r="P186" s="17"/>
      <c r="Q186" s="17"/>
    </row>
    <row r="187" spans="1:18" ht="15">
      <c r="A187" s="8">
        <v>1</v>
      </c>
      <c r="B187" s="1" t="s">
        <v>191</v>
      </c>
      <c r="C187" s="1" t="s">
        <v>43</v>
      </c>
      <c r="D187" s="1" t="s">
        <v>45</v>
      </c>
      <c r="E187" s="44" t="s">
        <v>608</v>
      </c>
      <c r="F187" s="2">
        <v>61104</v>
      </c>
      <c r="G187" s="7" t="s">
        <v>212</v>
      </c>
      <c r="H187" s="17"/>
      <c r="I187" s="17"/>
      <c r="J187" s="17"/>
      <c r="K187" s="17"/>
      <c r="L187" s="17"/>
      <c r="M187" s="17"/>
      <c r="N187" s="17"/>
      <c r="O187" s="17"/>
      <c r="P187" s="17"/>
      <c r="Q187" s="17"/>
    </row>
    <row r="188" spans="1:18" ht="15">
      <c r="A188" s="8">
        <v>1</v>
      </c>
      <c r="B188" s="1" t="s">
        <v>191</v>
      </c>
      <c r="C188" s="1" t="s">
        <v>43</v>
      </c>
      <c r="D188" s="1" t="s">
        <v>45</v>
      </c>
      <c r="E188" s="44" t="s">
        <v>608</v>
      </c>
      <c r="F188" s="2">
        <v>72101</v>
      </c>
      <c r="G188" s="7" t="s">
        <v>213</v>
      </c>
      <c r="H188" s="17"/>
      <c r="I188" s="17"/>
      <c r="J188" s="17"/>
      <c r="K188" s="17"/>
      <c r="L188" s="17"/>
      <c r="M188" s="17"/>
      <c r="N188" s="17"/>
      <c r="O188" s="17"/>
      <c r="P188" s="17"/>
      <c r="Q188" s="17"/>
    </row>
    <row r="189" spans="1:18" ht="15.75" thickBot="1">
      <c r="A189" s="18"/>
      <c r="B189" s="16"/>
      <c r="C189" s="16"/>
      <c r="D189" s="16"/>
      <c r="E189" s="45"/>
      <c r="F189" s="3"/>
      <c r="G189" s="7"/>
      <c r="H189" s="17"/>
      <c r="I189" s="17"/>
      <c r="J189" s="17"/>
      <c r="K189" s="17"/>
      <c r="L189" s="17"/>
      <c r="M189" s="17"/>
      <c r="N189" s="17"/>
      <c r="O189" s="17"/>
      <c r="P189" s="17"/>
      <c r="Q189" s="17"/>
    </row>
    <row r="190" spans="1:18" ht="23.25" thickBot="1">
      <c r="A190" s="1139"/>
      <c r="B190" s="1140"/>
      <c r="C190" s="1140"/>
      <c r="D190" s="1140"/>
      <c r="E190" s="1140"/>
      <c r="F190" s="1141"/>
      <c r="G190" s="319" t="s">
        <v>611</v>
      </c>
      <c r="H190" s="227">
        <f>SUM(H148:H189)</f>
        <v>159750</v>
      </c>
      <c r="I190" s="227"/>
      <c r="J190" s="227"/>
      <c r="K190" s="227"/>
      <c r="L190" s="227"/>
      <c r="M190" s="227"/>
      <c r="N190" s="227"/>
      <c r="O190" s="227"/>
      <c r="P190" s="227"/>
      <c r="Q190" s="227"/>
      <c r="R190" s="55"/>
    </row>
    <row r="191" spans="1:18" ht="39.75" thickBot="1">
      <c r="G191" s="320" t="s">
        <v>1172</v>
      </c>
      <c r="H191" s="321">
        <f>H190+H134+H74</f>
        <v>877007.58</v>
      </c>
      <c r="I191" s="321"/>
      <c r="J191" s="321"/>
      <c r="K191" s="321"/>
      <c r="L191" s="321"/>
      <c r="M191" s="321"/>
      <c r="N191" s="321"/>
      <c r="O191" s="321"/>
      <c r="P191" s="321"/>
      <c r="Q191" s="321"/>
    </row>
    <row r="192" spans="1:18">
      <c r="H192" s="363"/>
      <c r="I192" s="363"/>
      <c r="J192" s="363"/>
      <c r="K192" s="363"/>
      <c r="L192" s="363"/>
      <c r="M192" s="363"/>
      <c r="N192" s="363"/>
      <c r="O192" s="363"/>
      <c r="P192" s="363"/>
      <c r="Q192" s="363"/>
    </row>
    <row r="199" spans="7:7">
      <c r="G199" s="4"/>
    </row>
  </sheetData>
  <mergeCells count="69">
    <mergeCell ref="A138:D138"/>
    <mergeCell ref="E138:H138"/>
    <mergeCell ref="A140:H140"/>
    <mergeCell ref="A74:F74"/>
    <mergeCell ref="A78:D78"/>
    <mergeCell ref="E78:H78"/>
    <mergeCell ref="A134:F134"/>
    <mergeCell ref="A86:F86"/>
    <mergeCell ref="G86:G87"/>
    <mergeCell ref="H86:H87"/>
    <mergeCell ref="A80:H80"/>
    <mergeCell ref="A81:H81"/>
    <mergeCell ref="A82:H82"/>
    <mergeCell ref="A83:H83"/>
    <mergeCell ref="A84:H84"/>
    <mergeCell ref="A141:H141"/>
    <mergeCell ref="Y9:Y10"/>
    <mergeCell ref="A190:F190"/>
    <mergeCell ref="A142:H142"/>
    <mergeCell ref="A143:H143"/>
    <mergeCell ref="A144:H144"/>
    <mergeCell ref="A145:H145"/>
    <mergeCell ref="A146:F146"/>
    <mergeCell ref="G146:G147"/>
    <mergeCell ref="H146:H147"/>
    <mergeCell ref="A139:H139"/>
    <mergeCell ref="A85:H85"/>
    <mergeCell ref="H9:H10"/>
    <mergeCell ref="A79:H79"/>
    <mergeCell ref="A9:F9"/>
    <mergeCell ref="G9:G10"/>
    <mergeCell ref="A1:D1"/>
    <mergeCell ref="E1:H1"/>
    <mergeCell ref="A5:H5"/>
    <mergeCell ref="A3:H3"/>
    <mergeCell ref="A4:H4"/>
    <mergeCell ref="A2:H2"/>
    <mergeCell ref="T9:T10"/>
    <mergeCell ref="R9:R10"/>
    <mergeCell ref="S9:S10"/>
    <mergeCell ref="U9:U10"/>
    <mergeCell ref="A6:H6"/>
    <mergeCell ref="A7:H7"/>
    <mergeCell ref="A8:H8"/>
    <mergeCell ref="I9:I10"/>
    <mergeCell ref="O9:O10"/>
    <mergeCell ref="I146:I147"/>
    <mergeCell ref="Q9:Q10"/>
    <mergeCell ref="Q86:Q87"/>
    <mergeCell ref="Q146:Q147"/>
    <mergeCell ref="K9:K10"/>
    <mergeCell ref="J9:J10"/>
    <mergeCell ref="L9:L10"/>
    <mergeCell ref="M9:M10"/>
    <mergeCell ref="N9:N10"/>
    <mergeCell ref="P9:P10"/>
    <mergeCell ref="I86:I87"/>
    <mergeCell ref="AH9:AH10"/>
    <mergeCell ref="AB9:AB10"/>
    <mergeCell ref="AC9:AC10"/>
    <mergeCell ref="AD9:AD10"/>
    <mergeCell ref="AE9:AE10"/>
    <mergeCell ref="AF9:AF10"/>
    <mergeCell ref="Z9:Z10"/>
    <mergeCell ref="AA9:AA10"/>
    <mergeCell ref="V9:V10"/>
    <mergeCell ref="W9:W10"/>
    <mergeCell ref="AG9:AG10"/>
    <mergeCell ref="X9:X10"/>
  </mergeCells>
  <phoneticPr fontId="4" type="noConversion"/>
  <printOptions horizontalCentered="1"/>
  <pageMargins left="0.62992125984251968" right="0.59055118110236227" top="1.1023622047244095" bottom="0.86614173228346458" header="0" footer="0"/>
  <pageSetup paperSize="5" fitToHeight="0" orientation="portrait" r:id="rId1"/>
  <headerFooter scaleWithDoc="0" alignWithMargins="0">
    <oddFooter>&amp;C pagina 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</sheetPr>
  <dimension ref="A1:J85"/>
  <sheetViews>
    <sheetView tabSelected="1" topLeftCell="A73" zoomScale="136" zoomScaleNormal="136" workbookViewId="0">
      <selection activeCell="G79" sqref="G79"/>
    </sheetView>
  </sheetViews>
  <sheetFormatPr baseColWidth="10" defaultColWidth="11.42578125" defaultRowHeight="12.75"/>
  <cols>
    <col min="1" max="1" width="5.5703125" style="30" customWidth="1"/>
    <col min="2" max="2" width="4.42578125" style="30" customWidth="1"/>
    <col min="3" max="4" width="4.5703125" style="30" customWidth="1"/>
    <col min="5" max="5" width="6.140625" style="30" customWidth="1"/>
    <col min="6" max="6" width="8.42578125" style="30" customWidth="1"/>
    <col min="7" max="7" width="42.140625" style="24" customWidth="1"/>
    <col min="8" max="8" width="23.7109375" style="263" customWidth="1"/>
    <col min="9" max="16384" width="11.42578125" style="25"/>
  </cols>
  <sheetData>
    <row r="1" spans="1:8" ht="20.25">
      <c r="A1" s="1104"/>
      <c r="B1" s="1104"/>
      <c r="C1" s="1104"/>
      <c r="D1" s="1104"/>
      <c r="E1" s="1104"/>
      <c r="F1" s="1104"/>
      <c r="G1" s="1104"/>
      <c r="H1" s="1104"/>
    </row>
    <row r="2" spans="1:8" ht="18">
      <c r="A2" s="1138" t="s">
        <v>327</v>
      </c>
      <c r="B2" s="1138"/>
      <c r="C2" s="1138"/>
      <c r="D2" s="1138"/>
      <c r="E2" s="1138"/>
      <c r="F2" s="1138"/>
      <c r="G2" s="1138"/>
      <c r="H2" s="1138"/>
    </row>
    <row r="3" spans="1:8" ht="15.75">
      <c r="A3" s="1009" t="s">
        <v>152</v>
      </c>
      <c r="B3" s="1149"/>
      <c r="C3" s="1149"/>
      <c r="D3" s="1149"/>
      <c r="E3" s="1149"/>
      <c r="F3" s="1149"/>
      <c r="G3" s="1149"/>
      <c r="H3" s="1149"/>
    </row>
    <row r="4" spans="1:8" ht="15.75">
      <c r="A4" s="1009" t="s">
        <v>967</v>
      </c>
      <c r="B4" s="1149"/>
      <c r="C4" s="1149"/>
      <c r="D4" s="1149"/>
      <c r="E4" s="1149"/>
      <c r="F4" s="1149"/>
      <c r="G4" s="1149"/>
      <c r="H4" s="1149"/>
    </row>
    <row r="5" spans="1:8" ht="15">
      <c r="A5" s="1153" t="s">
        <v>7</v>
      </c>
      <c r="B5" s="1154"/>
      <c r="C5" s="1154"/>
      <c r="D5" s="1154"/>
      <c r="E5" s="1154"/>
      <c r="F5" s="1154"/>
      <c r="G5" s="1154"/>
      <c r="H5" s="1154"/>
    </row>
    <row r="6" spans="1:8" ht="15.75">
      <c r="A6" s="1155" t="s">
        <v>9</v>
      </c>
      <c r="B6" s="1155"/>
      <c r="C6" s="1155"/>
      <c r="D6" s="1155"/>
      <c r="E6" s="1155"/>
      <c r="F6" s="1155"/>
      <c r="G6" s="1155"/>
      <c r="H6" s="1155"/>
    </row>
    <row r="7" spans="1:8" ht="16.5" thickBot="1">
      <c r="A7" s="1010" t="s">
        <v>842</v>
      </c>
      <c r="B7" s="1010"/>
      <c r="C7" s="1010"/>
      <c r="D7" s="1010"/>
      <c r="E7" s="1010"/>
      <c r="F7" s="1010"/>
      <c r="G7" s="1010"/>
      <c r="H7" s="1010"/>
    </row>
    <row r="8" spans="1:8" ht="13.5" customHeight="1" thickBot="1">
      <c r="A8" s="1156" t="s">
        <v>0</v>
      </c>
      <c r="B8" s="1157"/>
      <c r="C8" s="1157"/>
      <c r="D8" s="1157"/>
      <c r="E8" s="1157"/>
      <c r="F8" s="1157"/>
      <c r="G8" s="1158" t="s">
        <v>128</v>
      </c>
      <c r="H8" s="1093" t="s">
        <v>667</v>
      </c>
    </row>
    <row r="9" spans="1:8" ht="153" customHeight="1" thickBot="1">
      <c r="A9" s="219" t="s">
        <v>122</v>
      </c>
      <c r="B9" s="220" t="s">
        <v>131</v>
      </c>
      <c r="C9" s="220" t="s">
        <v>103</v>
      </c>
      <c r="D9" s="220" t="s">
        <v>124</v>
      </c>
      <c r="E9" s="221" t="s">
        <v>130</v>
      </c>
      <c r="F9" s="222" t="s">
        <v>88</v>
      </c>
      <c r="G9" s="1159"/>
      <c r="H9" s="1094"/>
    </row>
    <row r="10" spans="1:8" s="551" customFormat="1" ht="15.75" customHeight="1">
      <c r="A10" s="901">
        <v>1</v>
      </c>
      <c r="B10" s="902" t="s">
        <v>793</v>
      </c>
      <c r="C10" s="902" t="s">
        <v>43</v>
      </c>
      <c r="D10" s="902" t="s">
        <v>43</v>
      </c>
      <c r="E10" s="903" t="s">
        <v>843</v>
      </c>
      <c r="F10" s="904">
        <v>54201</v>
      </c>
      <c r="G10" s="905" t="s">
        <v>174</v>
      </c>
      <c r="H10" s="906">
        <f>FAM!F15</f>
        <v>10800</v>
      </c>
    </row>
    <row r="11" spans="1:8" s="551" customFormat="1" ht="15.75" customHeight="1">
      <c r="A11" s="901">
        <v>1</v>
      </c>
      <c r="B11" s="902" t="s">
        <v>793</v>
      </c>
      <c r="C11" s="902" t="s">
        <v>191</v>
      </c>
      <c r="D11" s="902" t="s">
        <v>43</v>
      </c>
      <c r="E11" s="903" t="s">
        <v>843</v>
      </c>
      <c r="F11" s="904">
        <v>54202</v>
      </c>
      <c r="G11" s="905" t="s">
        <v>38</v>
      </c>
      <c r="H11" s="906">
        <f>FAM!F16</f>
        <v>3600</v>
      </c>
    </row>
    <row r="12" spans="1:8" s="551" customFormat="1" ht="15.75" customHeight="1">
      <c r="A12" s="901">
        <v>1</v>
      </c>
      <c r="B12" s="902" t="s">
        <v>793</v>
      </c>
      <c r="C12" s="902" t="s">
        <v>46</v>
      </c>
      <c r="D12" s="902" t="s">
        <v>43</v>
      </c>
      <c r="E12" s="903" t="s">
        <v>843</v>
      </c>
      <c r="F12" s="904">
        <v>54203</v>
      </c>
      <c r="G12" s="905" t="s">
        <v>39</v>
      </c>
      <c r="H12" s="906">
        <f>FAM!F17</f>
        <v>4800</v>
      </c>
    </row>
    <row r="13" spans="1:8" s="551" customFormat="1" ht="15.75" customHeight="1">
      <c r="A13" s="901">
        <v>1</v>
      </c>
      <c r="B13" s="902" t="s">
        <v>793</v>
      </c>
      <c r="C13" s="902" t="s">
        <v>346</v>
      </c>
      <c r="D13" s="902" t="s">
        <v>43</v>
      </c>
      <c r="E13" s="903" t="s">
        <v>843</v>
      </c>
      <c r="F13" s="904">
        <v>54205</v>
      </c>
      <c r="G13" s="907" t="s">
        <v>866</v>
      </c>
      <c r="H13" s="906">
        <f>FAM!F18</f>
        <v>90000</v>
      </c>
    </row>
    <row r="14" spans="1:8" s="551" customFormat="1" ht="15.75" customHeight="1">
      <c r="A14" s="901"/>
      <c r="B14" s="902"/>
      <c r="C14" s="902"/>
      <c r="D14" s="902"/>
      <c r="E14" s="903"/>
      <c r="F14" s="908"/>
      <c r="G14" s="909"/>
      <c r="H14" s="910">
        <f>SUM(H10:H13)</f>
        <v>109200</v>
      </c>
    </row>
    <row r="15" spans="1:8" s="551" customFormat="1" ht="15.75" customHeight="1">
      <c r="A15" s="901"/>
      <c r="B15" s="1164" t="s">
        <v>1007</v>
      </c>
      <c r="C15" s="1165"/>
      <c r="D15" s="1165"/>
      <c r="E15" s="1165"/>
      <c r="F15" s="1165"/>
      <c r="G15" s="1165"/>
      <c r="H15" s="1165"/>
    </row>
    <row r="16" spans="1:8" s="551" customFormat="1" ht="15.75" customHeight="1">
      <c r="A16" s="901">
        <v>1</v>
      </c>
      <c r="B16" s="902" t="s">
        <v>793</v>
      </c>
      <c r="C16" s="902" t="s">
        <v>844</v>
      </c>
      <c r="D16" s="902" t="s">
        <v>43</v>
      </c>
      <c r="E16" s="903" t="s">
        <v>843</v>
      </c>
      <c r="F16" s="908">
        <v>54399</v>
      </c>
      <c r="G16" s="909" t="s">
        <v>662</v>
      </c>
      <c r="H16" s="911">
        <f>+FAM!J7</f>
        <v>79893.600000000006</v>
      </c>
    </row>
    <row r="17" spans="1:10" s="551" customFormat="1" ht="15.75" customHeight="1">
      <c r="A17" s="901">
        <v>1</v>
      </c>
      <c r="B17" s="902" t="s">
        <v>793</v>
      </c>
      <c r="C17" s="902" t="s">
        <v>844</v>
      </c>
      <c r="D17" s="902" t="s">
        <v>43</v>
      </c>
      <c r="E17" s="903" t="s">
        <v>843</v>
      </c>
      <c r="F17" s="912">
        <v>54106</v>
      </c>
      <c r="G17" s="913" t="s">
        <v>1028</v>
      </c>
      <c r="H17" s="911">
        <f>+FAM!J8</f>
        <v>2645</v>
      </c>
    </row>
    <row r="18" spans="1:10" s="551" customFormat="1" ht="15.75" customHeight="1">
      <c r="A18" s="901">
        <v>1</v>
      </c>
      <c r="B18" s="902" t="s">
        <v>793</v>
      </c>
      <c r="C18" s="902" t="s">
        <v>844</v>
      </c>
      <c r="D18" s="902" t="s">
        <v>43</v>
      </c>
      <c r="E18" s="903" t="s">
        <v>843</v>
      </c>
      <c r="F18" s="912">
        <v>54107</v>
      </c>
      <c r="G18" s="913" t="s">
        <v>1029</v>
      </c>
      <c r="H18" s="911">
        <f>+FAM!J9</f>
        <v>180</v>
      </c>
    </row>
    <row r="19" spans="1:10" s="551" customFormat="1" ht="15.75" customHeight="1">
      <c r="A19" s="901">
        <v>1</v>
      </c>
      <c r="B19" s="902" t="s">
        <v>793</v>
      </c>
      <c r="C19" s="902" t="s">
        <v>844</v>
      </c>
      <c r="D19" s="902" t="s">
        <v>43</v>
      </c>
      <c r="E19" s="903" t="s">
        <v>843</v>
      </c>
      <c r="F19" s="912">
        <v>54109</v>
      </c>
      <c r="G19" s="913" t="s">
        <v>1030</v>
      </c>
      <c r="H19" s="911">
        <f>+FAM!J10</f>
        <v>3600</v>
      </c>
    </row>
    <row r="20" spans="1:10" s="551" customFormat="1" ht="15.75" customHeight="1">
      <c r="A20" s="901">
        <v>1</v>
      </c>
      <c r="B20" s="902" t="s">
        <v>793</v>
      </c>
      <c r="C20" s="902" t="s">
        <v>844</v>
      </c>
      <c r="D20" s="902" t="s">
        <v>43</v>
      </c>
      <c r="E20" s="903" t="s">
        <v>843</v>
      </c>
      <c r="F20" s="912">
        <v>54110</v>
      </c>
      <c r="G20" s="913" t="s">
        <v>1032</v>
      </c>
      <c r="H20" s="911">
        <f>+FAM!J11</f>
        <v>24022.44</v>
      </c>
    </row>
    <row r="21" spans="1:10" s="551" customFormat="1" ht="15.75" customHeight="1">
      <c r="A21" s="901">
        <v>1</v>
      </c>
      <c r="B21" s="902" t="s">
        <v>793</v>
      </c>
      <c r="C21" s="902" t="s">
        <v>844</v>
      </c>
      <c r="D21" s="902" t="s">
        <v>43</v>
      </c>
      <c r="E21" s="903" t="s">
        <v>843</v>
      </c>
      <c r="F21" s="912">
        <v>54199</v>
      </c>
      <c r="G21" s="913" t="s">
        <v>1031</v>
      </c>
      <c r="H21" s="911">
        <f>+FAM!J12</f>
        <v>1800</v>
      </c>
    </row>
    <row r="22" spans="1:10" s="551" customFormat="1" ht="15.75" customHeight="1">
      <c r="A22" s="901">
        <v>1</v>
      </c>
      <c r="B22" s="902" t="s">
        <v>793</v>
      </c>
      <c r="C22" s="902" t="s">
        <v>844</v>
      </c>
      <c r="D22" s="902" t="s">
        <v>43</v>
      </c>
      <c r="E22" s="903" t="s">
        <v>843</v>
      </c>
      <c r="F22" s="914">
        <v>54302</v>
      </c>
      <c r="G22" s="913" t="s">
        <v>1033</v>
      </c>
      <c r="H22" s="911">
        <f>+FAM!J13</f>
        <v>43858.96</v>
      </c>
    </row>
    <row r="23" spans="1:10" s="551" customFormat="1" ht="15.75" customHeight="1">
      <c r="A23" s="901"/>
      <c r="B23" s="902"/>
      <c r="C23" s="915"/>
      <c r="D23" s="902"/>
      <c r="E23" s="903"/>
      <c r="F23" s="916"/>
      <c r="G23" s="917"/>
      <c r="H23" s="918">
        <f>+H16+H17+H18+H19+H20+H21+H22</f>
        <v>156000</v>
      </c>
    </row>
    <row r="24" spans="1:10" s="551" customFormat="1" ht="15.75" customHeight="1">
      <c r="A24" s="1160" t="s">
        <v>1009</v>
      </c>
      <c r="B24" s="1161"/>
      <c r="C24" s="1161"/>
      <c r="D24" s="1161"/>
      <c r="E24" s="1161"/>
      <c r="F24" s="1161"/>
      <c r="G24" s="1161"/>
      <c r="H24" s="1163"/>
    </row>
    <row r="25" spans="1:10" s="551" customFormat="1" ht="15.75" customHeight="1">
      <c r="A25" s="901">
        <v>1</v>
      </c>
      <c r="B25" s="902" t="s">
        <v>794</v>
      </c>
      <c r="C25" s="902" t="s">
        <v>46</v>
      </c>
      <c r="D25" s="902" t="s">
        <v>43</v>
      </c>
      <c r="E25" s="903" t="s">
        <v>843</v>
      </c>
      <c r="F25" s="919">
        <v>54399</v>
      </c>
      <c r="G25" s="905" t="s">
        <v>309</v>
      </c>
      <c r="H25" s="906">
        <v>500.03</v>
      </c>
    </row>
    <row r="26" spans="1:10" s="551" customFormat="1" ht="15.6" customHeight="1">
      <c r="A26" s="901">
        <v>1</v>
      </c>
      <c r="B26" s="902" t="s">
        <v>794</v>
      </c>
      <c r="C26" s="902" t="s">
        <v>46</v>
      </c>
      <c r="D26" s="902" t="s">
        <v>43</v>
      </c>
      <c r="E26" s="903" t="s">
        <v>843</v>
      </c>
      <c r="F26" s="904">
        <v>54199</v>
      </c>
      <c r="G26" s="905" t="s">
        <v>140</v>
      </c>
      <c r="H26" s="906">
        <v>0</v>
      </c>
    </row>
    <row r="27" spans="1:10" s="551" customFormat="1" ht="15.75" customHeight="1">
      <c r="A27" s="901">
        <v>1</v>
      </c>
      <c r="B27" s="902" t="s">
        <v>794</v>
      </c>
      <c r="C27" s="902" t="s">
        <v>46</v>
      </c>
      <c r="D27" s="902" t="s">
        <v>43</v>
      </c>
      <c r="E27" s="903" t="s">
        <v>843</v>
      </c>
      <c r="F27" s="904">
        <v>54101</v>
      </c>
      <c r="G27" s="905" t="s">
        <v>33</v>
      </c>
      <c r="H27" s="920">
        <f>FAM!F22</f>
        <v>0</v>
      </c>
    </row>
    <row r="28" spans="1:10" s="551" customFormat="1" ht="15.75" customHeight="1">
      <c r="A28" s="901"/>
      <c r="B28" s="902"/>
      <c r="C28" s="902"/>
      <c r="D28" s="902"/>
      <c r="E28" s="903"/>
      <c r="F28" s="904"/>
      <c r="G28" s="905"/>
      <c r="H28" s="921">
        <f>SUM(H25:H27)</f>
        <v>500.03</v>
      </c>
    </row>
    <row r="29" spans="1:10" ht="15.75" customHeight="1">
      <c r="A29" s="1160" t="s">
        <v>1008</v>
      </c>
      <c r="B29" s="1161"/>
      <c r="C29" s="1161"/>
      <c r="D29" s="1161"/>
      <c r="E29" s="1161"/>
      <c r="F29" s="1161"/>
      <c r="G29" s="1161"/>
      <c r="H29" s="1162"/>
    </row>
    <row r="30" spans="1:10" s="551" customFormat="1" ht="15.75" customHeight="1">
      <c r="A30" s="901">
        <v>1</v>
      </c>
      <c r="B30" s="902" t="s">
        <v>794</v>
      </c>
      <c r="C30" s="902" t="s">
        <v>720</v>
      </c>
      <c r="D30" s="902" t="s">
        <v>43</v>
      </c>
      <c r="E30" s="903" t="s">
        <v>843</v>
      </c>
      <c r="F30" s="904">
        <v>54106</v>
      </c>
      <c r="G30" s="905" t="s">
        <v>134</v>
      </c>
      <c r="H30" s="920">
        <f>FAM!F24</f>
        <v>0</v>
      </c>
    </row>
    <row r="31" spans="1:10" s="551" customFormat="1" ht="15.75" customHeight="1">
      <c r="A31" s="901">
        <v>1</v>
      </c>
      <c r="B31" s="902" t="s">
        <v>794</v>
      </c>
      <c r="C31" s="902" t="s">
        <v>720</v>
      </c>
      <c r="D31" s="902" t="s">
        <v>43</v>
      </c>
      <c r="E31" s="903" t="s">
        <v>843</v>
      </c>
      <c r="F31" s="904">
        <v>54104</v>
      </c>
      <c r="G31" s="905" t="s">
        <v>133</v>
      </c>
      <c r="H31" s="920">
        <f>+FAM!J25</f>
        <v>500</v>
      </c>
      <c r="J31" s="551" t="s">
        <v>993</v>
      </c>
    </row>
    <row r="32" spans="1:10" s="551" customFormat="1" ht="15.75" customHeight="1">
      <c r="A32" s="901">
        <v>1</v>
      </c>
      <c r="B32" s="902" t="s">
        <v>794</v>
      </c>
      <c r="C32" s="902" t="s">
        <v>720</v>
      </c>
      <c r="D32" s="902" t="s">
        <v>43</v>
      </c>
      <c r="E32" s="903" t="s">
        <v>843</v>
      </c>
      <c r="F32" s="904">
        <v>54112</v>
      </c>
      <c r="G32" s="905" t="s">
        <v>138</v>
      </c>
      <c r="H32" s="920">
        <v>0</v>
      </c>
    </row>
    <row r="33" spans="1:10" s="551" customFormat="1" ht="15.75" customHeight="1">
      <c r="A33" s="901">
        <v>1</v>
      </c>
      <c r="B33" s="902" t="s">
        <v>794</v>
      </c>
      <c r="C33" s="902" t="s">
        <v>720</v>
      </c>
      <c r="D33" s="902" t="s">
        <v>43</v>
      </c>
      <c r="E33" s="903" t="s">
        <v>843</v>
      </c>
      <c r="F33" s="904">
        <v>54399</v>
      </c>
      <c r="G33" s="905" t="s">
        <v>309</v>
      </c>
      <c r="H33" s="920">
        <f>FAM!F27</f>
        <v>0</v>
      </c>
    </row>
    <row r="34" spans="1:10" s="551" customFormat="1" ht="15.75" customHeight="1">
      <c r="A34" s="901">
        <v>1</v>
      </c>
      <c r="B34" s="902" t="s">
        <v>794</v>
      </c>
      <c r="C34" s="902" t="s">
        <v>720</v>
      </c>
      <c r="D34" s="902" t="s">
        <v>43</v>
      </c>
      <c r="E34" s="903" t="s">
        <v>843</v>
      </c>
      <c r="F34" s="904">
        <v>51201</v>
      </c>
      <c r="G34" s="905" t="s">
        <v>865</v>
      </c>
      <c r="H34" s="920">
        <f>FAM!F28</f>
        <v>0</v>
      </c>
      <c r="I34" s="572"/>
      <c r="J34" s="572"/>
    </row>
    <row r="35" spans="1:10" s="551" customFormat="1" ht="15.75" customHeight="1">
      <c r="A35" s="901">
        <v>1</v>
      </c>
      <c r="B35" s="902" t="s">
        <v>794</v>
      </c>
      <c r="C35" s="902" t="s">
        <v>720</v>
      </c>
      <c r="D35" s="902" t="s">
        <v>43</v>
      </c>
      <c r="E35" s="903" t="s">
        <v>843</v>
      </c>
      <c r="F35" s="904">
        <v>54199</v>
      </c>
      <c r="G35" s="905" t="s">
        <v>140</v>
      </c>
      <c r="H35" s="920">
        <f>FAM!F29</f>
        <v>0</v>
      </c>
    </row>
    <row r="36" spans="1:10" s="551" customFormat="1" ht="15.75" customHeight="1">
      <c r="A36" s="901"/>
      <c r="B36" s="902"/>
      <c r="C36" s="902"/>
      <c r="D36" s="902"/>
      <c r="E36" s="903"/>
      <c r="F36" s="904"/>
      <c r="G36" s="905"/>
      <c r="H36" s="921">
        <f>SUM(H30:H35)</f>
        <v>500</v>
      </c>
    </row>
    <row r="37" spans="1:10" s="551" customFormat="1" ht="15.75" customHeight="1">
      <c r="A37" s="901"/>
      <c r="B37" s="902"/>
      <c r="C37" s="902"/>
      <c r="D37" s="902"/>
      <c r="E37" s="903"/>
      <c r="F37" s="904"/>
      <c r="G37" s="905"/>
      <c r="H37" s="920"/>
    </row>
    <row r="38" spans="1:10" ht="15.75" customHeight="1">
      <c r="A38" s="922" t="s">
        <v>1173</v>
      </c>
      <c r="B38" s="923"/>
      <c r="C38" s="923"/>
      <c r="D38" s="923"/>
      <c r="E38" s="923"/>
      <c r="F38" s="923"/>
      <c r="G38" s="923"/>
      <c r="H38" s="924"/>
    </row>
    <row r="39" spans="1:10" ht="15.75" customHeight="1">
      <c r="A39" s="901">
        <v>1</v>
      </c>
      <c r="B39" s="902" t="s">
        <v>794</v>
      </c>
      <c r="C39" s="902" t="s">
        <v>720</v>
      </c>
      <c r="D39" s="902" t="s">
        <v>43</v>
      </c>
      <c r="E39" s="903" t="s">
        <v>843</v>
      </c>
      <c r="F39" s="904">
        <v>54106</v>
      </c>
      <c r="G39" s="905" t="s">
        <v>134</v>
      </c>
      <c r="H39" s="920">
        <f>+FAM!F31</f>
        <v>2000</v>
      </c>
    </row>
    <row r="40" spans="1:10" ht="15.75" customHeight="1">
      <c r="A40" s="901">
        <v>1</v>
      </c>
      <c r="B40" s="902" t="s">
        <v>794</v>
      </c>
      <c r="C40" s="902" t="s">
        <v>720</v>
      </c>
      <c r="D40" s="902" t="s">
        <v>43</v>
      </c>
      <c r="E40" s="903" t="s">
        <v>843</v>
      </c>
      <c r="F40" s="904">
        <v>54104</v>
      </c>
      <c r="G40" s="905" t="s">
        <v>133</v>
      </c>
      <c r="H40" s="920">
        <f>+FAM!F32</f>
        <v>15000</v>
      </c>
    </row>
    <row r="41" spans="1:10" ht="15.75" customHeight="1">
      <c r="A41" s="901">
        <v>1</v>
      </c>
      <c r="B41" s="902" t="s">
        <v>794</v>
      </c>
      <c r="C41" s="902" t="s">
        <v>720</v>
      </c>
      <c r="D41" s="902" t="s">
        <v>43</v>
      </c>
      <c r="E41" s="903" t="s">
        <v>843</v>
      </c>
      <c r="F41" s="904">
        <v>54111</v>
      </c>
      <c r="G41" s="905" t="s">
        <v>137</v>
      </c>
      <c r="H41" s="920">
        <f>+FAM!F33</f>
        <v>15000</v>
      </c>
    </row>
    <row r="42" spans="1:10" ht="15.75" customHeight="1">
      <c r="A42" s="901">
        <v>1</v>
      </c>
      <c r="B42" s="902" t="s">
        <v>794</v>
      </c>
      <c r="C42" s="902" t="s">
        <v>720</v>
      </c>
      <c r="D42" s="902" t="s">
        <v>43</v>
      </c>
      <c r="E42" s="903" t="s">
        <v>843</v>
      </c>
      <c r="F42" s="904">
        <v>54112</v>
      </c>
      <c r="G42" s="905" t="s">
        <v>138</v>
      </c>
      <c r="H42" s="920">
        <f>+FAM!F34</f>
        <v>19000</v>
      </c>
      <c r="J42" s="25" t="s">
        <v>994</v>
      </c>
    </row>
    <row r="43" spans="1:10" ht="15.75" customHeight="1">
      <c r="A43" s="901">
        <v>1</v>
      </c>
      <c r="B43" s="902" t="s">
        <v>794</v>
      </c>
      <c r="C43" s="902" t="s">
        <v>720</v>
      </c>
      <c r="D43" s="902" t="s">
        <v>43</v>
      </c>
      <c r="E43" s="903" t="s">
        <v>843</v>
      </c>
      <c r="F43" s="904">
        <v>54399</v>
      </c>
      <c r="G43" s="905" t="s">
        <v>309</v>
      </c>
      <c r="H43" s="920">
        <f>+FAM!F35</f>
        <v>9000</v>
      </c>
    </row>
    <row r="44" spans="1:10" ht="15.75" customHeight="1">
      <c r="A44" s="901">
        <v>1</v>
      </c>
      <c r="B44" s="902" t="s">
        <v>794</v>
      </c>
      <c r="C44" s="902" t="s">
        <v>720</v>
      </c>
      <c r="D44" s="902" t="s">
        <v>43</v>
      </c>
      <c r="E44" s="903" t="s">
        <v>843</v>
      </c>
      <c r="F44" s="904">
        <v>51201</v>
      </c>
      <c r="G44" s="905" t="s">
        <v>865</v>
      </c>
      <c r="H44" s="920">
        <f>+FAM!F36</f>
        <v>2000</v>
      </c>
    </row>
    <row r="45" spans="1:10" ht="15.75" customHeight="1">
      <c r="A45" s="901">
        <v>1</v>
      </c>
      <c r="B45" s="902" t="s">
        <v>794</v>
      </c>
      <c r="C45" s="902" t="s">
        <v>720</v>
      </c>
      <c r="D45" s="902" t="s">
        <v>43</v>
      </c>
      <c r="E45" s="903" t="s">
        <v>843</v>
      </c>
      <c r="F45" s="904">
        <v>54199</v>
      </c>
      <c r="G45" s="905" t="s">
        <v>140</v>
      </c>
      <c r="H45" s="920">
        <f>+FAM!F37</f>
        <v>1500</v>
      </c>
    </row>
    <row r="46" spans="1:10" ht="15.75" customHeight="1">
      <c r="A46" s="901"/>
      <c r="B46" s="902"/>
      <c r="C46" s="902"/>
      <c r="D46" s="902"/>
      <c r="E46" s="903"/>
      <c r="F46" s="904"/>
      <c r="G46" s="905"/>
      <c r="H46" s="921">
        <f>SUM(H39:H45)</f>
        <v>63500</v>
      </c>
    </row>
    <row r="47" spans="1:10" ht="15.75" customHeight="1">
      <c r="A47" s="901"/>
      <c r="B47" s="902"/>
      <c r="C47" s="902"/>
      <c r="D47" s="902"/>
      <c r="E47" s="903"/>
      <c r="F47" s="904"/>
      <c r="G47" s="905"/>
      <c r="H47" s="921"/>
    </row>
    <row r="48" spans="1:10" ht="15.75" customHeight="1">
      <c r="A48" s="901"/>
      <c r="B48" s="902"/>
      <c r="C48" s="925" t="s">
        <v>1010</v>
      </c>
      <c r="D48" s="902"/>
      <c r="E48" s="903"/>
      <c r="F48" s="904"/>
      <c r="G48" s="925"/>
      <c r="H48" s="920"/>
    </row>
    <row r="49" spans="1:10" ht="15.75" customHeight="1">
      <c r="A49" s="901">
        <v>1</v>
      </c>
      <c r="B49" s="902" t="s">
        <v>794</v>
      </c>
      <c r="C49" s="902" t="s">
        <v>720</v>
      </c>
      <c r="D49" s="902" t="s">
        <v>43</v>
      </c>
      <c r="E49" s="903" t="s">
        <v>843</v>
      </c>
      <c r="F49" s="926">
        <v>51401</v>
      </c>
      <c r="G49" s="905" t="s">
        <v>1024</v>
      </c>
      <c r="H49" s="920">
        <f>+FAM!F39</f>
        <v>800</v>
      </c>
    </row>
    <row r="50" spans="1:10" ht="15.75" customHeight="1">
      <c r="A50" s="901">
        <v>1</v>
      </c>
      <c r="B50" s="902" t="s">
        <v>794</v>
      </c>
      <c r="C50" s="902" t="s">
        <v>720</v>
      </c>
      <c r="D50" s="902" t="s">
        <v>43</v>
      </c>
      <c r="E50" s="903" t="s">
        <v>843</v>
      </c>
      <c r="F50" s="926">
        <v>51501</v>
      </c>
      <c r="G50" s="905" t="s">
        <v>1025</v>
      </c>
      <c r="H50" s="920">
        <f>FAM!F40</f>
        <v>950</v>
      </c>
    </row>
    <row r="51" spans="1:10" ht="15.75" customHeight="1">
      <c r="A51" s="901">
        <v>1</v>
      </c>
      <c r="B51" s="902" t="s">
        <v>794</v>
      </c>
      <c r="C51" s="902" t="s">
        <v>720</v>
      </c>
      <c r="D51" s="902" t="s">
        <v>43</v>
      </c>
      <c r="E51" s="903" t="s">
        <v>843</v>
      </c>
      <c r="F51" s="904">
        <v>54104</v>
      </c>
      <c r="G51" s="905" t="s">
        <v>133</v>
      </c>
      <c r="H51" s="920">
        <f>+FAM!F41</f>
        <v>1050</v>
      </c>
    </row>
    <row r="52" spans="1:10" ht="15.75" customHeight="1">
      <c r="A52" s="901">
        <v>1</v>
      </c>
      <c r="B52" s="902" t="s">
        <v>794</v>
      </c>
      <c r="C52" s="902" t="s">
        <v>720</v>
      </c>
      <c r="D52" s="902" t="s">
        <v>43</v>
      </c>
      <c r="E52" s="903" t="s">
        <v>843</v>
      </c>
      <c r="F52" s="904">
        <v>54112</v>
      </c>
      <c r="G52" s="905" t="s">
        <v>138</v>
      </c>
      <c r="H52" s="920">
        <f>FAM!F42</f>
        <v>0</v>
      </c>
    </row>
    <row r="53" spans="1:10" ht="15.75" customHeight="1">
      <c r="A53" s="901">
        <v>1</v>
      </c>
      <c r="B53" s="902" t="s">
        <v>794</v>
      </c>
      <c r="C53" s="902" t="s">
        <v>720</v>
      </c>
      <c r="D53" s="902" t="s">
        <v>43</v>
      </c>
      <c r="E53" s="903" t="s">
        <v>843</v>
      </c>
      <c r="F53" s="904">
        <v>54399</v>
      </c>
      <c r="G53" s="905" t="s">
        <v>309</v>
      </c>
      <c r="H53" s="920">
        <f>FAM!F43</f>
        <v>2950</v>
      </c>
      <c r="J53" s="25" t="s">
        <v>995</v>
      </c>
    </row>
    <row r="54" spans="1:10" ht="15.75" customHeight="1">
      <c r="A54" s="901">
        <v>1</v>
      </c>
      <c r="B54" s="902" t="s">
        <v>794</v>
      </c>
      <c r="C54" s="902" t="s">
        <v>720</v>
      </c>
      <c r="D54" s="902" t="s">
        <v>43</v>
      </c>
      <c r="E54" s="903" t="s">
        <v>843</v>
      </c>
      <c r="F54" s="904">
        <v>51201</v>
      </c>
      <c r="G54" s="905" t="s">
        <v>865</v>
      </c>
      <c r="H54" s="920">
        <f>FAM!F44</f>
        <v>4000</v>
      </c>
    </row>
    <row r="55" spans="1:10" ht="15.75" customHeight="1">
      <c r="A55" s="901">
        <v>1</v>
      </c>
      <c r="B55" s="902" t="s">
        <v>794</v>
      </c>
      <c r="C55" s="902" t="s">
        <v>720</v>
      </c>
      <c r="D55" s="902" t="s">
        <v>43</v>
      </c>
      <c r="E55" s="903" t="s">
        <v>843</v>
      </c>
      <c r="F55" s="904">
        <v>54118</v>
      </c>
      <c r="G55" s="905" t="s">
        <v>139</v>
      </c>
      <c r="H55" s="920">
        <f>FAM!F45</f>
        <v>0</v>
      </c>
    </row>
    <row r="56" spans="1:10" ht="15.75" customHeight="1">
      <c r="A56" s="901"/>
      <c r="B56" s="902"/>
      <c r="C56" s="902"/>
      <c r="D56" s="902"/>
      <c r="E56" s="903"/>
      <c r="F56" s="904"/>
      <c r="G56" s="905"/>
      <c r="H56" s="921">
        <f>SUM(H49:H55)</f>
        <v>9750</v>
      </c>
    </row>
    <row r="57" spans="1:10" ht="15.75" customHeight="1">
      <c r="A57" s="922" t="s">
        <v>1175</v>
      </c>
      <c r="B57" s="923"/>
      <c r="C57" s="923"/>
      <c r="D57" s="923"/>
      <c r="E57" s="924"/>
      <c r="F57" s="904"/>
      <c r="G57" s="927"/>
      <c r="H57" s="920"/>
    </row>
    <row r="58" spans="1:10" ht="15.75" customHeight="1">
      <c r="A58" s="901">
        <v>1</v>
      </c>
      <c r="B58" s="902" t="s">
        <v>794</v>
      </c>
      <c r="C58" s="902" t="s">
        <v>844</v>
      </c>
      <c r="D58" s="902" t="s">
        <v>43</v>
      </c>
      <c r="E58" s="903" t="s">
        <v>843</v>
      </c>
      <c r="F58" s="904">
        <v>54199</v>
      </c>
      <c r="G58" s="905" t="s">
        <v>140</v>
      </c>
      <c r="H58" s="920">
        <f>FAM!F47</f>
        <v>0</v>
      </c>
    </row>
    <row r="59" spans="1:10" ht="15.75" customHeight="1">
      <c r="A59" s="901">
        <v>1</v>
      </c>
      <c r="B59" s="902" t="s">
        <v>794</v>
      </c>
      <c r="C59" s="902" t="s">
        <v>844</v>
      </c>
      <c r="D59" s="902" t="s">
        <v>43</v>
      </c>
      <c r="E59" s="903" t="s">
        <v>843</v>
      </c>
      <c r="F59" s="904">
        <v>54101</v>
      </c>
      <c r="G59" s="905" t="s">
        <v>33</v>
      </c>
      <c r="H59" s="920">
        <f>FAM!F48</f>
        <v>500</v>
      </c>
    </row>
    <row r="60" spans="1:10" ht="15.75" customHeight="1">
      <c r="A60" s="901">
        <v>1</v>
      </c>
      <c r="B60" s="902" t="s">
        <v>794</v>
      </c>
      <c r="C60" s="902" t="s">
        <v>844</v>
      </c>
      <c r="D60" s="902" t="s">
        <v>43</v>
      </c>
      <c r="E60" s="903" t="s">
        <v>843</v>
      </c>
      <c r="F60" s="904">
        <v>54118</v>
      </c>
      <c r="G60" s="905" t="s">
        <v>139</v>
      </c>
      <c r="H60" s="920">
        <f>FAM!F49</f>
        <v>0</v>
      </c>
    </row>
    <row r="61" spans="1:10" ht="15.75" customHeight="1">
      <c r="A61" s="901"/>
      <c r="B61" s="902"/>
      <c r="C61" s="902"/>
      <c r="D61" s="902"/>
      <c r="E61" s="903"/>
      <c r="F61" s="904"/>
      <c r="G61" s="905"/>
      <c r="H61" s="928">
        <f>SUM(H58:H60)</f>
        <v>500</v>
      </c>
    </row>
    <row r="62" spans="1:10" ht="15.75" customHeight="1">
      <c r="A62" s="922" t="s">
        <v>1174</v>
      </c>
      <c r="B62" s="923"/>
      <c r="C62" s="923"/>
      <c r="D62" s="923"/>
      <c r="E62" s="923"/>
      <c r="F62" s="923"/>
      <c r="G62" s="924"/>
      <c r="H62" s="905"/>
    </row>
    <row r="63" spans="1:10" ht="15.75" customHeight="1">
      <c r="A63" s="901">
        <v>1</v>
      </c>
      <c r="B63" s="902" t="s">
        <v>794</v>
      </c>
      <c r="C63" s="902" t="s">
        <v>725</v>
      </c>
      <c r="D63" s="902" t="s">
        <v>43</v>
      </c>
      <c r="E63" s="903" t="s">
        <v>843</v>
      </c>
      <c r="F63" s="904">
        <v>54112</v>
      </c>
      <c r="G63" s="905" t="s">
        <v>138</v>
      </c>
      <c r="H63" s="920">
        <f>+FAM!J51</f>
        <v>500</v>
      </c>
      <c r="J63" s="25" t="s">
        <v>996</v>
      </c>
    </row>
    <row r="64" spans="1:10" ht="15.75" customHeight="1">
      <c r="A64" s="901">
        <v>1</v>
      </c>
      <c r="B64" s="902" t="s">
        <v>794</v>
      </c>
      <c r="C64" s="902" t="s">
        <v>725</v>
      </c>
      <c r="D64" s="902" t="s">
        <v>43</v>
      </c>
      <c r="E64" s="903" t="s">
        <v>843</v>
      </c>
      <c r="F64" s="904">
        <v>54111</v>
      </c>
      <c r="G64" s="905" t="s">
        <v>868</v>
      </c>
      <c r="H64" s="920">
        <f>FAM!F51</f>
        <v>0</v>
      </c>
    </row>
    <row r="65" spans="1:10" ht="15.75" customHeight="1">
      <c r="A65" s="901">
        <v>1</v>
      </c>
      <c r="B65" s="902" t="s">
        <v>794</v>
      </c>
      <c r="C65" s="902" t="s">
        <v>725</v>
      </c>
      <c r="D65" s="902" t="s">
        <v>43</v>
      </c>
      <c r="E65" s="903" t="s">
        <v>843</v>
      </c>
      <c r="F65" s="904">
        <v>54399</v>
      </c>
      <c r="G65" s="905" t="s">
        <v>309</v>
      </c>
      <c r="H65" s="920">
        <f>FAM!F52</f>
        <v>0</v>
      </c>
    </row>
    <row r="66" spans="1:10" ht="15.75" customHeight="1">
      <c r="A66" s="901"/>
      <c r="B66" s="902"/>
      <c r="C66" s="902"/>
      <c r="D66" s="902"/>
      <c r="E66" s="903"/>
      <c r="F66" s="904"/>
      <c r="G66" s="905"/>
      <c r="H66" s="928">
        <f>SUM(H63:H65)</f>
        <v>500</v>
      </c>
    </row>
    <row r="67" spans="1:10" ht="15.75" customHeight="1">
      <c r="A67" s="929" t="s">
        <v>1011</v>
      </c>
      <c r="B67" s="930"/>
      <c r="C67" s="930"/>
      <c r="D67" s="930"/>
      <c r="E67" s="931"/>
      <c r="F67" s="931"/>
      <c r="G67" s="932"/>
      <c r="H67" s="905"/>
    </row>
    <row r="68" spans="1:10" ht="15.75" customHeight="1">
      <c r="A68" s="901">
        <v>1</v>
      </c>
      <c r="B68" s="902" t="s">
        <v>794</v>
      </c>
      <c r="C68" s="902" t="s">
        <v>725</v>
      </c>
      <c r="D68" s="902" t="s">
        <v>43</v>
      </c>
      <c r="E68" s="903" t="s">
        <v>843</v>
      </c>
      <c r="F68" s="904">
        <v>54106</v>
      </c>
      <c r="G68" s="905" t="s">
        <v>134</v>
      </c>
      <c r="H68" s="920">
        <v>0</v>
      </c>
    </row>
    <row r="69" spans="1:10" ht="15.75" customHeight="1">
      <c r="A69" s="901">
        <v>1</v>
      </c>
      <c r="B69" s="902" t="s">
        <v>794</v>
      </c>
      <c r="C69" s="902" t="s">
        <v>725</v>
      </c>
      <c r="D69" s="902" t="s">
        <v>43</v>
      </c>
      <c r="E69" s="903" t="s">
        <v>843</v>
      </c>
      <c r="F69" s="904">
        <v>54104</v>
      </c>
      <c r="G69" s="905" t="s">
        <v>133</v>
      </c>
      <c r="H69" s="920">
        <f>FAM!F55</f>
        <v>0</v>
      </c>
    </row>
    <row r="70" spans="1:10" ht="15.75" customHeight="1">
      <c r="A70" s="901">
        <v>1</v>
      </c>
      <c r="B70" s="902" t="s">
        <v>794</v>
      </c>
      <c r="C70" s="902" t="s">
        <v>725</v>
      </c>
      <c r="D70" s="902" t="s">
        <v>43</v>
      </c>
      <c r="E70" s="903" t="s">
        <v>843</v>
      </c>
      <c r="F70" s="904">
        <v>54112</v>
      </c>
      <c r="G70" s="905" t="s">
        <v>138</v>
      </c>
      <c r="H70" s="920"/>
      <c r="J70" s="25" t="s">
        <v>997</v>
      </c>
    </row>
    <row r="71" spans="1:10" ht="15.75" customHeight="1">
      <c r="A71" s="901">
        <v>1</v>
      </c>
      <c r="B71" s="902" t="s">
        <v>794</v>
      </c>
      <c r="C71" s="902" t="s">
        <v>725</v>
      </c>
      <c r="D71" s="902" t="s">
        <v>43</v>
      </c>
      <c r="E71" s="903" t="s">
        <v>843</v>
      </c>
      <c r="F71" s="904">
        <v>54399</v>
      </c>
      <c r="G71" s="905" t="s">
        <v>309</v>
      </c>
      <c r="H71" s="920">
        <f>FAM!F57</f>
        <v>500</v>
      </c>
    </row>
    <row r="72" spans="1:10" ht="15.75" customHeight="1">
      <c r="A72" s="901">
        <v>1</v>
      </c>
      <c r="B72" s="902" t="s">
        <v>794</v>
      </c>
      <c r="C72" s="902" t="s">
        <v>725</v>
      </c>
      <c r="D72" s="902" t="s">
        <v>43</v>
      </c>
      <c r="E72" s="903" t="s">
        <v>843</v>
      </c>
      <c r="F72" s="904">
        <v>51201</v>
      </c>
      <c r="G72" s="905" t="s">
        <v>865</v>
      </c>
      <c r="H72" s="920">
        <f>FAM!F58</f>
        <v>0</v>
      </c>
    </row>
    <row r="73" spans="1:10" ht="15.75" customHeight="1">
      <c r="A73" s="901"/>
      <c r="B73" s="902"/>
      <c r="C73" s="902"/>
      <c r="D73" s="902"/>
      <c r="E73" s="903"/>
      <c r="F73" s="904"/>
      <c r="G73" s="905"/>
      <c r="H73" s="921">
        <f>SUM(H68:H72)</f>
        <v>500</v>
      </c>
    </row>
    <row r="74" spans="1:10" ht="15.75" customHeight="1">
      <c r="A74" s="901"/>
      <c r="B74" s="933" t="s">
        <v>1176</v>
      </c>
      <c r="C74" s="930"/>
      <c r="D74" s="930"/>
      <c r="E74" s="930"/>
      <c r="F74" s="930"/>
      <c r="G74" s="930"/>
      <c r="H74" s="934"/>
    </row>
    <row r="75" spans="1:10" ht="15.75" customHeight="1">
      <c r="A75" s="901">
        <v>1</v>
      </c>
      <c r="B75" s="902" t="s">
        <v>794</v>
      </c>
      <c r="C75" s="902" t="s">
        <v>725</v>
      </c>
      <c r="D75" s="902" t="s">
        <v>43</v>
      </c>
      <c r="E75" s="903" t="s">
        <v>843</v>
      </c>
      <c r="F75" s="904">
        <v>54399</v>
      </c>
      <c r="G75" s="905" t="s">
        <v>309</v>
      </c>
      <c r="H75" s="920">
        <f>+FAM!F62</f>
        <v>65000</v>
      </c>
      <c r="J75" s="25" t="s">
        <v>998</v>
      </c>
    </row>
    <row r="76" spans="1:10" ht="15.75" customHeight="1">
      <c r="A76" s="901"/>
      <c r="B76" s="902"/>
      <c r="C76" s="902"/>
      <c r="D76" s="902"/>
      <c r="E76" s="903"/>
      <c r="F76" s="904"/>
      <c r="G76" s="905"/>
      <c r="H76" s="921">
        <f>SUM(H75)</f>
        <v>65000</v>
      </c>
    </row>
    <row r="77" spans="1:10" ht="15.75" customHeight="1">
      <c r="A77" s="922" t="s">
        <v>1177</v>
      </c>
      <c r="B77" s="923"/>
      <c r="C77" s="923"/>
      <c r="D77" s="935"/>
      <c r="E77" s="935"/>
      <c r="F77" s="935"/>
      <c r="G77" s="936"/>
      <c r="H77" s="920"/>
    </row>
    <row r="78" spans="1:10" s="551" customFormat="1" ht="15.75" customHeight="1">
      <c r="A78" s="901">
        <v>1</v>
      </c>
      <c r="B78" s="902" t="s">
        <v>43</v>
      </c>
      <c r="C78" s="903" t="s">
        <v>43</v>
      </c>
      <c r="D78" s="902" t="s">
        <v>43</v>
      </c>
      <c r="E78" s="903" t="s">
        <v>48</v>
      </c>
      <c r="F78" s="904">
        <v>56305</v>
      </c>
      <c r="G78" s="905" t="s">
        <v>686</v>
      </c>
      <c r="H78" s="920">
        <f>FAM!F65</f>
        <v>500</v>
      </c>
      <c r="J78" s="551" t="s">
        <v>999</v>
      </c>
    </row>
    <row r="79" spans="1:10" s="551" customFormat="1" ht="15.75" customHeight="1">
      <c r="A79" s="937"/>
      <c r="B79" s="938"/>
      <c r="C79" s="939"/>
      <c r="D79" s="938"/>
      <c r="E79" s="903"/>
      <c r="F79" s="984"/>
      <c r="G79" s="941"/>
      <c r="H79" s="942">
        <f>SUM(H78)</f>
        <v>500</v>
      </c>
    </row>
    <row r="80" spans="1:10" ht="15.75" customHeight="1" thickBot="1">
      <c r="A80" s="943"/>
      <c r="B80" s="939"/>
      <c r="C80" s="939"/>
      <c r="D80" s="939"/>
      <c r="E80" s="940"/>
      <c r="F80" s="983" t="s">
        <v>1034</v>
      </c>
      <c r="G80" s="944" t="s">
        <v>1035</v>
      </c>
      <c r="H80" s="942">
        <f>+FAM!J66</f>
        <v>73550</v>
      </c>
    </row>
    <row r="81" spans="1:8" ht="31.5" customHeight="1" thickBot="1">
      <c r="A81" s="1150"/>
      <c r="B81" s="1151"/>
      <c r="C81" s="1151"/>
      <c r="D81" s="1151"/>
      <c r="E81" s="1151"/>
      <c r="F81" s="1152"/>
      <c r="G81" s="252" t="s">
        <v>1017</v>
      </c>
      <c r="H81" s="261">
        <f>+H14+H23+H28+H36+H46+H56+H61+H66+H73+H79+H76+H80</f>
        <v>480000.03</v>
      </c>
    </row>
    <row r="82" spans="1:8">
      <c r="A82" s="28"/>
      <c r="B82" s="28"/>
      <c r="C82" s="28"/>
      <c r="D82" s="28"/>
      <c r="E82" s="28"/>
      <c r="F82" s="28"/>
      <c r="H82" s="262">
        <f>+H16+H25+H33+H43+H53+H65+H71+H75+H80</f>
        <v>231393.63</v>
      </c>
    </row>
    <row r="83" spans="1:8">
      <c r="A83" s="28"/>
      <c r="B83" s="28"/>
      <c r="C83" s="28"/>
      <c r="D83" s="28"/>
      <c r="E83" s="28"/>
      <c r="F83" s="28"/>
      <c r="H83" s="262">
        <f>+H81-H80</f>
        <v>406450.03</v>
      </c>
    </row>
    <row r="84" spans="1:8">
      <c r="A84" s="1003"/>
      <c r="B84" s="1003"/>
      <c r="C84" s="1003"/>
      <c r="D84" s="1003"/>
      <c r="E84" s="1003"/>
      <c r="F84" s="1003"/>
      <c r="G84" s="1003"/>
    </row>
    <row r="85" spans="1:8">
      <c r="A85" s="28"/>
      <c r="B85" s="28"/>
      <c r="C85" s="28"/>
      <c r="D85" s="28"/>
      <c r="E85" s="28"/>
      <c r="F85" s="28"/>
    </row>
  </sheetData>
  <autoFilter ref="A9:H78" xr:uid="{00000000-0009-0000-0000-000008000000}"/>
  <mergeCells count="16">
    <mergeCell ref="A81:F81"/>
    <mergeCell ref="A84:G84"/>
    <mergeCell ref="A5:H5"/>
    <mergeCell ref="A6:H6"/>
    <mergeCell ref="A7:H7"/>
    <mergeCell ref="A8:F8"/>
    <mergeCell ref="G8:G9"/>
    <mergeCell ref="H8:H9"/>
    <mergeCell ref="A29:H29"/>
    <mergeCell ref="A24:H24"/>
    <mergeCell ref="B15:H15"/>
    <mergeCell ref="A4:H4"/>
    <mergeCell ref="A1:D1"/>
    <mergeCell ref="E1:H1"/>
    <mergeCell ref="A2:H2"/>
    <mergeCell ref="A3:H3"/>
  </mergeCells>
  <phoneticPr fontId="48" type="noConversion"/>
  <pageMargins left="0.70866141732283472" right="0.70866141732283472" top="0.35433070866141736" bottom="0.94488188976377963" header="0.31496062992125984" footer="0.31496062992125984"/>
  <pageSetup paperSize="5" scale="8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30</vt:i4>
      </vt:variant>
    </vt:vector>
  </HeadingPairs>
  <TitlesOfParts>
    <vt:vector size="55" baseType="lpstr">
      <vt:lpstr>Estructura</vt:lpstr>
      <vt:lpstr>Rubros</vt:lpstr>
      <vt:lpstr>Ingresos</vt:lpstr>
      <vt:lpstr>PROYECCION UATM</vt:lpstr>
      <vt:lpstr>Egresos</vt:lpstr>
      <vt:lpstr>SALDO DE CUENTAS BANCARIAS</vt:lpstr>
      <vt:lpstr>EGRE FONDO COMUN</vt:lpstr>
      <vt:lpstr>Egr. FODES LIBRE DISPONIBILIDAD</vt:lpstr>
      <vt:lpstr>FONDOS FAM</vt:lpstr>
      <vt:lpstr>FAM</vt:lpstr>
      <vt:lpstr>FONDOS GOES</vt:lpstr>
      <vt:lpstr>INT CRECER</vt:lpstr>
      <vt:lpstr>FISDL</vt:lpstr>
      <vt:lpstr>ok-Planillas 2023</vt:lpstr>
      <vt:lpstr> Egrs75%FODES- PROY.SOCIALES</vt:lpstr>
      <vt:lpstr>PROY-FODES75% QUE VIENEN 2021</vt:lpstr>
      <vt:lpstr>PROYECTOS GOES ESPECIFICOS </vt:lpstr>
      <vt:lpstr>PRESTAMOS</vt:lpstr>
      <vt:lpstr>Egr.FODES 2%</vt:lpstr>
      <vt:lpstr>Dietas</vt:lpstr>
      <vt:lpstr>Salarios</vt:lpstr>
      <vt:lpstr>PLANILLA </vt:lpstr>
      <vt:lpstr>Planillas</vt:lpstr>
      <vt:lpstr>MORA TRIBUTARIA A 2023</vt:lpstr>
      <vt:lpstr>Hoja1</vt:lpstr>
      <vt:lpstr>' Egrs75%FODES- PROY.SOCIALES'!Área_de_impresión</vt:lpstr>
      <vt:lpstr>Dietas!Área_de_impresión</vt:lpstr>
      <vt:lpstr>'Egr. FODES LIBRE DISPONIBILIDAD'!Área_de_impresión</vt:lpstr>
      <vt:lpstr>'Egr.FODES 2%'!Área_de_impresión</vt:lpstr>
      <vt:lpstr>'EGRE FONDO COMUN'!Área_de_impresión</vt:lpstr>
      <vt:lpstr>Egresos!Área_de_impresión</vt:lpstr>
      <vt:lpstr>Estructura!Área_de_impresión</vt:lpstr>
      <vt:lpstr>FAM!Área_de_impresión</vt:lpstr>
      <vt:lpstr>FISDL!Área_de_impresión</vt:lpstr>
      <vt:lpstr>'FONDOS FAM'!Área_de_impresión</vt:lpstr>
      <vt:lpstr>'FONDOS GOES'!Área_de_impresión</vt:lpstr>
      <vt:lpstr>Ingresos!Área_de_impresión</vt:lpstr>
      <vt:lpstr>'INT CRECER'!Área_de_impresión</vt:lpstr>
      <vt:lpstr>'MORA TRIBUTARIA A 2023'!Área_de_impresión</vt:lpstr>
      <vt:lpstr>'ok-Planillas 2023'!Área_de_impresión</vt:lpstr>
      <vt:lpstr>'PLANILLA '!Área_de_impresión</vt:lpstr>
      <vt:lpstr>PRESTAMOS!Área_de_impresión</vt:lpstr>
      <vt:lpstr>'PROYECTOS GOES ESPECIFICOS '!Área_de_impresión</vt:lpstr>
      <vt:lpstr>'PROY-FODES75% QUE VIENEN 2021'!Área_de_impresión</vt:lpstr>
      <vt:lpstr>Rubros!Área_de_impresión</vt:lpstr>
      <vt:lpstr>'SALDO DE CUENTAS BANCARIAS'!Área_de_impresión</vt:lpstr>
      <vt:lpstr>' Egrs75%FODES- PROY.SOCIALES'!Títulos_a_imprimir</vt:lpstr>
      <vt:lpstr>Dietas!Títulos_a_imprimir</vt:lpstr>
      <vt:lpstr>'Egr.FODES 2%'!Títulos_a_imprimir</vt:lpstr>
      <vt:lpstr>'EGRE FONDO COMUN'!Títulos_a_imprimir</vt:lpstr>
      <vt:lpstr>Egresos!Títulos_a_imprimir</vt:lpstr>
      <vt:lpstr>FISDL!Títulos_a_imprimir</vt:lpstr>
      <vt:lpstr>'FONDOS GOES'!Títulos_a_imprimir</vt:lpstr>
      <vt:lpstr>Ingresos!Títulos_a_imprimir</vt:lpstr>
      <vt:lpstr>'ok-Planillas 2023'!Títulos_a_imprimir</vt:lpstr>
    </vt:vector>
  </TitlesOfParts>
  <Company>SUBDERE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Estructura de Presupuesto Municipal</dc:title>
  <dc:creator>Gastón Collao</dc:creator>
  <cp:lastModifiedBy>rollyfr47@gmail.com</cp:lastModifiedBy>
  <cp:lastPrinted>2024-02-12T14:28:47Z</cp:lastPrinted>
  <dcterms:created xsi:type="dcterms:W3CDTF">2007-07-18T15:13:44Z</dcterms:created>
  <dcterms:modified xsi:type="dcterms:W3CDTF">2024-04-09T17:24:47Z</dcterms:modified>
</cp:coreProperties>
</file>