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F:\UAIP\OIR S.P.P\INFORMACION OFICIOSA\INFORMACIÓN OFICIOSA 2023\PRIMER TRIMESTRE\PRESUPUESTO\informacion oficiosa primer trimestre 2023\"/>
    </mc:Choice>
  </mc:AlternateContent>
  <xr:revisionPtr revIDLastSave="0" documentId="13_ncr:1_{8D654312-12A5-4CE4-8460-7BB34E145D9C}" xr6:coauthVersionLast="47" xr6:coauthVersionMax="47" xr10:uidLastSave="{00000000-0000-0000-0000-000000000000}"/>
  <bookViews>
    <workbookView xWindow="-120" yWindow="-120" windowWidth="29040" windowHeight="15720" tabRatio="903" activeTab="5" xr2:uid="{00000000-000D-0000-FFFF-FFFF00000000}"/>
  </bookViews>
  <sheets>
    <sheet name="Estructura" sheetId="56" r:id="rId1"/>
    <sheet name="Rubros" sheetId="57" r:id="rId2"/>
    <sheet name="Ingresos" sheetId="16" r:id="rId3"/>
    <sheet name="PROYECCION UATM" sheetId="93" r:id="rId4"/>
    <sheet name="Egresos" sheetId="65" r:id="rId5"/>
    <sheet name="SALDO DE CUENTAS BANCARIAS" sheetId="91" r:id="rId6"/>
    <sheet name="EGRE FONDO COMUN" sheetId="12" r:id="rId7"/>
    <sheet name="Egr. FODES LIBRE DISPONIBILIDAD" sheetId="20" r:id="rId8"/>
    <sheet name="FONDOS FAM" sheetId="88" r:id="rId9"/>
    <sheet name="FAM" sheetId="89" r:id="rId10"/>
    <sheet name="DONACIONES" sheetId="80" r:id="rId11"/>
    <sheet name="FONDOS GOES" sheetId="84" r:id="rId12"/>
    <sheet name="ISNA" sheetId="92" r:id="rId13"/>
    <sheet name="FISDL" sheetId="72" r:id="rId14"/>
    <sheet name="ok-Planillas 2023" sheetId="69" r:id="rId15"/>
    <sheet name=" Egrs75%FODES- PROY.SOCIALES" sheetId="58" state="hidden" r:id="rId16"/>
    <sheet name="PROY-FODES75% QUE VIENEN 2021" sheetId="81" state="hidden" r:id="rId17"/>
    <sheet name="PROYECTOS GOES ESPECIFICOS " sheetId="85" state="hidden" r:id="rId18"/>
    <sheet name="PRESTAMOS" sheetId="67" state="hidden" r:id="rId19"/>
    <sheet name="Egr.FODES 2%" sheetId="76" state="hidden" r:id="rId20"/>
    <sheet name="Dietas" sheetId="27" r:id="rId21"/>
    <sheet name="Salarios" sheetId="64" state="hidden" r:id="rId22"/>
    <sheet name="PLANILLA " sheetId="86" r:id="rId23"/>
    <sheet name="Planillas" sheetId="68" state="hidden" r:id="rId24"/>
    <sheet name="MORA TRIBUTARIA A 2021" sheetId="71" r:id="rId25"/>
  </sheets>
  <externalReferences>
    <externalReference r:id="rId26"/>
    <externalReference r:id="rId27"/>
    <externalReference r:id="rId28"/>
    <externalReference r:id="rId29"/>
  </externalReferences>
  <definedNames>
    <definedName name="_xlnm._FilterDatabase" localSheetId="8" hidden="1">'FONDOS FAM'!$A$9:$H$54</definedName>
    <definedName name="_xlnm.Print_Area" localSheetId="15">' Egrs75%FODES- PROY.SOCIALES'!$A$1:$H$53</definedName>
    <definedName name="_xlnm.Print_Area" localSheetId="20">Dietas!$A$1:$J$19</definedName>
    <definedName name="_xlnm.Print_Area" localSheetId="10">DONACIONES!$A$1:$H$20</definedName>
    <definedName name="_xlnm.Print_Area" localSheetId="7">'Egr. FODES LIBRE DISPONIBILIDAD'!$A$1:$H$72</definedName>
    <definedName name="_xlnm.Print_Area" localSheetId="19">'Egr.FODES 2%'!$A$1:$H$51</definedName>
    <definedName name="_xlnm.Print_Area" localSheetId="6">'EGRE FONDO COMUN'!$A$1:$AI$93</definedName>
    <definedName name="_xlnm.Print_Area" localSheetId="4">Egresos!$A$1:$J$169</definedName>
    <definedName name="_xlnm.Print_Area" localSheetId="0">Estructura!$A$1:$D$31</definedName>
    <definedName name="_xlnm.Print_Area" localSheetId="9">FAM!$A$1:$P$55</definedName>
    <definedName name="_xlnm.Print_Area" localSheetId="13">FISDL!$A$1:$H$18</definedName>
    <definedName name="_xlnm.Print_Area" localSheetId="11">'FONDOS GOES'!$A$1:$H$52</definedName>
    <definedName name="_xlnm.Print_Area" localSheetId="2">Ingresos!$A$1:$J$93</definedName>
    <definedName name="_xlnm.Print_Area" localSheetId="24">'MORA TRIBUTARIA A 2021'!$A$1:$N$18</definedName>
    <definedName name="_xlnm.Print_Area" localSheetId="14">'ok-Planillas 2023'!$A$1:$J$86</definedName>
    <definedName name="_xlnm.Print_Area" localSheetId="18">PRESTAMOS!$A$1:$H$27</definedName>
    <definedName name="_xlnm.Print_Area" localSheetId="17">'PROYECTOS GOES ESPECIFICOS '!$A$2:$C$57</definedName>
    <definedName name="_xlnm.Print_Area" localSheetId="16">'PROY-FODES75% QUE VIENEN 2021'!$A$1:$K$54</definedName>
    <definedName name="_xlnm.Print_Area" localSheetId="1">Rubros!$A$1:$C$29</definedName>
    <definedName name="_xlnm.Print_Area" localSheetId="5">'SALDO DE CUENTAS BANCARIAS'!$A$1:$I$199</definedName>
    <definedName name="_xlnm.Print_Titles" localSheetId="15">' Egrs75%FODES- PROY.SOCIALES'!$9:$10</definedName>
    <definedName name="_xlnm.Print_Titles" localSheetId="20">Dietas!$4:$6</definedName>
    <definedName name="_xlnm.Print_Titles" localSheetId="10">DONACIONES!$9:$10</definedName>
    <definedName name="_xlnm.Print_Titles" localSheetId="19">'Egr.FODES 2%'!$9:$10</definedName>
    <definedName name="_xlnm.Print_Titles" localSheetId="6">'EGRE FONDO COMUN'!$1:$9</definedName>
    <definedName name="_xlnm.Print_Titles" localSheetId="4">Egresos!$1:$8</definedName>
    <definedName name="_xlnm.Print_Titles" localSheetId="13">FISDL!$9:$10</definedName>
    <definedName name="_xlnm.Print_Titles" localSheetId="11">'FONDOS GOES'!$9:$10</definedName>
    <definedName name="_xlnm.Print_Titles" localSheetId="2">Ingresos!$1:$8</definedName>
    <definedName name="_xlnm.Print_Titles" localSheetId="14">'ok-Planillas 2023'!$4:$6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6" i="69" l="1"/>
  <c r="H106" i="69"/>
  <c r="G106" i="69"/>
  <c r="F106" i="69"/>
  <c r="E106" i="69"/>
  <c r="L8" i="69"/>
  <c r="I15" i="69"/>
  <c r="E33" i="69"/>
  <c r="E15" i="69"/>
  <c r="F7" i="69"/>
  <c r="G7" i="69"/>
  <c r="F8" i="69"/>
  <c r="F9" i="69"/>
  <c r="H8" i="69" l="1"/>
  <c r="H7" i="69"/>
  <c r="C85" i="69"/>
  <c r="C86" i="69" s="1"/>
  <c r="C34" i="69"/>
  <c r="C33" i="69"/>
  <c r="C15" i="69"/>
  <c r="H13" i="12"/>
  <c r="C14" i="65" s="1"/>
  <c r="H71" i="12"/>
  <c r="C135" i="65"/>
  <c r="C106" i="69"/>
  <c r="I35" i="69"/>
  <c r="I38" i="69"/>
  <c r="I84" i="69"/>
  <c r="I75" i="69"/>
  <c r="AG25" i="12"/>
  <c r="P12" i="89"/>
  <c r="L12" i="89"/>
  <c r="T73" i="20"/>
  <c r="T72" i="20"/>
  <c r="E34" i="69"/>
  <c r="E85" i="69"/>
  <c r="E86" i="69" s="1"/>
  <c r="E87" i="69" s="1"/>
  <c r="E90" i="69" s="1"/>
  <c r="H11" i="20" s="1"/>
  <c r="D11" i="65" s="1"/>
  <c r="D15" i="69"/>
  <c r="F13" i="89"/>
  <c r="H18" i="88" s="1"/>
  <c r="F12" i="89"/>
  <c r="N49" i="89"/>
  <c r="P49" i="89" s="1"/>
  <c r="H116" i="91"/>
  <c r="AG21" i="20" l="1"/>
  <c r="D20" i="93" l="1"/>
  <c r="D21" i="93" s="1"/>
  <c r="D22" i="93" s="1"/>
  <c r="AG28" i="12"/>
  <c r="G8" i="69"/>
  <c r="J30" i="20"/>
  <c r="Q30" i="20" s="1"/>
  <c r="F53" i="89"/>
  <c r="H54" i="88" s="1"/>
  <c r="H49" i="88"/>
  <c r="H50" i="88"/>
  <c r="H51" i="88"/>
  <c r="H52" i="88"/>
  <c r="H48" i="88"/>
  <c r="H45" i="88"/>
  <c r="H44" i="88"/>
  <c r="H41" i="88"/>
  <c r="H42" i="88"/>
  <c r="H35" i="88"/>
  <c r="H37" i="88"/>
  <c r="H38" i="88"/>
  <c r="H34" i="88"/>
  <c r="H28" i="88"/>
  <c r="H30" i="88"/>
  <c r="H31" i="88"/>
  <c r="H32" i="88"/>
  <c r="H27" i="88"/>
  <c r="H21" i="88"/>
  <c r="H22" i="88"/>
  <c r="H24" i="88"/>
  <c r="H25" i="88"/>
  <c r="H20" i="88"/>
  <c r="H53" i="88"/>
  <c r="P35" i="89"/>
  <c r="F31" i="89"/>
  <c r="J31" i="89" s="1"/>
  <c r="P31" i="89" s="1"/>
  <c r="F11" i="89"/>
  <c r="H16" i="88" s="1"/>
  <c r="F40" i="89"/>
  <c r="H46" i="88" s="1"/>
  <c r="F35" i="89"/>
  <c r="H40" i="88" s="1"/>
  <c r="F24" i="89"/>
  <c r="J24" i="89" s="1"/>
  <c r="P24" i="89" s="1"/>
  <c r="F18" i="89"/>
  <c r="H23" i="88" s="1"/>
  <c r="H4" i="89"/>
  <c r="H51" i="65"/>
  <c r="H50" i="65"/>
  <c r="H46" i="65"/>
  <c r="AE87" i="12"/>
  <c r="AG26" i="12"/>
  <c r="AG27" i="12"/>
  <c r="AG29" i="12"/>
  <c r="AG30" i="12"/>
  <c r="AG31" i="12"/>
  <c r="AG32" i="12"/>
  <c r="AG33" i="12"/>
  <c r="AG34" i="12"/>
  <c r="AG35" i="12"/>
  <c r="AG36" i="12"/>
  <c r="AG37" i="12"/>
  <c r="AG38" i="12"/>
  <c r="AG39" i="12"/>
  <c r="AG40" i="12"/>
  <c r="AG41" i="12"/>
  <c r="AG42" i="12"/>
  <c r="AG43" i="12"/>
  <c r="AG44" i="12"/>
  <c r="AG45" i="12"/>
  <c r="AG46" i="12"/>
  <c r="AG47" i="12"/>
  <c r="AG48" i="12"/>
  <c r="AG49" i="12"/>
  <c r="AG50" i="12"/>
  <c r="AG51" i="12"/>
  <c r="AG52" i="12"/>
  <c r="AG53" i="12"/>
  <c r="AG54" i="12"/>
  <c r="AG55" i="12"/>
  <c r="AG56" i="12"/>
  <c r="AG57" i="12"/>
  <c r="AG58" i="12"/>
  <c r="AG59" i="12"/>
  <c r="AG60" i="12"/>
  <c r="AG61" i="12"/>
  <c r="AG62" i="12"/>
  <c r="AG63" i="12"/>
  <c r="AG64" i="12"/>
  <c r="AG65" i="12"/>
  <c r="AG66" i="12"/>
  <c r="AG67" i="12"/>
  <c r="AG68" i="12"/>
  <c r="AG69" i="12"/>
  <c r="AG70" i="12"/>
  <c r="AG71" i="12"/>
  <c r="AG72" i="12"/>
  <c r="AG73" i="12"/>
  <c r="AG74" i="12"/>
  <c r="AG75" i="12"/>
  <c r="AG76" i="12"/>
  <c r="AG77" i="12"/>
  <c r="AG78" i="12"/>
  <c r="AG79" i="12"/>
  <c r="AG80" i="12"/>
  <c r="AG81" i="12"/>
  <c r="AG82" i="12"/>
  <c r="AG83" i="12"/>
  <c r="AG84" i="12"/>
  <c r="AG85" i="12"/>
  <c r="AG86" i="12"/>
  <c r="N54" i="89"/>
  <c r="P53" i="89"/>
  <c r="P44" i="89"/>
  <c r="P39" i="89"/>
  <c r="J16" i="89"/>
  <c r="L16" i="89" s="1"/>
  <c r="P4" i="89"/>
  <c r="F105" i="65" s="1"/>
  <c r="H13" i="80"/>
  <c r="E86" i="65" s="1"/>
  <c r="E160" i="65" s="1"/>
  <c r="H13" i="92"/>
  <c r="Q22" i="20"/>
  <c r="Q23" i="20"/>
  <c r="Q24" i="20"/>
  <c r="Q25" i="20"/>
  <c r="Q26" i="20"/>
  <c r="Q27" i="20"/>
  <c r="R27" i="20" s="1"/>
  <c r="Q28" i="20"/>
  <c r="Q29" i="20"/>
  <c r="Q31" i="20"/>
  <c r="Q32" i="20"/>
  <c r="Q33" i="20"/>
  <c r="Q34" i="20"/>
  <c r="Q35" i="20"/>
  <c r="Q36" i="20"/>
  <c r="Q37" i="20"/>
  <c r="Q38" i="20"/>
  <c r="Q39" i="20"/>
  <c r="Q40" i="20"/>
  <c r="Q41" i="20"/>
  <c r="Q42" i="20"/>
  <c r="Q43" i="20"/>
  <c r="Q44" i="20"/>
  <c r="Q45" i="20"/>
  <c r="Q46" i="20"/>
  <c r="Q47" i="20"/>
  <c r="Q48" i="20"/>
  <c r="Q49" i="20"/>
  <c r="Q50" i="20"/>
  <c r="Q51" i="20"/>
  <c r="Q52" i="20"/>
  <c r="Q53" i="20"/>
  <c r="Q54" i="20"/>
  <c r="Q55" i="20"/>
  <c r="Q56" i="20"/>
  <c r="Q57" i="20"/>
  <c r="Q58" i="20"/>
  <c r="Q59" i="20"/>
  <c r="Q60" i="20"/>
  <c r="Q61" i="20"/>
  <c r="Q62" i="20"/>
  <c r="Q63" i="20"/>
  <c r="R63" i="20" s="1"/>
  <c r="Q64" i="20"/>
  <c r="R64" i="20" s="1"/>
  <c r="Q65" i="20"/>
  <c r="Q66" i="20"/>
  <c r="Q67" i="20"/>
  <c r="R67" i="20" s="1"/>
  <c r="Q68" i="20"/>
  <c r="Q69" i="20"/>
  <c r="Q70" i="20"/>
  <c r="Q71" i="20"/>
  <c r="Q21" i="20"/>
  <c r="F103" i="91"/>
  <c r="I99" i="91" s="1"/>
  <c r="F162" i="91"/>
  <c r="H36" i="88" l="1"/>
  <c r="F86" i="65" s="1"/>
  <c r="H14" i="88"/>
  <c r="P16" i="89"/>
  <c r="H29" i="88"/>
  <c r="L24" i="89"/>
  <c r="AG87" i="12"/>
  <c r="S82" i="12"/>
  <c r="R87" i="12"/>
  <c r="S26" i="12"/>
  <c r="S27" i="12"/>
  <c r="S28" i="12"/>
  <c r="S29" i="12"/>
  <c r="S30" i="12"/>
  <c r="S31" i="12"/>
  <c r="S32" i="12"/>
  <c r="S33" i="12"/>
  <c r="S34" i="12"/>
  <c r="S35" i="12"/>
  <c r="S36" i="12"/>
  <c r="S37" i="12"/>
  <c r="S38" i="12"/>
  <c r="S39" i="12"/>
  <c r="S40" i="12"/>
  <c r="S41" i="12"/>
  <c r="S42" i="12"/>
  <c r="S43" i="12"/>
  <c r="S44" i="12"/>
  <c r="S45" i="12"/>
  <c r="S46" i="12"/>
  <c r="S47" i="12"/>
  <c r="S48" i="12"/>
  <c r="S49" i="12"/>
  <c r="S50" i="12"/>
  <c r="S51" i="12"/>
  <c r="S52" i="12"/>
  <c r="S53" i="12"/>
  <c r="S54" i="12"/>
  <c r="S55" i="12"/>
  <c r="S56" i="12"/>
  <c r="S57" i="12"/>
  <c r="S58" i="12"/>
  <c r="S59" i="12"/>
  <c r="S60" i="12"/>
  <c r="S61" i="12"/>
  <c r="S62" i="12"/>
  <c r="S63" i="12"/>
  <c r="S64" i="12"/>
  <c r="S65" i="12"/>
  <c r="S66" i="12"/>
  <c r="S67" i="12"/>
  <c r="S68" i="12"/>
  <c r="S69" i="12"/>
  <c r="S70" i="12"/>
  <c r="S71" i="12"/>
  <c r="S72" i="12"/>
  <c r="S73" i="12"/>
  <c r="S74" i="12"/>
  <c r="S75" i="12"/>
  <c r="S76" i="12"/>
  <c r="S77" i="12"/>
  <c r="S78" i="12"/>
  <c r="S79" i="12"/>
  <c r="S80" i="12"/>
  <c r="S81" i="12"/>
  <c r="S83" i="12"/>
  <c r="S84" i="12"/>
  <c r="S85" i="12"/>
  <c r="S86" i="12"/>
  <c r="S25" i="12"/>
  <c r="T25" i="12"/>
  <c r="H36" i="12"/>
  <c r="H49" i="12"/>
  <c r="H50" i="12"/>
  <c r="C99" i="65"/>
  <c r="AH25" i="12" l="1"/>
  <c r="I125" i="65"/>
  <c r="I113" i="65"/>
  <c r="I110" i="65" s="1"/>
  <c r="I62" i="65"/>
  <c r="I41" i="65"/>
  <c r="C45" i="16"/>
  <c r="E53" i="16"/>
  <c r="C53" i="16"/>
  <c r="E45" i="16"/>
  <c r="F73" i="16"/>
  <c r="E73" i="16"/>
  <c r="D73" i="16"/>
  <c r="Q87" i="12"/>
  <c r="I189" i="91"/>
  <c r="I193" i="91" s="1"/>
  <c r="I181" i="91"/>
  <c r="I184" i="91" s="1"/>
  <c r="I173" i="91"/>
  <c r="I120" i="91"/>
  <c r="I170" i="91"/>
  <c r="I167" i="91"/>
  <c r="H162" i="91"/>
  <c r="I143" i="91"/>
  <c r="I162" i="91" s="1"/>
  <c r="H15" i="92"/>
  <c r="D53" i="16"/>
  <c r="H133" i="91"/>
  <c r="H103" i="91"/>
  <c r="I89" i="91"/>
  <c r="I86" i="91"/>
  <c r="I83" i="91"/>
  <c r="H73" i="91"/>
  <c r="H79" i="91"/>
  <c r="H61" i="91"/>
  <c r="H54" i="91"/>
  <c r="F54" i="91"/>
  <c r="I51" i="91" s="1"/>
  <c r="I54" i="91" s="1"/>
  <c r="F18" i="91"/>
  <c r="I15" i="91" s="1"/>
  <c r="I22" i="91"/>
  <c r="I28" i="91"/>
  <c r="H29" i="91"/>
  <c r="I42" i="91"/>
  <c r="I39" i="91"/>
  <c r="I36" i="91"/>
  <c r="I33" i="91"/>
  <c r="AF72" i="20"/>
  <c r="AG38" i="20"/>
  <c r="E82" i="16" l="1"/>
  <c r="I176" i="91"/>
  <c r="H23" i="91"/>
  <c r="H18" i="91"/>
  <c r="H12" i="91"/>
  <c r="I103" i="91"/>
  <c r="F133" i="91"/>
  <c r="I131" i="91" s="1"/>
  <c r="I133" i="91" s="1"/>
  <c r="I135" i="91" s="1"/>
  <c r="F79" i="91"/>
  <c r="I78" i="91" s="1"/>
  <c r="F73" i="91"/>
  <c r="I66" i="91" s="1"/>
  <c r="I73" i="91" s="1"/>
  <c r="F60" i="91"/>
  <c r="F61" i="91" s="1"/>
  <c r="I59" i="91" s="1"/>
  <c r="I61" i="91" s="1"/>
  <c r="F111" i="91"/>
  <c r="F116" i="91" s="1"/>
  <c r="I108" i="91" s="1"/>
  <c r="I116" i="91" s="1"/>
  <c r="F29" i="91"/>
  <c r="I29" i="91" s="1"/>
  <c r="F23" i="91"/>
  <c r="F12" i="91"/>
  <c r="I7" i="91" s="1"/>
  <c r="I124" i="91" l="1"/>
  <c r="I79" i="91"/>
  <c r="I92" i="91" s="1"/>
  <c r="I23" i="91"/>
  <c r="I18" i="91"/>
  <c r="I12" i="91"/>
  <c r="I44" i="91" l="1"/>
  <c r="AG12" i="20"/>
  <c r="AH12" i="20" s="1"/>
  <c r="AG13" i="20"/>
  <c r="AH13" i="20" s="1"/>
  <c r="AG14" i="20"/>
  <c r="AH14" i="20" s="1"/>
  <c r="AG15" i="20"/>
  <c r="AH15" i="20" s="1"/>
  <c r="AG17" i="20"/>
  <c r="AH17" i="20" s="1"/>
  <c r="AG18" i="20"/>
  <c r="AH18" i="20" s="1"/>
  <c r="AG19" i="20"/>
  <c r="AH19" i="20" s="1"/>
  <c r="AG20" i="20"/>
  <c r="AH20" i="20" s="1"/>
  <c r="AG22" i="20"/>
  <c r="AG23" i="20"/>
  <c r="AG24" i="20"/>
  <c r="AG25" i="20"/>
  <c r="AG26" i="20"/>
  <c r="AG27" i="20"/>
  <c r="AH27" i="20" s="1"/>
  <c r="AG28" i="20"/>
  <c r="AG29" i="20"/>
  <c r="AG30" i="20"/>
  <c r="AG31" i="20"/>
  <c r="AG32" i="20"/>
  <c r="AG33" i="20"/>
  <c r="AG34" i="20"/>
  <c r="AG35" i="20"/>
  <c r="AG36" i="20"/>
  <c r="AG37" i="20"/>
  <c r="AG39" i="20"/>
  <c r="AG40" i="20"/>
  <c r="AG41" i="20"/>
  <c r="AG42" i="20"/>
  <c r="AG43" i="20"/>
  <c r="AG44" i="20"/>
  <c r="AG45" i="20"/>
  <c r="AG46" i="20"/>
  <c r="AG47" i="20"/>
  <c r="AG48" i="20"/>
  <c r="AG49" i="20"/>
  <c r="AG50" i="20"/>
  <c r="AG51" i="20"/>
  <c r="AG52" i="20"/>
  <c r="AG53" i="20"/>
  <c r="AG54" i="20"/>
  <c r="AG55" i="20"/>
  <c r="AG56" i="20"/>
  <c r="AG57" i="20"/>
  <c r="AG58" i="20"/>
  <c r="AG59" i="20"/>
  <c r="AG60" i="20"/>
  <c r="AG61" i="20"/>
  <c r="AG62" i="20"/>
  <c r="AG63" i="20"/>
  <c r="AH63" i="20" s="1"/>
  <c r="AG64" i="20"/>
  <c r="AG65" i="20"/>
  <c r="AG66" i="20"/>
  <c r="AG67" i="20"/>
  <c r="AH67" i="20" s="1"/>
  <c r="AG68" i="20"/>
  <c r="AG69" i="20"/>
  <c r="AG70" i="20"/>
  <c r="AG71" i="20"/>
  <c r="AG11" i="20"/>
  <c r="AH11" i="20" l="1"/>
  <c r="AG72" i="20"/>
  <c r="G76" i="16" a="1"/>
  <c r="G76" i="16" s="1"/>
  <c r="I197" i="91"/>
  <c r="AE72" i="20" l="1"/>
  <c r="AD72" i="20"/>
  <c r="AC72" i="20"/>
  <c r="AB72" i="20"/>
  <c r="AA72" i="20"/>
  <c r="Z72" i="20"/>
  <c r="AD87" i="12" l="1"/>
  <c r="AC87" i="12" l="1"/>
  <c r="AB87" i="12"/>
  <c r="Y72" i="20" l="1"/>
  <c r="X72" i="20"/>
  <c r="AA87" i="12"/>
  <c r="W72" i="20" l="1"/>
  <c r="Z87" i="12"/>
  <c r="V72" i="20"/>
  <c r="U72" i="20"/>
  <c r="Y87" i="12"/>
  <c r="X87" i="12"/>
  <c r="W87" i="12"/>
  <c r="S72" i="20"/>
  <c r="V87" i="12"/>
  <c r="U87" i="12"/>
  <c r="T89" i="12" l="1"/>
  <c r="Q12" i="20"/>
  <c r="Q13" i="20"/>
  <c r="Q14" i="20"/>
  <c r="Q15" i="20"/>
  <c r="Q17" i="20"/>
  <c r="Q18" i="20"/>
  <c r="Q19" i="20"/>
  <c r="Q20" i="20"/>
  <c r="R26" i="20"/>
  <c r="AH26" i="20" s="1"/>
  <c r="R39" i="20"/>
  <c r="AH39" i="20" s="1"/>
  <c r="R40" i="20"/>
  <c r="AH40" i="20" s="1"/>
  <c r="R41" i="20"/>
  <c r="AH41" i="20" s="1"/>
  <c r="R42" i="20"/>
  <c r="AH42" i="20" s="1"/>
  <c r="R45" i="20"/>
  <c r="AH45" i="20" s="1"/>
  <c r="R49" i="20"/>
  <c r="AH49" i="20" s="1"/>
  <c r="R52" i="20"/>
  <c r="AH52" i="20" s="1"/>
  <c r="R54" i="20"/>
  <c r="AH54" i="20" s="1"/>
  <c r="R55" i="20"/>
  <c r="AH55" i="20" s="1"/>
  <c r="R57" i="20"/>
  <c r="AH57" i="20" s="1"/>
  <c r="R58" i="20"/>
  <c r="AH58" i="20" s="1"/>
  <c r="R59" i="20"/>
  <c r="AH59" i="20" s="1"/>
  <c r="R60" i="20"/>
  <c r="AH60" i="20" s="1"/>
  <c r="R61" i="20"/>
  <c r="AH61" i="20" s="1"/>
  <c r="R62" i="20"/>
  <c r="AH62" i="20" s="1"/>
  <c r="AH64" i="20"/>
  <c r="R65" i="20"/>
  <c r="AH65" i="20" s="1"/>
  <c r="R66" i="20"/>
  <c r="AH66" i="20" s="1"/>
  <c r="R69" i="20"/>
  <c r="AH69" i="20" s="1"/>
  <c r="R71" i="20"/>
  <c r="AH71" i="20" s="1"/>
  <c r="Q11" i="20"/>
  <c r="S11" i="12"/>
  <c r="S12" i="12"/>
  <c r="S13" i="12"/>
  <c r="S14" i="12"/>
  <c r="S15" i="12"/>
  <c r="S16" i="12"/>
  <c r="S17" i="12"/>
  <c r="S18" i="12"/>
  <c r="S19" i="12"/>
  <c r="S20" i="12"/>
  <c r="S21" i="12"/>
  <c r="S22" i="12"/>
  <c r="S23" i="12"/>
  <c r="S24" i="12"/>
  <c r="T30" i="12"/>
  <c r="AH30" i="12" s="1"/>
  <c r="T35" i="12"/>
  <c r="AH35" i="12" s="1"/>
  <c r="T43" i="12"/>
  <c r="AH43" i="12" s="1"/>
  <c r="T44" i="12"/>
  <c r="AH44" i="12" s="1"/>
  <c r="T45" i="12"/>
  <c r="AH45" i="12" s="1"/>
  <c r="T46" i="12"/>
  <c r="AH46" i="12" s="1"/>
  <c r="T47" i="12"/>
  <c r="AH47" i="12" s="1"/>
  <c r="T51" i="12"/>
  <c r="AH51" i="12" s="1"/>
  <c r="T53" i="12"/>
  <c r="AH53" i="12" s="1"/>
  <c r="T54" i="12"/>
  <c r="AH54" i="12" s="1"/>
  <c r="T55" i="12"/>
  <c r="AH55" i="12" s="1"/>
  <c r="T56" i="12"/>
  <c r="AH56" i="12" s="1"/>
  <c r="T58" i="12"/>
  <c r="AH58" i="12" s="1"/>
  <c r="T59" i="12"/>
  <c r="AH59" i="12" s="1"/>
  <c r="T61" i="12"/>
  <c r="AH61" i="12" s="1"/>
  <c r="T62" i="12"/>
  <c r="AH62" i="12" s="1"/>
  <c r="T63" i="12"/>
  <c r="AH63" i="12" s="1"/>
  <c r="T65" i="12"/>
  <c r="AH65" i="12" s="1"/>
  <c r="T66" i="12"/>
  <c r="AH66" i="12" s="1"/>
  <c r="T67" i="12"/>
  <c r="AH67" i="12" s="1"/>
  <c r="T68" i="12"/>
  <c r="AH68" i="12" s="1"/>
  <c r="T70" i="12"/>
  <c r="AH70" i="12" s="1"/>
  <c r="T72" i="12"/>
  <c r="AH72" i="12" s="1"/>
  <c r="T73" i="12"/>
  <c r="AH73" i="12" s="1"/>
  <c r="T74" i="12"/>
  <c r="AH74" i="12" s="1"/>
  <c r="T76" i="12"/>
  <c r="AH76" i="12" s="1"/>
  <c r="T77" i="12"/>
  <c r="AH77" i="12" s="1"/>
  <c r="T78" i="12"/>
  <c r="AH78" i="12" s="1"/>
  <c r="T79" i="12"/>
  <c r="AH79" i="12" s="1"/>
  <c r="T80" i="12"/>
  <c r="AH80" i="12" s="1"/>
  <c r="T81" i="12"/>
  <c r="AH81" i="12" s="1"/>
  <c r="T82" i="12"/>
  <c r="AH82" i="12" s="1"/>
  <c r="T85" i="12"/>
  <c r="AH85" i="12" s="1"/>
  <c r="T86" i="12"/>
  <c r="AH86" i="12" s="1"/>
  <c r="S10" i="12"/>
  <c r="J76" i="16"/>
  <c r="J75" i="16"/>
  <c r="M72" i="20"/>
  <c r="L72" i="20"/>
  <c r="D100" i="65"/>
  <c r="K72" i="20"/>
  <c r="J72" i="20"/>
  <c r="D50" i="65"/>
  <c r="R30" i="20"/>
  <c r="AH30" i="20" s="1"/>
  <c r="S87" i="12" l="1"/>
  <c r="Q72" i="20"/>
  <c r="R29" i="20"/>
  <c r="AH29" i="20" s="1"/>
  <c r="O87" i="12"/>
  <c r="N87" i="12" l="1"/>
  <c r="M87" i="12"/>
  <c r="L87" i="12"/>
  <c r="L4" i="89" l="1"/>
  <c r="L5" i="89"/>
  <c r="L6" i="89"/>
  <c r="L8" i="89"/>
  <c r="L9" i="89"/>
  <c r="L10" i="89"/>
  <c r="L11" i="89"/>
  <c r="L13" i="89"/>
  <c r="L14" i="89"/>
  <c r="L15" i="89"/>
  <c r="L17" i="89"/>
  <c r="L18" i="89"/>
  <c r="L19" i="89"/>
  <c r="L20" i="89"/>
  <c r="L21" i="89"/>
  <c r="L22" i="89"/>
  <c r="L23" i="89"/>
  <c r="L26" i="89"/>
  <c r="L27" i="89"/>
  <c r="L28" i="89"/>
  <c r="L29" i="89"/>
  <c r="L30" i="89"/>
  <c r="L31" i="89"/>
  <c r="L32" i="89"/>
  <c r="L33" i="89"/>
  <c r="L34" i="89"/>
  <c r="L35" i="89"/>
  <c r="L36" i="89"/>
  <c r="L37" i="89"/>
  <c r="L38" i="89"/>
  <c r="L39" i="89"/>
  <c r="L40" i="89"/>
  <c r="L41" i="89"/>
  <c r="L42" i="89"/>
  <c r="L43" i="89"/>
  <c r="L44" i="89"/>
  <c r="L45" i="89"/>
  <c r="L46" i="89"/>
  <c r="L52" i="89"/>
  <c r="I72" i="20"/>
  <c r="J75" i="20" s="1"/>
  <c r="I87" i="12" l="1"/>
  <c r="P87" i="12" l="1"/>
  <c r="K87" i="12"/>
  <c r="J87" i="12"/>
  <c r="F59" i="65"/>
  <c r="F94" i="65"/>
  <c r="F88" i="65"/>
  <c r="F36" i="65"/>
  <c r="F33" i="65"/>
  <c r="F27" i="65"/>
  <c r="F24" i="65"/>
  <c r="F10" i="65"/>
  <c r="F126" i="65"/>
  <c r="F50" i="65"/>
  <c r="F51" i="65"/>
  <c r="F43" i="65"/>
  <c r="F45" i="65"/>
  <c r="F41" i="65"/>
  <c r="F62" i="65"/>
  <c r="F72" i="65"/>
  <c r="F9" i="89"/>
  <c r="F18" i="65"/>
  <c r="F17" i="65" s="1"/>
  <c r="L53" i="89"/>
  <c r="F122" i="65" l="1"/>
  <c r="J126" i="65"/>
  <c r="J90" i="12"/>
  <c r="F40" i="65"/>
  <c r="F9" i="65"/>
  <c r="F7" i="89"/>
  <c r="H11" i="88" s="1"/>
  <c r="F67" i="65" s="1"/>
  <c r="F8" i="89"/>
  <c r="H12" i="88" s="1"/>
  <c r="F68" i="65" s="1"/>
  <c r="H13" i="88"/>
  <c r="F70" i="65" s="1"/>
  <c r="F6" i="89"/>
  <c r="F102" i="65"/>
  <c r="R36" i="20"/>
  <c r="AH36" i="20" s="1"/>
  <c r="H33" i="20"/>
  <c r="R33" i="20" s="1"/>
  <c r="AH33" i="20" s="1"/>
  <c r="R31" i="20"/>
  <c r="AH31" i="20" s="1"/>
  <c r="R25" i="20"/>
  <c r="AH25" i="20" s="1"/>
  <c r="T84" i="12"/>
  <c r="AH84" i="12" s="1"/>
  <c r="T83" i="12"/>
  <c r="AH83" i="12" s="1"/>
  <c r="T71" i="12"/>
  <c r="AH71" i="12" s="1"/>
  <c r="T50" i="12"/>
  <c r="AH50" i="12" s="1"/>
  <c r="T49" i="12"/>
  <c r="AH49" i="12" s="1"/>
  <c r="T48" i="12"/>
  <c r="AH48" i="12" s="1"/>
  <c r="T42" i="12"/>
  <c r="AH42" i="12" s="1"/>
  <c r="H41" i="12"/>
  <c r="T41" i="12" s="1"/>
  <c r="AH41" i="12" s="1"/>
  <c r="H40" i="12"/>
  <c r="T40" i="12" s="1"/>
  <c r="AH40" i="12" s="1"/>
  <c r="T36" i="12"/>
  <c r="AH36" i="12" s="1"/>
  <c r="T34" i="12"/>
  <c r="AH34" i="12" s="1"/>
  <c r="T33" i="12"/>
  <c r="AH33" i="12" s="1"/>
  <c r="T32" i="12"/>
  <c r="AH32" i="12" s="1"/>
  <c r="T31" i="12"/>
  <c r="AH31" i="12" s="1"/>
  <c r="H56" i="20"/>
  <c r="R56" i="20" s="1"/>
  <c r="AH56" i="20" s="1"/>
  <c r="T75" i="12"/>
  <c r="AH75" i="12" s="1"/>
  <c r="H69" i="12"/>
  <c r="T69" i="12" s="1"/>
  <c r="AH69" i="12" s="1"/>
  <c r="H53" i="20"/>
  <c r="R53" i="20" s="1"/>
  <c r="AH53" i="20" s="1"/>
  <c r="H64" i="12"/>
  <c r="T64" i="12" s="1"/>
  <c r="AH64" i="12" s="1"/>
  <c r="C89" i="65"/>
  <c r="R51" i="20"/>
  <c r="AH51" i="20" s="1"/>
  <c r="R50" i="20"/>
  <c r="AH50" i="20" s="1"/>
  <c r="H60" i="12"/>
  <c r="T60" i="12" s="1"/>
  <c r="AH60" i="12" s="1"/>
  <c r="H10" i="88" l="1"/>
  <c r="J7" i="89"/>
  <c r="J54" i="89" s="1"/>
  <c r="D59" i="65"/>
  <c r="R35" i="20"/>
  <c r="AH35" i="20" s="1"/>
  <c r="R48" i="20"/>
  <c r="AH48" i="20" s="1"/>
  <c r="R47" i="20"/>
  <c r="AH47" i="20" s="1"/>
  <c r="H57" i="12"/>
  <c r="T57" i="12" s="1"/>
  <c r="AH57" i="12" s="1"/>
  <c r="H46" i="20"/>
  <c r="R46" i="20" s="1"/>
  <c r="AH46" i="20" s="1"/>
  <c r="H52" i="12"/>
  <c r="T52" i="12" s="1"/>
  <c r="AH52" i="12" s="1"/>
  <c r="P7" i="89" l="1"/>
  <c r="P54" i="89" s="1"/>
  <c r="L7" i="89"/>
  <c r="F66" i="65"/>
  <c r="F65" i="65" s="1"/>
  <c r="F160" i="65" s="1"/>
  <c r="H56" i="88"/>
  <c r="R43" i="20"/>
  <c r="AH43" i="20" s="1"/>
  <c r="H37" i="20"/>
  <c r="R37" i="20" s="1"/>
  <c r="AH37" i="20" s="1"/>
  <c r="H34" i="20"/>
  <c r="R34" i="20" s="1"/>
  <c r="AH34" i="20" s="1"/>
  <c r="H39" i="12"/>
  <c r="T39" i="12" s="1"/>
  <c r="AH39" i="12" s="1"/>
  <c r="T38" i="12"/>
  <c r="AH38" i="12" s="1"/>
  <c r="R32" i="20"/>
  <c r="AH32" i="20" s="1"/>
  <c r="T37" i="12"/>
  <c r="AH37" i="12" s="1"/>
  <c r="R28" i="20"/>
  <c r="AH28" i="20" s="1"/>
  <c r="T29" i="12"/>
  <c r="AH29" i="12" s="1"/>
  <c r="H24" i="20"/>
  <c r="R24" i="20" s="1"/>
  <c r="AH24" i="20" s="1"/>
  <c r="T28" i="12"/>
  <c r="AH28" i="12" s="1"/>
  <c r="T27" i="12"/>
  <c r="AH27" i="12" s="1"/>
  <c r="T26" i="12"/>
  <c r="R22" i="20"/>
  <c r="AH22" i="20" s="1"/>
  <c r="F61" i="16"/>
  <c r="R21" i="20"/>
  <c r="AH21" i="20" s="1"/>
  <c r="C79" i="16"/>
  <c r="N28" i="71"/>
  <c r="M28" i="71"/>
  <c r="L28" i="71"/>
  <c r="K28" i="71"/>
  <c r="J28" i="71"/>
  <c r="I28" i="71"/>
  <c r="H28" i="71"/>
  <c r="G28" i="71"/>
  <c r="F28" i="71"/>
  <c r="E28" i="71"/>
  <c r="D28" i="71"/>
  <c r="C28" i="71"/>
  <c r="O27" i="71"/>
  <c r="O26" i="71"/>
  <c r="O25" i="71"/>
  <c r="O24" i="71"/>
  <c r="O23" i="71"/>
  <c r="O22" i="71"/>
  <c r="O21" i="71"/>
  <c r="F95" i="69"/>
  <c r="C129" i="69"/>
  <c r="D128" i="69"/>
  <c r="D129" i="69" s="1"/>
  <c r="H151" i="20" s="1"/>
  <c r="C123" i="69"/>
  <c r="D122" i="69"/>
  <c r="D121" i="69"/>
  <c r="D116" i="69"/>
  <c r="D115" i="69"/>
  <c r="C117" i="69"/>
  <c r="C107" i="69"/>
  <c r="D85" i="69"/>
  <c r="D33" i="69"/>
  <c r="H105" i="69"/>
  <c r="H104" i="69"/>
  <c r="H98" i="69"/>
  <c r="H99" i="69"/>
  <c r="H100" i="69"/>
  <c r="H101" i="69"/>
  <c r="H102" i="69"/>
  <c r="H97" i="69"/>
  <c r="H95" i="69"/>
  <c r="I95" i="69"/>
  <c r="F105" i="69"/>
  <c r="F104" i="69"/>
  <c r="F98" i="69"/>
  <c r="F99" i="69"/>
  <c r="F100" i="69"/>
  <c r="F101" i="69"/>
  <c r="F102" i="69"/>
  <c r="F97" i="69"/>
  <c r="G105" i="69"/>
  <c r="G104" i="69"/>
  <c r="G97" i="69"/>
  <c r="G102" i="69"/>
  <c r="G101" i="69"/>
  <c r="G100" i="69"/>
  <c r="G99" i="69"/>
  <c r="G98" i="69"/>
  <c r="G95" i="69"/>
  <c r="AH26" i="12" l="1"/>
  <c r="AH87" i="12" s="1"/>
  <c r="T87" i="12"/>
  <c r="C108" i="69"/>
  <c r="H13" i="20" s="1"/>
  <c r="C109" i="69"/>
  <c r="H12" i="12" s="1"/>
  <c r="D62" i="65"/>
  <c r="R38" i="20"/>
  <c r="AH38" i="20" s="1"/>
  <c r="D44" i="65"/>
  <c r="R23" i="20"/>
  <c r="AH23" i="20" s="1"/>
  <c r="D75" i="65"/>
  <c r="R44" i="20"/>
  <c r="AH44" i="20" s="1"/>
  <c r="O28" i="71"/>
  <c r="D123" i="69"/>
  <c r="H16" i="12" s="1"/>
  <c r="C19" i="65" s="1"/>
  <c r="D117" i="69"/>
  <c r="H15" i="20" s="1"/>
  <c r="J95" i="69"/>
  <c r="D34" i="69"/>
  <c r="D86" i="69" s="1"/>
  <c r="H11" i="12" s="1"/>
  <c r="H36" i="69"/>
  <c r="H37" i="69"/>
  <c r="H38" i="69"/>
  <c r="H39" i="69"/>
  <c r="H40" i="69"/>
  <c r="H41" i="69"/>
  <c r="H42" i="69"/>
  <c r="H43" i="69"/>
  <c r="H44" i="69"/>
  <c r="H45" i="69"/>
  <c r="H46" i="69"/>
  <c r="H47" i="69"/>
  <c r="H48" i="69"/>
  <c r="H49" i="69"/>
  <c r="H50" i="69"/>
  <c r="H51" i="69"/>
  <c r="H52" i="69"/>
  <c r="H53" i="69"/>
  <c r="H54" i="69"/>
  <c r="H55" i="69"/>
  <c r="H56" i="69"/>
  <c r="H57" i="69"/>
  <c r="H58" i="69"/>
  <c r="H59" i="69"/>
  <c r="H60" i="69"/>
  <c r="H61" i="69"/>
  <c r="H62" i="69"/>
  <c r="H63" i="69"/>
  <c r="H64" i="69"/>
  <c r="H65" i="69"/>
  <c r="H66" i="69"/>
  <c r="H67" i="69"/>
  <c r="H68" i="69"/>
  <c r="H69" i="69"/>
  <c r="H70" i="69"/>
  <c r="H71" i="69"/>
  <c r="H72" i="69"/>
  <c r="H73" i="69"/>
  <c r="H74" i="69"/>
  <c r="H75" i="69"/>
  <c r="H76" i="69"/>
  <c r="H77" i="69"/>
  <c r="H78" i="69"/>
  <c r="H79" i="69"/>
  <c r="H80" i="69"/>
  <c r="H81" i="69"/>
  <c r="H82" i="69"/>
  <c r="H83" i="69"/>
  <c r="H84" i="69"/>
  <c r="H35" i="69"/>
  <c r="F36" i="69"/>
  <c r="G36" i="69"/>
  <c r="I36" i="69"/>
  <c r="F37" i="69"/>
  <c r="G37" i="69"/>
  <c r="I37" i="69"/>
  <c r="F38" i="69"/>
  <c r="G38" i="69"/>
  <c r="F39" i="69"/>
  <c r="G39" i="69"/>
  <c r="I39" i="69"/>
  <c r="F40" i="69"/>
  <c r="G40" i="69"/>
  <c r="I40" i="69"/>
  <c r="F41" i="69"/>
  <c r="G41" i="69"/>
  <c r="I41" i="69"/>
  <c r="F42" i="69"/>
  <c r="G42" i="69"/>
  <c r="I42" i="69"/>
  <c r="F43" i="69"/>
  <c r="G43" i="69"/>
  <c r="I43" i="69"/>
  <c r="F44" i="69"/>
  <c r="G44" i="69"/>
  <c r="I44" i="69"/>
  <c r="F45" i="69"/>
  <c r="G45" i="69"/>
  <c r="I45" i="69"/>
  <c r="F46" i="69"/>
  <c r="G46" i="69"/>
  <c r="I46" i="69"/>
  <c r="F47" i="69"/>
  <c r="G47" i="69"/>
  <c r="I47" i="69"/>
  <c r="F48" i="69"/>
  <c r="G48" i="69"/>
  <c r="I48" i="69"/>
  <c r="F49" i="69"/>
  <c r="G49" i="69"/>
  <c r="I49" i="69"/>
  <c r="F50" i="69"/>
  <c r="G50" i="69"/>
  <c r="I50" i="69"/>
  <c r="F51" i="69"/>
  <c r="G51" i="69"/>
  <c r="I51" i="69"/>
  <c r="F52" i="69"/>
  <c r="G52" i="69"/>
  <c r="I52" i="69"/>
  <c r="F53" i="69"/>
  <c r="G53" i="69"/>
  <c r="I53" i="69"/>
  <c r="F54" i="69"/>
  <c r="G54" i="69"/>
  <c r="I54" i="69"/>
  <c r="F55" i="69"/>
  <c r="G55" i="69"/>
  <c r="I55" i="69"/>
  <c r="F56" i="69"/>
  <c r="G56" i="69"/>
  <c r="I56" i="69"/>
  <c r="F57" i="69"/>
  <c r="G57" i="69"/>
  <c r="I57" i="69"/>
  <c r="F58" i="69"/>
  <c r="G58" i="69"/>
  <c r="I58" i="69"/>
  <c r="F59" i="69"/>
  <c r="G59" i="69"/>
  <c r="I59" i="69"/>
  <c r="F60" i="69"/>
  <c r="G60" i="69"/>
  <c r="I60" i="69"/>
  <c r="F61" i="69"/>
  <c r="G61" i="69"/>
  <c r="I61" i="69"/>
  <c r="F62" i="69"/>
  <c r="G62" i="69"/>
  <c r="I62" i="69"/>
  <c r="F63" i="69"/>
  <c r="G63" i="69"/>
  <c r="I63" i="69"/>
  <c r="F64" i="69"/>
  <c r="G64" i="69"/>
  <c r="I64" i="69"/>
  <c r="F65" i="69"/>
  <c r="G65" i="69"/>
  <c r="I65" i="69"/>
  <c r="F66" i="69"/>
  <c r="G66" i="69"/>
  <c r="I66" i="69"/>
  <c r="F67" i="69"/>
  <c r="G67" i="69"/>
  <c r="I67" i="69"/>
  <c r="F68" i="69"/>
  <c r="G68" i="69"/>
  <c r="I68" i="69"/>
  <c r="F69" i="69"/>
  <c r="G69" i="69"/>
  <c r="I69" i="69"/>
  <c r="F70" i="69"/>
  <c r="G70" i="69"/>
  <c r="I70" i="69"/>
  <c r="F71" i="69"/>
  <c r="G71" i="69"/>
  <c r="I71" i="69"/>
  <c r="F72" i="69"/>
  <c r="G72" i="69"/>
  <c r="I72" i="69"/>
  <c r="F73" i="69"/>
  <c r="G73" i="69"/>
  <c r="I73" i="69"/>
  <c r="F74" i="69"/>
  <c r="G74" i="69"/>
  <c r="I74" i="69"/>
  <c r="F75" i="69"/>
  <c r="G75" i="69"/>
  <c r="F76" i="69"/>
  <c r="G76" i="69"/>
  <c r="I76" i="69"/>
  <c r="F77" i="69"/>
  <c r="G77" i="69"/>
  <c r="I77" i="69"/>
  <c r="F78" i="69"/>
  <c r="G78" i="69"/>
  <c r="I78" i="69"/>
  <c r="F79" i="69"/>
  <c r="G79" i="69"/>
  <c r="I79" i="69"/>
  <c r="F80" i="69"/>
  <c r="G80" i="69"/>
  <c r="I80" i="69"/>
  <c r="F81" i="69"/>
  <c r="G81" i="69"/>
  <c r="I81" i="69"/>
  <c r="F82" i="69"/>
  <c r="G82" i="69"/>
  <c r="I82" i="69"/>
  <c r="F83" i="69"/>
  <c r="G83" i="69"/>
  <c r="I83" i="69"/>
  <c r="F84" i="69"/>
  <c r="J84" i="69" s="1"/>
  <c r="G84" i="69"/>
  <c r="G35" i="69"/>
  <c r="F35" i="69"/>
  <c r="F85" i="69" s="1"/>
  <c r="E82" i="86"/>
  <c r="R81" i="86"/>
  <c r="L81" i="86"/>
  <c r="J81" i="86"/>
  <c r="I81" i="86"/>
  <c r="H81" i="86"/>
  <c r="G81" i="86"/>
  <c r="R80" i="86"/>
  <c r="G80" i="86"/>
  <c r="M80" i="86" s="1"/>
  <c r="R79" i="86"/>
  <c r="G79" i="86"/>
  <c r="K79" i="86" s="1"/>
  <c r="R78" i="86"/>
  <c r="G78" i="86"/>
  <c r="M78" i="86" s="1"/>
  <c r="R77" i="86"/>
  <c r="G77" i="86"/>
  <c r="K77" i="86" s="1"/>
  <c r="R76" i="86"/>
  <c r="G76" i="86"/>
  <c r="O76" i="86" s="1"/>
  <c r="Q76" i="86" s="1"/>
  <c r="R75" i="86"/>
  <c r="G75" i="86"/>
  <c r="N75" i="86" s="1"/>
  <c r="R74" i="86"/>
  <c r="M74" i="86"/>
  <c r="L74" i="86"/>
  <c r="J74" i="86"/>
  <c r="I74" i="86"/>
  <c r="H74" i="86"/>
  <c r="G74" i="86"/>
  <c r="R73" i="86"/>
  <c r="M73" i="86"/>
  <c r="L73" i="86"/>
  <c r="J73" i="86"/>
  <c r="I73" i="86"/>
  <c r="H73" i="86"/>
  <c r="R72" i="86"/>
  <c r="M72" i="86"/>
  <c r="K72" i="86"/>
  <c r="J72" i="86"/>
  <c r="I72" i="86"/>
  <c r="H72" i="86"/>
  <c r="G72" i="86"/>
  <c r="R71" i="86"/>
  <c r="M71" i="86"/>
  <c r="L71" i="86"/>
  <c r="J71" i="86"/>
  <c r="I71" i="86"/>
  <c r="H71" i="86"/>
  <c r="G71" i="86"/>
  <c r="R70" i="86"/>
  <c r="G70" i="86"/>
  <c r="M70" i="86" s="1"/>
  <c r="R69" i="86"/>
  <c r="M69" i="86"/>
  <c r="K69" i="86"/>
  <c r="J69" i="86"/>
  <c r="I69" i="86"/>
  <c r="H69" i="86"/>
  <c r="G69" i="86"/>
  <c r="R68" i="86"/>
  <c r="M68" i="86"/>
  <c r="K68" i="86"/>
  <c r="J68" i="86"/>
  <c r="I68" i="86"/>
  <c r="H68" i="86"/>
  <c r="R67" i="86"/>
  <c r="M67" i="86"/>
  <c r="L67" i="86"/>
  <c r="J67" i="86"/>
  <c r="I67" i="86"/>
  <c r="H67" i="86"/>
  <c r="G67" i="86"/>
  <c r="R66" i="86"/>
  <c r="M66" i="86"/>
  <c r="L66" i="86"/>
  <c r="J66" i="86"/>
  <c r="I66" i="86"/>
  <c r="H66" i="86"/>
  <c r="G66" i="86"/>
  <c r="R65" i="86"/>
  <c r="M65" i="86"/>
  <c r="K65" i="86"/>
  <c r="J65" i="86"/>
  <c r="I65" i="86"/>
  <c r="H65" i="86"/>
  <c r="G65" i="86"/>
  <c r="R64" i="86"/>
  <c r="G64" i="86"/>
  <c r="L64" i="86" s="1"/>
  <c r="R63" i="86"/>
  <c r="J63" i="86"/>
  <c r="I63" i="86"/>
  <c r="H63" i="86"/>
  <c r="G63" i="86"/>
  <c r="M63" i="86" s="1"/>
  <c r="R62" i="86"/>
  <c r="N62" i="86"/>
  <c r="P62" i="86" s="1"/>
  <c r="J62" i="86"/>
  <c r="I62" i="86"/>
  <c r="H62" i="86"/>
  <c r="G62" i="86"/>
  <c r="R61" i="86"/>
  <c r="M61" i="86"/>
  <c r="L61" i="86"/>
  <c r="J61" i="86"/>
  <c r="I61" i="86"/>
  <c r="H61" i="86"/>
  <c r="G61" i="86"/>
  <c r="R60" i="86"/>
  <c r="M60" i="86"/>
  <c r="L60" i="86"/>
  <c r="J60" i="86"/>
  <c r="I60" i="86"/>
  <c r="H60" i="86"/>
  <c r="G60" i="86"/>
  <c r="R59" i="86"/>
  <c r="J59" i="86"/>
  <c r="I59" i="86"/>
  <c r="H59" i="86"/>
  <c r="G59" i="86"/>
  <c r="R58" i="86"/>
  <c r="M58" i="86"/>
  <c r="L58" i="86"/>
  <c r="J58" i="86"/>
  <c r="I58" i="86"/>
  <c r="H58" i="86"/>
  <c r="G58" i="86"/>
  <c r="R57" i="86"/>
  <c r="M57" i="86"/>
  <c r="L57" i="86"/>
  <c r="J57" i="86"/>
  <c r="I57" i="86"/>
  <c r="H57" i="86"/>
  <c r="G57" i="86"/>
  <c r="R56" i="86"/>
  <c r="M56" i="86"/>
  <c r="L56" i="86"/>
  <c r="J56" i="86"/>
  <c r="I56" i="86"/>
  <c r="H56" i="86"/>
  <c r="G56" i="86"/>
  <c r="R55" i="86"/>
  <c r="M55" i="86"/>
  <c r="L55" i="86"/>
  <c r="J55" i="86"/>
  <c r="I55" i="86"/>
  <c r="H55" i="86"/>
  <c r="G55" i="86"/>
  <c r="R54" i="86"/>
  <c r="M54" i="86"/>
  <c r="L54" i="86"/>
  <c r="J54" i="86"/>
  <c r="I54" i="86"/>
  <c r="H54" i="86"/>
  <c r="G54" i="86"/>
  <c r="R53" i="86"/>
  <c r="M53" i="86"/>
  <c r="K53" i="86"/>
  <c r="J53" i="86"/>
  <c r="I53" i="86"/>
  <c r="H53" i="86"/>
  <c r="G53" i="86"/>
  <c r="P50" i="86"/>
  <c r="N50" i="86"/>
  <c r="F50" i="86"/>
  <c r="R49" i="86"/>
  <c r="M49" i="86"/>
  <c r="L49" i="86"/>
  <c r="J49" i="86"/>
  <c r="I49" i="86"/>
  <c r="H49" i="86"/>
  <c r="G49" i="86"/>
  <c r="R48" i="86"/>
  <c r="M48" i="86"/>
  <c r="K48" i="86"/>
  <c r="J48" i="86"/>
  <c r="I48" i="86"/>
  <c r="H48" i="86"/>
  <c r="G48" i="86"/>
  <c r="R47" i="86"/>
  <c r="M47" i="86"/>
  <c r="L47" i="86"/>
  <c r="J47" i="86"/>
  <c r="I47" i="86"/>
  <c r="H47" i="86"/>
  <c r="G47" i="86"/>
  <c r="R46" i="86"/>
  <c r="M46" i="86"/>
  <c r="L46" i="86"/>
  <c r="J46" i="86"/>
  <c r="I46" i="86"/>
  <c r="H46" i="86"/>
  <c r="G46" i="86"/>
  <c r="R45" i="86"/>
  <c r="M45" i="86"/>
  <c r="L45" i="86"/>
  <c r="J45" i="86"/>
  <c r="I45" i="86"/>
  <c r="H45" i="86"/>
  <c r="G45" i="86"/>
  <c r="R44" i="86"/>
  <c r="M44" i="86"/>
  <c r="L44" i="86"/>
  <c r="J44" i="86"/>
  <c r="I44" i="86"/>
  <c r="H44" i="86"/>
  <c r="G44" i="86"/>
  <c r="R43" i="86"/>
  <c r="M43" i="86"/>
  <c r="K43" i="86"/>
  <c r="J43" i="86"/>
  <c r="I43" i="86"/>
  <c r="H43" i="86"/>
  <c r="G43" i="86"/>
  <c r="R42" i="86"/>
  <c r="M42" i="86"/>
  <c r="K42" i="86"/>
  <c r="J42" i="86"/>
  <c r="I42" i="86"/>
  <c r="H42" i="86"/>
  <c r="G42" i="86"/>
  <c r="R41" i="86"/>
  <c r="E41" i="86"/>
  <c r="L41" i="86" s="1"/>
  <c r="R40" i="86"/>
  <c r="E40" i="86"/>
  <c r="L40" i="86" s="1"/>
  <c r="R39" i="86"/>
  <c r="M39" i="86"/>
  <c r="K39" i="86"/>
  <c r="J39" i="86"/>
  <c r="I39" i="86"/>
  <c r="H39" i="86"/>
  <c r="G39" i="86"/>
  <c r="R38" i="86"/>
  <c r="M38" i="86"/>
  <c r="L38" i="86"/>
  <c r="J38" i="86"/>
  <c r="I38" i="86"/>
  <c r="H38" i="86"/>
  <c r="G38" i="86"/>
  <c r="R37" i="86"/>
  <c r="M37" i="86"/>
  <c r="L37" i="86"/>
  <c r="J37" i="86"/>
  <c r="I37" i="86"/>
  <c r="H37" i="86"/>
  <c r="G37" i="86"/>
  <c r="P35" i="86"/>
  <c r="N35" i="86"/>
  <c r="F35" i="86"/>
  <c r="R34" i="86"/>
  <c r="M34" i="86"/>
  <c r="K34" i="86"/>
  <c r="J34" i="86"/>
  <c r="I34" i="86"/>
  <c r="H34" i="86"/>
  <c r="G34" i="86"/>
  <c r="R33" i="86"/>
  <c r="M33" i="86"/>
  <c r="K33" i="86"/>
  <c r="J33" i="86"/>
  <c r="I33" i="86"/>
  <c r="H33" i="86"/>
  <c r="G33" i="86"/>
  <c r="R32" i="86"/>
  <c r="E32" i="86"/>
  <c r="E35" i="86" s="1"/>
  <c r="R31" i="86"/>
  <c r="M31" i="86"/>
  <c r="L31" i="86"/>
  <c r="J31" i="86"/>
  <c r="I31" i="86"/>
  <c r="H31" i="86"/>
  <c r="G31" i="86"/>
  <c r="R30" i="86"/>
  <c r="M30" i="86"/>
  <c r="K30" i="86"/>
  <c r="J30" i="86"/>
  <c r="I30" i="86"/>
  <c r="H30" i="86"/>
  <c r="G30" i="86"/>
  <c r="R29" i="86"/>
  <c r="M29" i="86"/>
  <c r="J29" i="86"/>
  <c r="I29" i="86"/>
  <c r="H29" i="86"/>
  <c r="G29" i="86"/>
  <c r="K29" i="86" s="1"/>
  <c r="R28" i="86"/>
  <c r="M28" i="86"/>
  <c r="L28" i="86"/>
  <c r="J28" i="86"/>
  <c r="I28" i="86"/>
  <c r="H28" i="86"/>
  <c r="G28" i="86"/>
  <c r="R27" i="86"/>
  <c r="M27" i="86"/>
  <c r="L27" i="86"/>
  <c r="J27" i="86"/>
  <c r="I27" i="86"/>
  <c r="H27" i="86"/>
  <c r="G27" i="86"/>
  <c r="R26" i="86"/>
  <c r="M26" i="86"/>
  <c r="K26" i="86"/>
  <c r="J26" i="86"/>
  <c r="I26" i="86"/>
  <c r="H26" i="86"/>
  <c r="G26" i="86"/>
  <c r="R25" i="86"/>
  <c r="M25" i="86"/>
  <c r="K25" i="86"/>
  <c r="J25" i="86"/>
  <c r="I25" i="86"/>
  <c r="H25" i="86"/>
  <c r="G25" i="86"/>
  <c r="R24" i="86"/>
  <c r="J24" i="86"/>
  <c r="H24" i="86"/>
  <c r="G24" i="86"/>
  <c r="M24" i="86" s="1"/>
  <c r="R23" i="86"/>
  <c r="M23" i="86"/>
  <c r="K23" i="86"/>
  <c r="J23" i="86"/>
  <c r="I23" i="86"/>
  <c r="H23" i="86"/>
  <c r="G23" i="86"/>
  <c r="R22" i="86"/>
  <c r="M22" i="86"/>
  <c r="K22" i="86"/>
  <c r="J22" i="86"/>
  <c r="I22" i="86"/>
  <c r="H22" i="86"/>
  <c r="R21" i="86"/>
  <c r="J21" i="86"/>
  <c r="I21" i="86"/>
  <c r="H21" i="86"/>
  <c r="G21" i="86"/>
  <c r="L21" i="86" s="1"/>
  <c r="R20" i="86"/>
  <c r="M20" i="86"/>
  <c r="L20" i="86"/>
  <c r="J20" i="86"/>
  <c r="I20" i="86"/>
  <c r="H20" i="86"/>
  <c r="G20" i="86"/>
  <c r="R19" i="86"/>
  <c r="M19" i="86"/>
  <c r="K19" i="86"/>
  <c r="J19" i="86"/>
  <c r="I19" i="86"/>
  <c r="H19" i="86"/>
  <c r="G19" i="86"/>
  <c r="P17" i="86"/>
  <c r="N17" i="86"/>
  <c r="F17" i="86"/>
  <c r="E17" i="86"/>
  <c r="R16" i="86"/>
  <c r="M16" i="86"/>
  <c r="G16" i="86"/>
  <c r="J16" i="86" s="1"/>
  <c r="R15" i="86"/>
  <c r="M15" i="86"/>
  <c r="L15" i="86"/>
  <c r="O15" i="86" s="1"/>
  <c r="Q15" i="86" s="1"/>
  <c r="J15" i="86"/>
  <c r="R14" i="86"/>
  <c r="J14" i="86"/>
  <c r="I14" i="86"/>
  <c r="H14" i="86"/>
  <c r="G14" i="86"/>
  <c r="K14" i="86" s="1"/>
  <c r="R13" i="86"/>
  <c r="J13" i="86"/>
  <c r="I13" i="86"/>
  <c r="H13" i="86"/>
  <c r="G13" i="86"/>
  <c r="K13" i="86" s="1"/>
  <c r="R12" i="86"/>
  <c r="J12" i="86"/>
  <c r="H12" i="86"/>
  <c r="G12" i="86"/>
  <c r="L12" i="86" s="1"/>
  <c r="R11" i="86"/>
  <c r="M11" i="86"/>
  <c r="G11" i="86"/>
  <c r="K11" i="86" s="1"/>
  <c r="R10" i="86"/>
  <c r="G10" i="86"/>
  <c r="F18" i="69"/>
  <c r="G18" i="69"/>
  <c r="H18" i="69"/>
  <c r="I18" i="69"/>
  <c r="F19" i="69"/>
  <c r="G19" i="69"/>
  <c r="H19" i="69"/>
  <c r="I19" i="69"/>
  <c r="F20" i="69"/>
  <c r="G20" i="69"/>
  <c r="H20" i="69"/>
  <c r="I20" i="69"/>
  <c r="F21" i="69"/>
  <c r="G21" i="69"/>
  <c r="H21" i="69"/>
  <c r="I21" i="69"/>
  <c r="F22" i="69"/>
  <c r="G22" i="69"/>
  <c r="H22" i="69"/>
  <c r="I22" i="69"/>
  <c r="F23" i="69"/>
  <c r="G23" i="69"/>
  <c r="H23" i="69"/>
  <c r="I23" i="69"/>
  <c r="F24" i="69"/>
  <c r="G24" i="69"/>
  <c r="H24" i="69"/>
  <c r="I24" i="69"/>
  <c r="F25" i="69"/>
  <c r="G25" i="69"/>
  <c r="H25" i="69"/>
  <c r="I25" i="69"/>
  <c r="F26" i="69"/>
  <c r="G26" i="69"/>
  <c r="H26" i="69"/>
  <c r="I26" i="69"/>
  <c r="F27" i="69"/>
  <c r="G27" i="69"/>
  <c r="H27" i="69"/>
  <c r="I27" i="69"/>
  <c r="F28" i="69"/>
  <c r="G28" i="69"/>
  <c r="H28" i="69"/>
  <c r="I28" i="69"/>
  <c r="F29" i="69"/>
  <c r="G29" i="69"/>
  <c r="H29" i="69"/>
  <c r="I29" i="69"/>
  <c r="F30" i="69"/>
  <c r="G30" i="69"/>
  <c r="H30" i="69"/>
  <c r="I30" i="69"/>
  <c r="F31" i="69"/>
  <c r="G31" i="69"/>
  <c r="H31" i="69"/>
  <c r="I31" i="69"/>
  <c r="F32" i="69"/>
  <c r="G32" i="69"/>
  <c r="H32" i="69"/>
  <c r="I32" i="69"/>
  <c r="I17" i="69"/>
  <c r="H17" i="69"/>
  <c r="G17" i="69"/>
  <c r="F17" i="69"/>
  <c r="F33" i="69" s="1"/>
  <c r="I9" i="69"/>
  <c r="I10" i="69"/>
  <c r="I11" i="69"/>
  <c r="I12" i="69"/>
  <c r="I13" i="69"/>
  <c r="I14" i="69"/>
  <c r="I8" i="69"/>
  <c r="H9" i="69"/>
  <c r="H10" i="69"/>
  <c r="H11" i="69"/>
  <c r="H12" i="69"/>
  <c r="H13" i="69"/>
  <c r="H14" i="69"/>
  <c r="G9" i="69"/>
  <c r="G10" i="69"/>
  <c r="G11" i="69"/>
  <c r="G12" i="69"/>
  <c r="G13" i="69"/>
  <c r="G14" i="69"/>
  <c r="F10" i="69"/>
  <c r="F11" i="69"/>
  <c r="F12" i="69"/>
  <c r="F13" i="69"/>
  <c r="F14" i="69"/>
  <c r="I7" i="69"/>
  <c r="G15" i="69" l="1"/>
  <c r="H33" i="69"/>
  <c r="G85" i="69"/>
  <c r="H15" i="69"/>
  <c r="J7" i="69"/>
  <c r="F15" i="69"/>
  <c r="H14" i="12"/>
  <c r="C15" i="65" s="1"/>
  <c r="O57" i="86"/>
  <c r="Q57" i="86" s="1"/>
  <c r="S57" i="86" s="1"/>
  <c r="T57" i="86" s="1"/>
  <c r="S81" i="86"/>
  <c r="T81" i="86" s="1"/>
  <c r="O38" i="86"/>
  <c r="Q38" i="86" s="1"/>
  <c r="S38" i="86" s="1"/>
  <c r="T38" i="86" s="1"/>
  <c r="C110" i="69"/>
  <c r="O67" i="86"/>
  <c r="Q67" i="86" s="1"/>
  <c r="S67" i="86" s="1"/>
  <c r="T67" i="86" s="1"/>
  <c r="O31" i="86"/>
  <c r="Q31" i="86" s="1"/>
  <c r="S31" i="86" s="1"/>
  <c r="T31" i="86" s="1"/>
  <c r="M40" i="86"/>
  <c r="O46" i="86"/>
  <c r="Q46" i="86" s="1"/>
  <c r="S46" i="86" s="1"/>
  <c r="T46" i="86" s="1"/>
  <c r="O59" i="86"/>
  <c r="Q59" i="86" s="1"/>
  <c r="O69" i="86"/>
  <c r="Q69" i="86" s="1"/>
  <c r="S69" i="86" s="1"/>
  <c r="T69" i="86" s="1"/>
  <c r="J31" i="69"/>
  <c r="J27" i="69"/>
  <c r="J23" i="69"/>
  <c r="J22" i="69"/>
  <c r="J21" i="69"/>
  <c r="J19" i="69"/>
  <c r="J17" i="69"/>
  <c r="J20" i="69"/>
  <c r="J8" i="69"/>
  <c r="J32" i="69"/>
  <c r="J18" i="69"/>
  <c r="J30" i="69"/>
  <c r="J29" i="69"/>
  <c r="J28" i="69"/>
  <c r="J26" i="69"/>
  <c r="J25" i="69"/>
  <c r="J24" i="69"/>
  <c r="S15" i="86"/>
  <c r="T15" i="86" s="1"/>
  <c r="I40" i="86"/>
  <c r="I41" i="86"/>
  <c r="O45" i="86"/>
  <c r="Q45" i="86" s="1"/>
  <c r="S45" i="86" s="1"/>
  <c r="T45" i="86" s="1"/>
  <c r="O49" i="86"/>
  <c r="Q49" i="86" s="1"/>
  <c r="O56" i="86"/>
  <c r="Q56" i="86" s="1"/>
  <c r="S56" i="86" s="1"/>
  <c r="T56" i="86" s="1"/>
  <c r="O66" i="86"/>
  <c r="Q66" i="86" s="1"/>
  <c r="S66" i="86" s="1"/>
  <c r="T66" i="86" s="1"/>
  <c r="J70" i="86"/>
  <c r="O73" i="86"/>
  <c r="Q73" i="86" s="1"/>
  <c r="S73" i="86" s="1"/>
  <c r="T73" i="86" s="1"/>
  <c r="H79" i="86"/>
  <c r="O79" i="86" s="1"/>
  <c r="Q79" i="86" s="1"/>
  <c r="S79" i="86" s="1"/>
  <c r="T79" i="86" s="1"/>
  <c r="H40" i="86"/>
  <c r="J77" i="86"/>
  <c r="I80" i="86"/>
  <c r="H11" i="86"/>
  <c r="O11" i="86" s="1"/>
  <c r="I32" i="86"/>
  <c r="I35" i="86" s="1"/>
  <c r="H75" i="86"/>
  <c r="O75" i="86" s="1"/>
  <c r="Q75" i="86" s="1"/>
  <c r="S75" i="86" s="1"/>
  <c r="T75" i="86" s="1"/>
  <c r="J11" i="86"/>
  <c r="J17" i="86" s="1"/>
  <c r="O27" i="86"/>
  <c r="Q27" i="86" s="1"/>
  <c r="S27" i="86" s="1"/>
  <c r="T27" i="86" s="1"/>
  <c r="O42" i="86"/>
  <c r="Q42" i="86" s="1"/>
  <c r="S42" i="86" s="1"/>
  <c r="T42" i="86" s="1"/>
  <c r="O53" i="86"/>
  <c r="Q53" i="86" s="1"/>
  <c r="S53" i="86" s="1"/>
  <c r="H78" i="86"/>
  <c r="J79" i="86"/>
  <c r="J80" i="86"/>
  <c r="O62" i="86"/>
  <c r="Q62" i="86" s="1"/>
  <c r="S62" i="86" s="1"/>
  <c r="T62" i="86" s="1"/>
  <c r="O14" i="86"/>
  <c r="Q14" i="86" s="1"/>
  <c r="S14" i="86" s="1"/>
  <c r="T14" i="86" s="1"/>
  <c r="P51" i="86"/>
  <c r="O39" i="86"/>
  <c r="Q39" i="86" s="1"/>
  <c r="S39" i="86" s="1"/>
  <c r="T39" i="86" s="1"/>
  <c r="N82" i="86"/>
  <c r="S49" i="86"/>
  <c r="T49" i="86" s="1"/>
  <c r="I11" i="86"/>
  <c r="R17" i="86"/>
  <c r="R35" i="86"/>
  <c r="O21" i="86"/>
  <c r="Q21" i="86" s="1"/>
  <c r="S21" i="86" s="1"/>
  <c r="T21" i="86" s="1"/>
  <c r="M21" i="86"/>
  <c r="O30" i="86"/>
  <c r="Q30" i="86" s="1"/>
  <c r="S30" i="86" s="1"/>
  <c r="T30" i="86" s="1"/>
  <c r="M41" i="86"/>
  <c r="M50" i="86" s="1"/>
  <c r="K78" i="86"/>
  <c r="K82" i="86" s="1"/>
  <c r="I79" i="86"/>
  <c r="M14" i="86"/>
  <c r="S76" i="86"/>
  <c r="T76" i="86" s="1"/>
  <c r="M13" i="86"/>
  <c r="K24" i="86"/>
  <c r="O24" i="86" s="1"/>
  <c r="Q24" i="86" s="1"/>
  <c r="S24" i="86" s="1"/>
  <c r="T24" i="86" s="1"/>
  <c r="L50" i="86"/>
  <c r="H41" i="86"/>
  <c r="K50" i="86"/>
  <c r="I70" i="86"/>
  <c r="M79" i="86"/>
  <c r="K17" i="86"/>
  <c r="O13" i="86"/>
  <c r="Q13" i="86" s="1"/>
  <c r="S13" i="86" s="1"/>
  <c r="T13" i="86" s="1"/>
  <c r="M12" i="86"/>
  <c r="L16" i="86"/>
  <c r="L17" i="86" s="1"/>
  <c r="N51" i="86"/>
  <c r="O20" i="86"/>
  <c r="Q20" i="86" s="1"/>
  <c r="S20" i="86" s="1"/>
  <c r="T20" i="86" s="1"/>
  <c r="O23" i="86"/>
  <c r="Q23" i="86" s="1"/>
  <c r="S23" i="86" s="1"/>
  <c r="T23" i="86" s="1"/>
  <c r="O26" i="86"/>
  <c r="Q26" i="86" s="1"/>
  <c r="S26" i="86" s="1"/>
  <c r="T26" i="86" s="1"/>
  <c r="O43" i="86"/>
  <c r="Q43" i="86" s="1"/>
  <c r="S43" i="86" s="1"/>
  <c r="T43" i="86" s="1"/>
  <c r="Q10" i="86"/>
  <c r="O12" i="86"/>
  <c r="Q12" i="86" s="1"/>
  <c r="S12" i="86" s="1"/>
  <c r="T12" i="86" s="1"/>
  <c r="H16" i="86"/>
  <c r="G17" i="86"/>
  <c r="O19" i="86"/>
  <c r="O22" i="86"/>
  <c r="Q22" i="86" s="1"/>
  <c r="S22" i="86" s="1"/>
  <c r="T22" i="86" s="1"/>
  <c r="O25" i="86"/>
  <c r="Q25" i="86" s="1"/>
  <c r="S25" i="86" s="1"/>
  <c r="T25" i="86" s="1"/>
  <c r="O29" i="86"/>
  <c r="Q29" i="86" s="1"/>
  <c r="S29" i="86" s="1"/>
  <c r="T29" i="86" s="1"/>
  <c r="G32" i="86"/>
  <c r="O34" i="86"/>
  <c r="Q34" i="86" s="1"/>
  <c r="S34" i="86" s="1"/>
  <c r="T34" i="86" s="1"/>
  <c r="R82" i="86"/>
  <c r="J64" i="86"/>
  <c r="O65" i="86"/>
  <c r="Q65" i="86" s="1"/>
  <c r="S65" i="86" s="1"/>
  <c r="T65" i="86" s="1"/>
  <c r="O68" i="86"/>
  <c r="Q68" i="86" s="1"/>
  <c r="S68" i="86" s="1"/>
  <c r="T68" i="86" s="1"/>
  <c r="O71" i="86"/>
  <c r="Q71" i="86" s="1"/>
  <c r="S71" i="86" s="1"/>
  <c r="T71" i="86" s="1"/>
  <c r="O72" i="86"/>
  <c r="Q72" i="86" s="1"/>
  <c r="S72" i="86" s="1"/>
  <c r="T72" i="86" s="1"/>
  <c r="I77" i="86"/>
  <c r="M77" i="86"/>
  <c r="H77" i="86"/>
  <c r="O77" i="86" s="1"/>
  <c r="Q77" i="86" s="1"/>
  <c r="O81" i="86"/>
  <c r="Q81" i="86" s="1"/>
  <c r="M81" i="86"/>
  <c r="F51" i="86"/>
  <c r="J32" i="86"/>
  <c r="J35" i="86" s="1"/>
  <c r="O37" i="86"/>
  <c r="O44" i="86"/>
  <c r="Q44" i="86" s="1"/>
  <c r="S44" i="86" s="1"/>
  <c r="T44" i="86" s="1"/>
  <c r="O48" i="86"/>
  <c r="Q48" i="86" s="1"/>
  <c r="S48" i="86" s="1"/>
  <c r="T48" i="86" s="1"/>
  <c r="I16" i="86"/>
  <c r="O28" i="86"/>
  <c r="Q28" i="86" s="1"/>
  <c r="S28" i="86" s="1"/>
  <c r="T28" i="86" s="1"/>
  <c r="H32" i="86"/>
  <c r="H35" i="86" s="1"/>
  <c r="M32" i="86"/>
  <c r="O33" i="86"/>
  <c r="Q33" i="86" s="1"/>
  <c r="S33" i="86" s="1"/>
  <c r="T33" i="86" s="1"/>
  <c r="R50" i="86"/>
  <c r="O54" i="86"/>
  <c r="Q54" i="86" s="1"/>
  <c r="S54" i="86" s="1"/>
  <c r="T54" i="86" s="1"/>
  <c r="O55" i="86"/>
  <c r="Q55" i="86" s="1"/>
  <c r="S55" i="86" s="1"/>
  <c r="T55" i="86" s="1"/>
  <c r="O58" i="86"/>
  <c r="Q58" i="86" s="1"/>
  <c r="S58" i="86" s="1"/>
  <c r="T58" i="86" s="1"/>
  <c r="O60" i="86"/>
  <c r="Q60" i="86" s="1"/>
  <c r="S60" i="86" s="1"/>
  <c r="T60" i="86" s="1"/>
  <c r="O61" i="86"/>
  <c r="Q61" i="86" s="1"/>
  <c r="S61" i="86" s="1"/>
  <c r="T61" i="86" s="1"/>
  <c r="O74" i="86"/>
  <c r="Q74" i="86" s="1"/>
  <c r="S74" i="86" s="1"/>
  <c r="T74" i="86" s="1"/>
  <c r="J75" i="86"/>
  <c r="P75" i="86"/>
  <c r="P82" i="86" s="1"/>
  <c r="I75" i="86"/>
  <c r="J78" i="86"/>
  <c r="I78" i="86"/>
  <c r="S59" i="86"/>
  <c r="T59" i="86" s="1"/>
  <c r="O47" i="86"/>
  <c r="Q47" i="86" s="1"/>
  <c r="S47" i="86" s="1"/>
  <c r="T47" i="86" s="1"/>
  <c r="I64" i="86"/>
  <c r="M64" i="86"/>
  <c r="H64" i="86"/>
  <c r="O64" i="86" s="1"/>
  <c r="Q64" i="86" s="1"/>
  <c r="G82" i="86"/>
  <c r="J40" i="86"/>
  <c r="J41" i="86"/>
  <c r="E50" i="86"/>
  <c r="E51" i="86" s="1"/>
  <c r="L63" i="86"/>
  <c r="O63" i="86" s="1"/>
  <c r="Q63" i="86" s="1"/>
  <c r="L70" i="86"/>
  <c r="L80" i="86"/>
  <c r="G40" i="86"/>
  <c r="G41" i="86"/>
  <c r="H70" i="86"/>
  <c r="H80" i="86"/>
  <c r="J14" i="69"/>
  <c r="H34" i="69" l="1"/>
  <c r="I50" i="86"/>
  <c r="H50" i="86"/>
  <c r="O78" i="86"/>
  <c r="Q78" i="86" s="1"/>
  <c r="S78" i="86" s="1"/>
  <c r="T78" i="86" s="1"/>
  <c r="S63" i="86"/>
  <c r="T63" i="86" s="1"/>
  <c r="I17" i="86"/>
  <c r="I51" i="86" s="1"/>
  <c r="H82" i="86"/>
  <c r="M82" i="86"/>
  <c r="M35" i="86"/>
  <c r="J82" i="86"/>
  <c r="L82" i="86"/>
  <c r="J50" i="86"/>
  <c r="J51" i="86" s="1"/>
  <c r="I82" i="86"/>
  <c r="R51" i="86"/>
  <c r="M17" i="86"/>
  <c r="K35" i="86"/>
  <c r="K51" i="86" s="1"/>
  <c r="L32" i="86"/>
  <c r="L35" i="86" s="1"/>
  <c r="L51" i="86" s="1"/>
  <c r="Q11" i="86"/>
  <c r="S11" i="86" s="1"/>
  <c r="T11" i="86" s="1"/>
  <c r="S77" i="86"/>
  <c r="T77" i="86" s="1"/>
  <c r="G35" i="86"/>
  <c r="O41" i="86"/>
  <c r="Q41" i="86" s="1"/>
  <c r="S41" i="86" s="1"/>
  <c r="T41" i="86" s="1"/>
  <c r="S64" i="86"/>
  <c r="T64" i="86" s="1"/>
  <c r="H17" i="86"/>
  <c r="O80" i="86"/>
  <c r="Q80" i="86" s="1"/>
  <c r="S80" i="86" s="1"/>
  <c r="T80" i="86" s="1"/>
  <c r="T53" i="86"/>
  <c r="G50" i="86"/>
  <c r="O40" i="86"/>
  <c r="Q40" i="86" s="1"/>
  <c r="S40" i="86" s="1"/>
  <c r="T40" i="86" s="1"/>
  <c r="O16" i="86"/>
  <c r="Q16" i="86" s="1"/>
  <c r="S16" i="86" s="1"/>
  <c r="T16" i="86" s="1"/>
  <c r="Q37" i="86"/>
  <c r="Q19" i="86"/>
  <c r="S10" i="86"/>
  <c r="O70" i="86"/>
  <c r="Q70" i="86" s="1"/>
  <c r="S70" i="86" s="1"/>
  <c r="H51" i="86" l="1"/>
  <c r="O50" i="86"/>
  <c r="M51" i="86"/>
  <c r="O17" i="86"/>
  <c r="Q17" i="86"/>
  <c r="G51" i="86"/>
  <c r="O82" i="86"/>
  <c r="T70" i="86"/>
  <c r="T82" i="86" s="1"/>
  <c r="S82" i="86"/>
  <c r="O32" i="86"/>
  <c r="S17" i="86"/>
  <c r="T10" i="86"/>
  <c r="T17" i="86" s="1"/>
  <c r="S19" i="86"/>
  <c r="Q82" i="86"/>
  <c r="Q50" i="86"/>
  <c r="S37" i="86"/>
  <c r="Q32" i="86" l="1"/>
  <c r="O35" i="86"/>
  <c r="O51" i="86" s="1"/>
  <c r="S50" i="86"/>
  <c r="T37" i="86"/>
  <c r="T50" i="86" s="1"/>
  <c r="T19" i="86"/>
  <c r="Q35" i="86" l="1"/>
  <c r="Q51" i="86" s="1"/>
  <c r="S32" i="86"/>
  <c r="T32" i="86" l="1"/>
  <c r="T35" i="86" s="1"/>
  <c r="T51" i="86" s="1"/>
  <c r="S35" i="86"/>
  <c r="S51" i="86" s="1"/>
  <c r="D61" i="16" l="1"/>
  <c r="F57" i="16"/>
  <c r="F56" i="16" s="1"/>
  <c r="D57" i="16"/>
  <c r="F53" i="16"/>
  <c r="F45" i="16"/>
  <c r="F38" i="16"/>
  <c r="F34" i="16"/>
  <c r="F21" i="16"/>
  <c r="F10" i="16"/>
  <c r="C30" i="65"/>
  <c r="C91" i="65"/>
  <c r="C105" i="65"/>
  <c r="F42" i="16" l="1"/>
  <c r="F20" i="16"/>
  <c r="R70" i="20"/>
  <c r="AH70" i="20" s="1"/>
  <c r="R68" i="20"/>
  <c r="AH68" i="20" s="1"/>
  <c r="H20" i="20"/>
  <c r="D13" i="65"/>
  <c r="AH72" i="20" l="1"/>
  <c r="F82" i="16"/>
  <c r="R72" i="20"/>
  <c r="C21" i="81"/>
  <c r="C39" i="81" s="1"/>
  <c r="H35" i="58"/>
  <c r="M15" i="71" l="1"/>
  <c r="M14" i="71"/>
  <c r="M13" i="71"/>
  <c r="M12" i="71"/>
  <c r="M11" i="71"/>
  <c r="M10" i="71"/>
  <c r="M9" i="71"/>
  <c r="M8" i="71"/>
  <c r="M7" i="71"/>
  <c r="M6" i="71"/>
  <c r="M5" i="71"/>
  <c r="M4" i="71"/>
  <c r="I105" i="69"/>
  <c r="I104" i="69"/>
  <c r="I103" i="69"/>
  <c r="J103" i="69" s="1"/>
  <c r="I102" i="69"/>
  <c r="I101" i="69"/>
  <c r="I100" i="69"/>
  <c r="I99" i="69"/>
  <c r="I98" i="69"/>
  <c r="I97" i="69"/>
  <c r="J97" i="69" s="1"/>
  <c r="I96" i="69"/>
  <c r="J96" i="69" s="1"/>
  <c r="I94" i="69"/>
  <c r="J94" i="69" s="1"/>
  <c r="J99" i="69" l="1"/>
  <c r="J101" i="69"/>
  <c r="M16" i="71"/>
  <c r="J81" i="69"/>
  <c r="J77" i="69"/>
  <c r="J104" i="69"/>
  <c r="J65" i="69"/>
  <c r="J57" i="69"/>
  <c r="J56" i="69"/>
  <c r="J98" i="69"/>
  <c r="J100" i="69"/>
  <c r="J102" i="69"/>
  <c r="J105" i="69"/>
  <c r="J106" i="69" l="1"/>
  <c r="J67" i="69" l="1"/>
  <c r="J68" i="69"/>
  <c r="J69" i="69"/>
  <c r="J74" i="69"/>
  <c r="J75" i="69"/>
  <c r="J76" i="69"/>
  <c r="J78" i="69"/>
  <c r="J35" i="69"/>
  <c r="G46" i="76"/>
  <c r="D18" i="65"/>
  <c r="J79" i="16"/>
  <c r="J81" i="16"/>
  <c r="J36" i="69" l="1"/>
  <c r="H85" i="69"/>
  <c r="H86" i="69" s="1"/>
  <c r="H107" i="69" s="1"/>
  <c r="H108" i="69" s="1"/>
  <c r="H109" i="69" s="1"/>
  <c r="J51" i="69"/>
  <c r="J37" i="69"/>
  <c r="J39" i="69"/>
  <c r="J41" i="69"/>
  <c r="J43" i="69"/>
  <c r="J44" i="69"/>
  <c r="J46" i="69"/>
  <c r="J54" i="69"/>
  <c r="J58" i="69"/>
  <c r="J63" i="69"/>
  <c r="J64" i="69"/>
  <c r="J60" i="69"/>
  <c r="J61" i="69"/>
  <c r="J62" i="69"/>
  <c r="J40" i="69"/>
  <c r="J48" i="69"/>
  <c r="J50" i="69"/>
  <c r="J53" i="69"/>
  <c r="J45" i="69"/>
  <c r="J47" i="69"/>
  <c r="J52" i="69"/>
  <c r="J59" i="69"/>
  <c r="J55" i="69"/>
  <c r="J66" i="69"/>
  <c r="J70" i="69"/>
  <c r="J71" i="69"/>
  <c r="J72" i="69"/>
  <c r="J73" i="69"/>
  <c r="J79" i="69"/>
  <c r="J80" i="69"/>
  <c r="J82" i="69"/>
  <c r="J83" i="69"/>
  <c r="J38" i="69"/>
  <c r="J42" i="69"/>
  <c r="J11" i="69" l="1"/>
  <c r="J13" i="69"/>
  <c r="F34" i="69" l="1"/>
  <c r="F86" i="69" s="1"/>
  <c r="F107" i="69" s="1"/>
  <c r="C29" i="85"/>
  <c r="C20" i="85"/>
  <c r="H110" i="69" l="1"/>
  <c r="H18" i="20" s="1"/>
  <c r="D74" i="65"/>
  <c r="D137" i="65"/>
  <c r="H111" i="69" l="1"/>
  <c r="H20" i="12"/>
  <c r="D22" i="65"/>
  <c r="D21" i="65" s="1"/>
  <c r="D123" i="65"/>
  <c r="D97" i="65"/>
  <c r="D88" i="65"/>
  <c r="D86" i="65"/>
  <c r="C86" i="65" l="1"/>
  <c r="C137" i="65" l="1"/>
  <c r="C141" i="65"/>
  <c r="D141" i="65"/>
  <c r="G141" i="65"/>
  <c r="H36" i="58"/>
  <c r="C51" i="65" l="1"/>
  <c r="C66" i="65"/>
  <c r="C125" i="65"/>
  <c r="J125" i="65" s="1"/>
  <c r="C73" i="65"/>
  <c r="C82" i="65"/>
  <c r="D135" i="65" l="1"/>
  <c r="J135" i="65" s="1"/>
  <c r="D67" i="65"/>
  <c r="C44" i="65"/>
  <c r="C43" i="65"/>
  <c r="C41" i="65"/>
  <c r="C21" i="16"/>
  <c r="J27" i="16"/>
  <c r="J48" i="16"/>
  <c r="J134" i="65"/>
  <c r="I115" i="65"/>
  <c r="D132" i="65"/>
  <c r="D131" i="65"/>
  <c r="D130" i="65"/>
  <c r="D116" i="65"/>
  <c r="D113" i="65"/>
  <c r="D112" i="65"/>
  <c r="D111" i="65"/>
  <c r="D73" i="65"/>
  <c r="D61" i="65"/>
  <c r="D49" i="65"/>
  <c r="D37" i="65"/>
  <c r="D31" i="65"/>
  <c r="D30" i="65" s="1"/>
  <c r="C131" i="65"/>
  <c r="C132" i="65"/>
  <c r="C67" i="65"/>
  <c r="C49" i="65"/>
  <c r="C37" i="65"/>
  <c r="C18" i="65"/>
  <c r="C12" i="65"/>
  <c r="C11" i="57"/>
  <c r="D70" i="16"/>
  <c r="D69" i="16" s="1"/>
  <c r="G70" i="16"/>
  <c r="G69" i="16" s="1"/>
  <c r="G61" i="16"/>
  <c r="G56" i="16"/>
  <c r="G53" i="16"/>
  <c r="D10" i="16"/>
  <c r="D9" i="16" s="1"/>
  <c r="G10" i="16"/>
  <c r="G9" i="16" s="1"/>
  <c r="D21" i="16"/>
  <c r="G21" i="16"/>
  <c r="G20" i="16" s="1"/>
  <c r="D34" i="16"/>
  <c r="D39" i="16"/>
  <c r="D38" i="16" s="1"/>
  <c r="D45" i="16"/>
  <c r="D42" i="16" s="1"/>
  <c r="D56" i="16"/>
  <c r="J131" i="65" l="1"/>
  <c r="J132" i="65"/>
  <c r="D20" i="16"/>
  <c r="D82" i="16" s="1"/>
  <c r="J32" i="16"/>
  <c r="J14" i="16"/>
  <c r="J13" i="16"/>
  <c r="C10" i="16"/>
  <c r="C9" i="16" s="1"/>
  <c r="H74" i="16"/>
  <c r="E89" i="69" l="1"/>
  <c r="H10" i="12" s="1"/>
  <c r="C11" i="65" s="1"/>
  <c r="I33" i="69"/>
  <c r="E107" i="69" l="1"/>
  <c r="C9" i="85"/>
  <c r="C32" i="85" s="1"/>
  <c r="H90" i="69" l="1"/>
  <c r="H146" i="20" s="1"/>
  <c r="H188" i="20" s="1"/>
  <c r="G90" i="69"/>
  <c r="H86" i="20" s="1"/>
  <c r="H132" i="20" s="1"/>
  <c r="F90" i="69"/>
  <c r="E91" i="69"/>
  <c r="D96" i="65"/>
  <c r="H45" i="84"/>
  <c r="H48" i="84" l="1"/>
  <c r="H14" i="80"/>
  <c r="G73" i="16" l="1"/>
  <c r="G158" i="65"/>
  <c r="J158" i="65" s="1"/>
  <c r="G82" i="16" l="1"/>
  <c r="H73" i="16"/>
  <c r="H28" i="76" l="1"/>
  <c r="D85" i="65"/>
  <c r="C13" i="65"/>
  <c r="H31" i="76" l="1"/>
  <c r="C34" i="65" l="1"/>
  <c r="C116" i="65"/>
  <c r="C45" i="65" l="1"/>
  <c r="C130" i="65" l="1"/>
  <c r="J130" i="65" s="1"/>
  <c r="C124" i="65"/>
  <c r="J124" i="65" s="1"/>
  <c r="C123" i="65"/>
  <c r="J123" i="65" s="1"/>
  <c r="C113" i="65"/>
  <c r="C112" i="65"/>
  <c r="C111" i="65"/>
  <c r="C100" i="65"/>
  <c r="C98" i="65"/>
  <c r="C97" i="65"/>
  <c r="C96" i="65"/>
  <c r="C85" i="65"/>
  <c r="C84" i="65"/>
  <c r="C83" i="65"/>
  <c r="C77" i="65"/>
  <c r="C76" i="65"/>
  <c r="C75" i="65"/>
  <c r="C74" i="65"/>
  <c r="C68" i="65"/>
  <c r="C65" i="65" s="1"/>
  <c r="C62" i="65"/>
  <c r="C60" i="65"/>
  <c r="C59" i="65"/>
  <c r="C58" i="65"/>
  <c r="C55" i="65"/>
  <c r="C54" i="65"/>
  <c r="C53" i="65"/>
  <c r="C50" i="65"/>
  <c r="C48" i="65"/>
  <c r="C47" i="65"/>
  <c r="C46" i="65"/>
  <c r="C28" i="65"/>
  <c r="D120" i="65"/>
  <c r="D84" i="65"/>
  <c r="D83" i="65"/>
  <c r="D82" i="65"/>
  <c r="D77" i="65"/>
  <c r="D76" i="65"/>
  <c r="D66" i="65"/>
  <c r="D60" i="65"/>
  <c r="D58" i="65"/>
  <c r="D55" i="65"/>
  <c r="D54" i="65"/>
  <c r="D53" i="65"/>
  <c r="D51" i="65"/>
  <c r="D48" i="65"/>
  <c r="D47" i="65"/>
  <c r="D46" i="65"/>
  <c r="D45" i="65"/>
  <c r="D43" i="65"/>
  <c r="D41" i="65"/>
  <c r="D28" i="65" l="1"/>
  <c r="D15" i="65"/>
  <c r="D12" i="65"/>
  <c r="D10" i="65" s="1"/>
  <c r="D68" i="65"/>
  <c r="J11" i="65" l="1"/>
  <c r="C34" i="16"/>
  <c r="C20" i="16" s="1"/>
  <c r="J33" i="16"/>
  <c r="B10" i="71" l="1"/>
  <c r="C10" i="71" s="1"/>
  <c r="C10" i="65"/>
  <c r="H12" i="72"/>
  <c r="J150" i="65"/>
  <c r="D129" i="65"/>
  <c r="J86" i="65"/>
  <c r="J100" i="65"/>
  <c r="C21" i="65"/>
  <c r="J21" i="65" s="1"/>
  <c r="J34" i="65"/>
  <c r="J33" i="65" s="1"/>
  <c r="C122" i="65"/>
  <c r="C72" i="65"/>
  <c r="J41" i="65"/>
  <c r="J83" i="65"/>
  <c r="K16" i="71"/>
  <c r="J16" i="71"/>
  <c r="C74" i="16"/>
  <c r="C73" i="16" s="1"/>
  <c r="C78" i="16"/>
  <c r="J78" i="16" s="1"/>
  <c r="D65" i="65"/>
  <c r="G80" i="12"/>
  <c r="J133" i="65"/>
  <c r="J129" i="65" s="1"/>
  <c r="J14" i="65"/>
  <c r="C88" i="65"/>
  <c r="D122" i="65"/>
  <c r="D72" i="65"/>
  <c r="J90" i="65"/>
  <c r="J91" i="65"/>
  <c r="J92" i="65"/>
  <c r="J78" i="65"/>
  <c r="J79" i="65"/>
  <c r="J80" i="65"/>
  <c r="J52" i="65"/>
  <c r="C40" i="65"/>
  <c r="I33" i="65"/>
  <c r="H33" i="65"/>
  <c r="G33" i="65"/>
  <c r="D33" i="65"/>
  <c r="J31" i="65"/>
  <c r="J30" i="65" s="1"/>
  <c r="I36" i="65"/>
  <c r="H36" i="65"/>
  <c r="G36" i="65"/>
  <c r="D36" i="65"/>
  <c r="J143" i="65"/>
  <c r="J142" i="65"/>
  <c r="J12" i="69"/>
  <c r="J10" i="69"/>
  <c r="J9" i="69"/>
  <c r="M93" i="68"/>
  <c r="E53" i="68"/>
  <c r="I53" i="68" s="1"/>
  <c r="E94" i="68"/>
  <c r="I94" i="68" s="1"/>
  <c r="E93" i="68"/>
  <c r="I93" i="68" s="1"/>
  <c r="E92" i="68"/>
  <c r="I92" i="68" s="1"/>
  <c r="E91" i="68"/>
  <c r="E90" i="68"/>
  <c r="H90" i="68" s="1"/>
  <c r="E89" i="68"/>
  <c r="I89" i="68" s="1"/>
  <c r="E88" i="68"/>
  <c r="I88" i="68" s="1"/>
  <c r="E87" i="68"/>
  <c r="E83" i="68"/>
  <c r="K83" i="68" s="1"/>
  <c r="M83" i="68" s="1"/>
  <c r="E82" i="68"/>
  <c r="K82" i="68" s="1"/>
  <c r="M82" i="68" s="1"/>
  <c r="E80" i="68"/>
  <c r="K80" i="68" s="1"/>
  <c r="M80" i="68" s="1"/>
  <c r="E79" i="68"/>
  <c r="H79" i="68" s="1"/>
  <c r="E78" i="68"/>
  <c r="E77" i="68"/>
  <c r="I77" i="68" s="1"/>
  <c r="E76" i="68"/>
  <c r="E74" i="68"/>
  <c r="K74" i="68" s="1"/>
  <c r="M74" i="68" s="1"/>
  <c r="E73" i="68"/>
  <c r="K73" i="68" s="1"/>
  <c r="M73" i="68" s="1"/>
  <c r="E72" i="68"/>
  <c r="E71" i="68"/>
  <c r="E70" i="68"/>
  <c r="H70" i="68" s="1"/>
  <c r="E69" i="68"/>
  <c r="K69" i="68" s="1"/>
  <c r="E68" i="68"/>
  <c r="H68" i="68" s="1"/>
  <c r="E67" i="68"/>
  <c r="E66" i="68"/>
  <c r="H66" i="68" s="1"/>
  <c r="E65" i="68"/>
  <c r="I65" i="68" s="1"/>
  <c r="E64" i="68"/>
  <c r="H64" i="68" s="1"/>
  <c r="E63" i="68"/>
  <c r="I63" i="68" s="1"/>
  <c r="E60" i="68"/>
  <c r="K60" i="68" s="1"/>
  <c r="M60" i="68" s="1"/>
  <c r="E59" i="68"/>
  <c r="H59" i="68" s="1"/>
  <c r="E51" i="68"/>
  <c r="H51" i="68" s="1"/>
  <c r="E48" i="68"/>
  <c r="K48" i="68" s="1"/>
  <c r="M48" i="68" s="1"/>
  <c r="E45" i="68"/>
  <c r="H45" i="68" s="1"/>
  <c r="E44" i="68"/>
  <c r="K44" i="68" s="1"/>
  <c r="M44" i="68" s="1"/>
  <c r="E43" i="68"/>
  <c r="H43" i="68" s="1"/>
  <c r="E38" i="68"/>
  <c r="H38" i="68" s="1"/>
  <c r="E32" i="68"/>
  <c r="I32" i="68" s="1"/>
  <c r="D95" i="68"/>
  <c r="D85" i="68"/>
  <c r="D39" i="68"/>
  <c r="E27" i="68"/>
  <c r="D27" i="68"/>
  <c r="D13" i="68"/>
  <c r="G93" i="68"/>
  <c r="N93" i="68"/>
  <c r="E11" i="68"/>
  <c r="E13" i="68" s="1"/>
  <c r="K108" i="68"/>
  <c r="I109" i="68"/>
  <c r="I125" i="68"/>
  <c r="L124" i="68"/>
  <c r="L123" i="68"/>
  <c r="L122" i="68"/>
  <c r="L120" i="68"/>
  <c r="L119" i="68"/>
  <c r="I117" i="68"/>
  <c r="I133" i="68"/>
  <c r="I10" i="65"/>
  <c r="H10" i="65"/>
  <c r="G10" i="65"/>
  <c r="J42" i="65"/>
  <c r="H133" i="68"/>
  <c r="H117" i="68"/>
  <c r="H109" i="68"/>
  <c r="G97" i="68"/>
  <c r="K95" i="68"/>
  <c r="F95" i="68"/>
  <c r="C95" i="68"/>
  <c r="N94" i="68"/>
  <c r="M94" i="68"/>
  <c r="G94" i="68"/>
  <c r="N92" i="68"/>
  <c r="M92" i="68"/>
  <c r="G92" i="68"/>
  <c r="N91" i="68"/>
  <c r="M91" i="68"/>
  <c r="G91" i="68"/>
  <c r="N90" i="68"/>
  <c r="M90" i="68"/>
  <c r="G90" i="68"/>
  <c r="N89" i="68"/>
  <c r="M89" i="68"/>
  <c r="G89" i="68"/>
  <c r="N88" i="68"/>
  <c r="M88" i="68"/>
  <c r="G88" i="68"/>
  <c r="N87" i="68"/>
  <c r="M87" i="68"/>
  <c r="G87" i="68"/>
  <c r="F85" i="68"/>
  <c r="C85" i="68"/>
  <c r="H119" i="68" s="1"/>
  <c r="H125" i="68" s="1"/>
  <c r="N84" i="68"/>
  <c r="M84" i="68"/>
  <c r="J84" i="68"/>
  <c r="L84" i="68" s="1"/>
  <c r="G84" i="68"/>
  <c r="N83" i="68"/>
  <c r="G83" i="68"/>
  <c r="N82" i="68"/>
  <c r="G82" i="68"/>
  <c r="N81" i="68"/>
  <c r="M81" i="68"/>
  <c r="J81" i="68"/>
  <c r="L81" i="68" s="1"/>
  <c r="G81" i="68"/>
  <c r="N80" i="68"/>
  <c r="G80" i="68"/>
  <c r="N79" i="68"/>
  <c r="G79" i="68"/>
  <c r="N78" i="68"/>
  <c r="G78" i="68"/>
  <c r="N77" i="68"/>
  <c r="G77" i="68"/>
  <c r="N76" i="68"/>
  <c r="G76" i="68"/>
  <c r="N75" i="68"/>
  <c r="M75" i="68"/>
  <c r="J75" i="68"/>
  <c r="L75" i="68" s="1"/>
  <c r="G75" i="68"/>
  <c r="N74" i="68"/>
  <c r="G74" i="68"/>
  <c r="N73" i="68"/>
  <c r="G73" i="68"/>
  <c r="N72" i="68"/>
  <c r="G72" i="68"/>
  <c r="N71" i="68"/>
  <c r="G71" i="68"/>
  <c r="N70" i="68"/>
  <c r="G70" i="68"/>
  <c r="N69" i="68"/>
  <c r="G69" i="68"/>
  <c r="N68" i="68"/>
  <c r="G68" i="68"/>
  <c r="N67" i="68"/>
  <c r="G67" i="68"/>
  <c r="N66" i="68"/>
  <c r="G66" i="68"/>
  <c r="N65" i="68"/>
  <c r="G65" i="68"/>
  <c r="N64" i="68"/>
  <c r="G64" i="68"/>
  <c r="N63" i="68"/>
  <c r="M63" i="68"/>
  <c r="G63" i="68"/>
  <c r="N62" i="68"/>
  <c r="M62" i="68"/>
  <c r="J62" i="68"/>
  <c r="L62" i="68" s="1"/>
  <c r="G62" i="68"/>
  <c r="N61" i="68"/>
  <c r="M61" i="68"/>
  <c r="J61" i="68"/>
  <c r="L61" i="68" s="1"/>
  <c r="G61" i="68"/>
  <c r="N60" i="68"/>
  <c r="G60" i="68"/>
  <c r="N59" i="68"/>
  <c r="G59" i="68"/>
  <c r="N58" i="68"/>
  <c r="M58" i="68"/>
  <c r="J58" i="68"/>
  <c r="L58" i="68" s="1"/>
  <c r="G58" i="68"/>
  <c r="N57" i="68"/>
  <c r="M57" i="68"/>
  <c r="J57" i="68"/>
  <c r="L57" i="68" s="1"/>
  <c r="G57" i="68"/>
  <c r="N56" i="68"/>
  <c r="M56" i="68"/>
  <c r="J56" i="68"/>
  <c r="L56" i="68" s="1"/>
  <c r="G56" i="68"/>
  <c r="N55" i="68"/>
  <c r="M55" i="68"/>
  <c r="J55" i="68"/>
  <c r="L55" i="68" s="1"/>
  <c r="G55" i="68"/>
  <c r="N54" i="68"/>
  <c r="M54" i="68"/>
  <c r="J54" i="68"/>
  <c r="L54" i="68" s="1"/>
  <c r="G54" i="68"/>
  <c r="N53" i="68"/>
  <c r="G53" i="68"/>
  <c r="N52" i="68"/>
  <c r="M52" i="68"/>
  <c r="J52" i="68"/>
  <c r="L52" i="68" s="1"/>
  <c r="G52" i="68"/>
  <c r="N51" i="68"/>
  <c r="G51" i="68"/>
  <c r="N50" i="68"/>
  <c r="M50" i="68"/>
  <c r="J50" i="68"/>
  <c r="L50" i="68" s="1"/>
  <c r="G50" i="68"/>
  <c r="N49" i="68"/>
  <c r="M49" i="68"/>
  <c r="J49" i="68"/>
  <c r="L49" i="68" s="1"/>
  <c r="G49" i="68"/>
  <c r="N48" i="68"/>
  <c r="G48" i="68"/>
  <c r="N47" i="68"/>
  <c r="M47" i="68"/>
  <c r="J47" i="68"/>
  <c r="L47" i="68" s="1"/>
  <c r="G47" i="68"/>
  <c r="N46" i="68"/>
  <c r="M46" i="68"/>
  <c r="J46" i="68"/>
  <c r="L46" i="68" s="1"/>
  <c r="G46" i="68"/>
  <c r="N45" i="68"/>
  <c r="G45" i="68"/>
  <c r="N44" i="68"/>
  <c r="G44" i="68"/>
  <c r="N43" i="68"/>
  <c r="G43" i="68"/>
  <c r="N42" i="68"/>
  <c r="M42" i="68"/>
  <c r="J42" i="68"/>
  <c r="L42" i="68" s="1"/>
  <c r="G42" i="68"/>
  <c r="N41" i="68"/>
  <c r="M41" i="68"/>
  <c r="J41" i="68"/>
  <c r="L41" i="68" s="1"/>
  <c r="G41" i="68"/>
  <c r="F39" i="68"/>
  <c r="C39" i="68"/>
  <c r="N38" i="68"/>
  <c r="G38" i="68"/>
  <c r="N37" i="68"/>
  <c r="M37" i="68"/>
  <c r="J37" i="68"/>
  <c r="L37" i="68" s="1"/>
  <c r="G37" i="68"/>
  <c r="N36" i="68"/>
  <c r="M36" i="68"/>
  <c r="J36" i="68"/>
  <c r="L36" i="68" s="1"/>
  <c r="G36" i="68"/>
  <c r="N35" i="68"/>
  <c r="M35" i="68"/>
  <c r="J35" i="68"/>
  <c r="L35" i="68" s="1"/>
  <c r="G35" i="68"/>
  <c r="N34" i="68"/>
  <c r="M34" i="68"/>
  <c r="J34" i="68"/>
  <c r="L34" i="68" s="1"/>
  <c r="G34" i="68"/>
  <c r="N33" i="68"/>
  <c r="M33" i="68"/>
  <c r="J33" i="68"/>
  <c r="L33" i="68" s="1"/>
  <c r="G33" i="68"/>
  <c r="N32" i="68"/>
  <c r="G32" i="68"/>
  <c r="N31" i="68"/>
  <c r="M31" i="68"/>
  <c r="J31" i="68"/>
  <c r="L31" i="68" s="1"/>
  <c r="G31" i="68"/>
  <c r="N30" i="68"/>
  <c r="M30" i="68"/>
  <c r="J30" i="68"/>
  <c r="L30" i="68" s="1"/>
  <c r="G30" i="68"/>
  <c r="G29" i="68"/>
  <c r="K27" i="68"/>
  <c r="I27" i="68"/>
  <c r="H27" i="68"/>
  <c r="G27" i="68"/>
  <c r="F27" i="68"/>
  <c r="C27" i="68"/>
  <c r="N26" i="68"/>
  <c r="M26" i="68"/>
  <c r="J26" i="68"/>
  <c r="L26" i="68" s="1"/>
  <c r="N25" i="68"/>
  <c r="M25" i="68"/>
  <c r="J25" i="68"/>
  <c r="L25" i="68" s="1"/>
  <c r="N24" i="68"/>
  <c r="M24" i="68"/>
  <c r="J24" i="68"/>
  <c r="L24" i="68" s="1"/>
  <c r="N23" i="68"/>
  <c r="M23" i="68"/>
  <c r="J23" i="68"/>
  <c r="L23" i="68" s="1"/>
  <c r="N22" i="68"/>
  <c r="M22" i="68"/>
  <c r="J22" i="68"/>
  <c r="L22" i="68" s="1"/>
  <c r="N21" i="68"/>
  <c r="M21" i="68"/>
  <c r="J21" i="68"/>
  <c r="L21" i="68" s="1"/>
  <c r="N20" i="68"/>
  <c r="M20" i="68"/>
  <c r="J20" i="68"/>
  <c r="L20" i="68" s="1"/>
  <c r="N19" i="68"/>
  <c r="M19" i="68"/>
  <c r="J19" i="68"/>
  <c r="L19" i="68" s="1"/>
  <c r="N18" i="68"/>
  <c r="M18" i="68"/>
  <c r="J18" i="68"/>
  <c r="L18" i="68" s="1"/>
  <c r="N17" i="68"/>
  <c r="M17" i="68"/>
  <c r="J17" i="68"/>
  <c r="L17" i="68" s="1"/>
  <c r="N16" i="68"/>
  <c r="M16" i="68"/>
  <c r="L16" i="68"/>
  <c r="N15" i="68"/>
  <c r="M15" i="68"/>
  <c r="L15" i="68"/>
  <c r="F13" i="68"/>
  <c r="C13" i="68"/>
  <c r="N12" i="68"/>
  <c r="M12" i="68"/>
  <c r="J12" i="68"/>
  <c r="L12" i="68" s="1"/>
  <c r="G12" i="68"/>
  <c r="N11" i="68"/>
  <c r="G11" i="68"/>
  <c r="N10" i="68"/>
  <c r="M10" i="68"/>
  <c r="J10" i="68"/>
  <c r="L10" i="68" s="1"/>
  <c r="G10" i="68"/>
  <c r="N9" i="68"/>
  <c r="M9" i="68"/>
  <c r="J9" i="68"/>
  <c r="L9" i="68" s="1"/>
  <c r="G9" i="68"/>
  <c r="N8" i="68"/>
  <c r="M8" i="68"/>
  <c r="J8" i="68"/>
  <c r="G8" i="68"/>
  <c r="N7" i="68"/>
  <c r="G7" i="68"/>
  <c r="H112" i="64"/>
  <c r="J126" i="64"/>
  <c r="J69" i="65"/>
  <c r="J15" i="65"/>
  <c r="J58" i="65"/>
  <c r="H111" i="64"/>
  <c r="H110" i="64"/>
  <c r="H109" i="64"/>
  <c r="H108" i="64"/>
  <c r="H107" i="64"/>
  <c r="H106" i="64"/>
  <c r="H105" i="64"/>
  <c r="H103" i="64"/>
  <c r="H102" i="64"/>
  <c r="H101" i="64"/>
  <c r="H100" i="64"/>
  <c r="H99" i="64"/>
  <c r="H98" i="64"/>
  <c r="H97" i="64"/>
  <c r="H96" i="64"/>
  <c r="H95" i="64"/>
  <c r="H94" i="64"/>
  <c r="H93" i="64"/>
  <c r="H92" i="64"/>
  <c r="H91" i="64"/>
  <c r="H90" i="64"/>
  <c r="H89" i="64"/>
  <c r="H88" i="64"/>
  <c r="H87" i="64"/>
  <c r="H86" i="64"/>
  <c r="H85" i="64"/>
  <c r="H84" i="64"/>
  <c r="H83" i="64"/>
  <c r="H82" i="64"/>
  <c r="H81" i="64"/>
  <c r="H80" i="64"/>
  <c r="H79" i="64"/>
  <c r="H78" i="64"/>
  <c r="H58" i="64"/>
  <c r="H124" i="64"/>
  <c r="H77" i="64"/>
  <c r="H76" i="64"/>
  <c r="H75" i="64"/>
  <c r="H74" i="64"/>
  <c r="H73" i="64"/>
  <c r="H72" i="64"/>
  <c r="H71" i="64"/>
  <c r="H70" i="64"/>
  <c r="H69" i="64"/>
  <c r="H68" i="64"/>
  <c r="H67" i="64"/>
  <c r="H66" i="64"/>
  <c r="H65" i="64"/>
  <c r="H64" i="64"/>
  <c r="H63" i="64"/>
  <c r="H62" i="64"/>
  <c r="H61" i="64"/>
  <c r="H60" i="64"/>
  <c r="H59" i="64"/>
  <c r="H57" i="64"/>
  <c r="H56" i="64"/>
  <c r="H55" i="64"/>
  <c r="H54" i="64"/>
  <c r="H53" i="64"/>
  <c r="H52" i="64"/>
  <c r="H51" i="64"/>
  <c r="H50" i="64"/>
  <c r="H49" i="64"/>
  <c r="H48" i="64"/>
  <c r="H47" i="64"/>
  <c r="H46" i="64"/>
  <c r="H45" i="64"/>
  <c r="H44" i="64"/>
  <c r="J16" i="16"/>
  <c r="J50" i="16"/>
  <c r="I18" i="27"/>
  <c r="J18" i="27" s="1"/>
  <c r="I17" i="27"/>
  <c r="J17" i="27" s="1"/>
  <c r="I16" i="27"/>
  <c r="J16" i="27" s="1"/>
  <c r="I15" i="27"/>
  <c r="J15" i="27" s="1"/>
  <c r="I14" i="27"/>
  <c r="J14" i="27" s="1"/>
  <c r="I13" i="27"/>
  <c r="J13" i="27" s="1"/>
  <c r="I10" i="27"/>
  <c r="J10" i="27" s="1"/>
  <c r="I12" i="27"/>
  <c r="J12" i="27" s="1"/>
  <c r="I11" i="27"/>
  <c r="J11" i="27" s="1"/>
  <c r="I9" i="27"/>
  <c r="J9" i="27" s="1"/>
  <c r="I8" i="27"/>
  <c r="J8" i="27" s="1"/>
  <c r="I7" i="27"/>
  <c r="J7" i="27" s="1"/>
  <c r="G19" i="27"/>
  <c r="J54" i="65"/>
  <c r="J55" i="65"/>
  <c r="J44" i="65"/>
  <c r="C110" i="65"/>
  <c r="C27" i="65"/>
  <c r="I157" i="65"/>
  <c r="I156" i="65" s="1"/>
  <c r="I153" i="65"/>
  <c r="I152" i="65" s="1"/>
  <c r="I141" i="65"/>
  <c r="I137" i="65"/>
  <c r="I129" i="65"/>
  <c r="I122" i="65"/>
  <c r="I119" i="65"/>
  <c r="I107" i="65"/>
  <c r="I102" i="65"/>
  <c r="I94" i="65"/>
  <c r="I88" i="65"/>
  <c r="I72" i="65"/>
  <c r="I70" i="65"/>
  <c r="I65" i="65" s="1"/>
  <c r="I40" i="65"/>
  <c r="I27" i="65"/>
  <c r="I24" i="65"/>
  <c r="I17" i="65"/>
  <c r="C115" i="65"/>
  <c r="J74" i="65"/>
  <c r="J76" i="65"/>
  <c r="J85" i="65"/>
  <c r="J62" i="65"/>
  <c r="J53" i="65"/>
  <c r="J59" i="65"/>
  <c r="J60" i="65"/>
  <c r="J61" i="65"/>
  <c r="J46" i="65"/>
  <c r="J47" i="65"/>
  <c r="J48" i="65"/>
  <c r="J49" i="65"/>
  <c r="J50" i="65"/>
  <c r="J51" i="65"/>
  <c r="J12" i="65"/>
  <c r="L126" i="64"/>
  <c r="H19" i="27"/>
  <c r="F19" i="27"/>
  <c r="K126" i="64"/>
  <c r="I126" i="64"/>
  <c r="E126" i="64"/>
  <c r="H27" i="67"/>
  <c r="K17" i="67"/>
  <c r="K16" i="67"/>
  <c r="H157" i="65"/>
  <c r="H156" i="65" s="1"/>
  <c r="G157" i="65"/>
  <c r="G156" i="65" s="1"/>
  <c r="H153" i="65"/>
  <c r="H152" i="65" s="1"/>
  <c r="G153" i="65"/>
  <c r="G152" i="65" s="1"/>
  <c r="D153" i="65"/>
  <c r="D152" i="65" s="1"/>
  <c r="H141" i="65"/>
  <c r="J141" i="65" s="1"/>
  <c r="H137" i="65"/>
  <c r="G137" i="65"/>
  <c r="H129" i="65"/>
  <c r="G129" i="65"/>
  <c r="H122" i="65"/>
  <c r="G122" i="65"/>
  <c r="H119" i="65"/>
  <c r="G119" i="65"/>
  <c r="D119" i="65"/>
  <c r="H115" i="65"/>
  <c r="G115" i="65"/>
  <c r="D115" i="65"/>
  <c r="H110" i="65"/>
  <c r="G110" i="65"/>
  <c r="D110" i="65"/>
  <c r="H102" i="65"/>
  <c r="G102" i="65"/>
  <c r="D102" i="65"/>
  <c r="H94" i="65"/>
  <c r="G94" i="65"/>
  <c r="D94" i="65"/>
  <c r="H88" i="65"/>
  <c r="G88" i="65"/>
  <c r="H72" i="65"/>
  <c r="G72" i="65"/>
  <c r="H65" i="65"/>
  <c r="G65" i="65"/>
  <c r="H40" i="65"/>
  <c r="G40" i="65"/>
  <c r="D40" i="65"/>
  <c r="H27" i="65"/>
  <c r="G27" i="65"/>
  <c r="D27" i="65"/>
  <c r="H24" i="65"/>
  <c r="G24" i="65"/>
  <c r="H17" i="65"/>
  <c r="G17" i="65"/>
  <c r="D17" i="65"/>
  <c r="J159" i="65"/>
  <c r="J154" i="65"/>
  <c r="J153" i="65" s="1"/>
  <c r="J149" i="65"/>
  <c r="J148" i="65"/>
  <c r="J147" i="65"/>
  <c r="J146" i="65"/>
  <c r="J140" i="65"/>
  <c r="J139" i="65"/>
  <c r="J138" i="65"/>
  <c r="J120" i="65"/>
  <c r="J119" i="65" s="1"/>
  <c r="J116" i="65"/>
  <c r="J115" i="65" s="1"/>
  <c r="J113" i="65"/>
  <c r="J112" i="65"/>
  <c r="J111" i="65"/>
  <c r="J105" i="65"/>
  <c r="J104" i="65"/>
  <c r="J103" i="65"/>
  <c r="J99" i="65"/>
  <c r="J98" i="65"/>
  <c r="J97" i="65"/>
  <c r="J96" i="65"/>
  <c r="J95" i="65"/>
  <c r="J89" i="65"/>
  <c r="J84" i="65"/>
  <c r="J18" i="65"/>
  <c r="J13" i="65"/>
  <c r="C157" i="65"/>
  <c r="C156" i="65" s="1"/>
  <c r="C153" i="65"/>
  <c r="C152" i="65" s="1"/>
  <c r="C129" i="65"/>
  <c r="C119" i="65"/>
  <c r="C102" i="65"/>
  <c r="C94" i="65"/>
  <c r="I74" i="16"/>
  <c r="I73" i="16" s="1"/>
  <c r="I70" i="16"/>
  <c r="I69" i="16" s="1"/>
  <c r="H70" i="16"/>
  <c r="H69" i="16" s="1"/>
  <c r="I62" i="16"/>
  <c r="I61" i="16" s="1"/>
  <c r="H62" i="16"/>
  <c r="H61" i="16" s="1"/>
  <c r="I57" i="16"/>
  <c r="I56" i="16" s="1"/>
  <c r="H57" i="16"/>
  <c r="H56" i="16" s="1"/>
  <c r="I53" i="16"/>
  <c r="H53" i="16"/>
  <c r="I45" i="16"/>
  <c r="H45" i="16"/>
  <c r="I43" i="16"/>
  <c r="H43" i="16"/>
  <c r="I39" i="16"/>
  <c r="I38" i="16" s="1"/>
  <c r="H39" i="16"/>
  <c r="H38" i="16" s="1"/>
  <c r="I21" i="16"/>
  <c r="H21" i="16"/>
  <c r="I34" i="16"/>
  <c r="H34" i="16"/>
  <c r="J72" i="16"/>
  <c r="J71" i="16"/>
  <c r="J68" i="16"/>
  <c r="C12" i="57" s="1"/>
  <c r="J52" i="16"/>
  <c r="J51" i="16"/>
  <c r="J49" i="16"/>
  <c r="J47" i="16"/>
  <c r="J46" i="16"/>
  <c r="J44" i="16"/>
  <c r="J43" i="16" s="1"/>
  <c r="J41" i="16"/>
  <c r="J40" i="16"/>
  <c r="J37" i="16"/>
  <c r="J36" i="16"/>
  <c r="J35" i="16"/>
  <c r="J31" i="16"/>
  <c r="J30" i="16"/>
  <c r="J29" i="16"/>
  <c r="J28" i="16"/>
  <c r="J26" i="16"/>
  <c r="J25" i="16"/>
  <c r="J24" i="16"/>
  <c r="J23" i="16"/>
  <c r="J22" i="16"/>
  <c r="J19" i="16"/>
  <c r="J18" i="16"/>
  <c r="J17" i="16"/>
  <c r="J15" i="16"/>
  <c r="J12" i="16"/>
  <c r="C70" i="16"/>
  <c r="C69" i="16" s="1"/>
  <c r="C62" i="16"/>
  <c r="C61" i="16" s="1"/>
  <c r="C57" i="16"/>
  <c r="C56" i="16" s="1"/>
  <c r="C43" i="16"/>
  <c r="C42" i="16" s="1"/>
  <c r="C39" i="16"/>
  <c r="C38" i="16" s="1"/>
  <c r="I10" i="16"/>
  <c r="I9" i="16" s="1"/>
  <c r="H10" i="16"/>
  <c r="H9" i="16" s="1"/>
  <c r="E19" i="27"/>
  <c r="J11" i="16"/>
  <c r="J81" i="65"/>
  <c r="J75" i="65"/>
  <c r="J43" i="65"/>
  <c r="J67" i="65"/>
  <c r="C17" i="65"/>
  <c r="J68" i="65"/>
  <c r="J82" i="65"/>
  <c r="F126" i="64"/>
  <c r="M126" i="64"/>
  <c r="L8" i="68"/>
  <c r="I91" i="68"/>
  <c r="H91" i="68"/>
  <c r="I48" i="68"/>
  <c r="H63" i="68"/>
  <c r="K67" i="68"/>
  <c r="M67" i="68" s="1"/>
  <c r="I67" i="68"/>
  <c r="H67" i="68"/>
  <c r="I71" i="68"/>
  <c r="K71" i="68"/>
  <c r="M71" i="68" s="1"/>
  <c r="I76" i="68"/>
  <c r="H76" i="68"/>
  <c r="K76" i="68"/>
  <c r="M76" i="68" s="1"/>
  <c r="H87" i="68"/>
  <c r="I87" i="68"/>
  <c r="H71" i="68"/>
  <c r="H88" i="68"/>
  <c r="H73" i="68"/>
  <c r="I60" i="68"/>
  <c r="I79" i="68"/>
  <c r="K53" i="68"/>
  <c r="M53" i="68" s="1"/>
  <c r="I59" i="68"/>
  <c r="J59" i="68" s="1"/>
  <c r="L59" i="68" s="1"/>
  <c r="I69" i="68"/>
  <c r="M69" i="68"/>
  <c r="I78" i="68"/>
  <c r="H78" i="68"/>
  <c r="K78" i="68"/>
  <c r="M78" i="68" s="1"/>
  <c r="I90" i="68"/>
  <c r="H44" i="68"/>
  <c r="H65" i="68"/>
  <c r="J65" i="68" s="1"/>
  <c r="L65" i="68" s="1"/>
  <c r="H77" i="68"/>
  <c r="H94" i="68"/>
  <c r="K65" i="68"/>
  <c r="M65" i="68" s="1"/>
  <c r="J28" i="65"/>
  <c r="J27" i="65" s="1"/>
  <c r="H46" i="58"/>
  <c r="H49" i="58" s="1"/>
  <c r="C33" i="65"/>
  <c r="J73" i="65"/>
  <c r="J66" i="65"/>
  <c r="J19" i="65"/>
  <c r="C36" i="65"/>
  <c r="J37" i="65"/>
  <c r="J77" i="65"/>
  <c r="J45" i="65"/>
  <c r="J15" i="69" l="1"/>
  <c r="O16" i="68"/>
  <c r="J73" i="16"/>
  <c r="C82" i="16"/>
  <c r="J152" i="65"/>
  <c r="J157" i="65"/>
  <c r="J156" i="65" s="1"/>
  <c r="H93" i="68"/>
  <c r="J93" i="68" s="1"/>
  <c r="L93" i="68" s="1"/>
  <c r="O93" i="68" s="1"/>
  <c r="K68" i="68"/>
  <c r="M68" i="68" s="1"/>
  <c r="H89" i="68"/>
  <c r="D39" i="65"/>
  <c r="O25" i="68"/>
  <c r="H53" i="68"/>
  <c r="K79" i="68"/>
  <c r="M79" i="68" s="1"/>
  <c r="I80" i="68"/>
  <c r="G13" i="68"/>
  <c r="G28" i="68" s="1"/>
  <c r="C28" i="68"/>
  <c r="O36" i="68"/>
  <c r="O62" i="68"/>
  <c r="H11" i="68"/>
  <c r="H13" i="68" s="1"/>
  <c r="H28" i="68" s="1"/>
  <c r="J49" i="69"/>
  <c r="J85" i="69" s="1"/>
  <c r="I85" i="69"/>
  <c r="I45" i="68"/>
  <c r="J45" i="68" s="1"/>
  <c r="L45" i="68" s="1"/>
  <c r="K32" i="68"/>
  <c r="M32" i="68" s="1"/>
  <c r="H32" i="68"/>
  <c r="H39" i="68" s="1"/>
  <c r="K45" i="68"/>
  <c r="M45" i="68" s="1"/>
  <c r="E28" i="68"/>
  <c r="J33" i="69"/>
  <c r="G33" i="69"/>
  <c r="G34" i="69" s="1"/>
  <c r="G86" i="69" s="1"/>
  <c r="K66" i="68"/>
  <c r="M66" i="68" s="1"/>
  <c r="K125" i="68"/>
  <c r="J79" i="68"/>
  <c r="L79" i="68" s="1"/>
  <c r="J137" i="65"/>
  <c r="J128" i="65" s="1"/>
  <c r="O9" i="68"/>
  <c r="C99" i="68"/>
  <c r="O33" i="68"/>
  <c r="J125" i="68"/>
  <c r="M125" i="68" s="1"/>
  <c r="J45" i="16"/>
  <c r="O20" i="68"/>
  <c r="O24" i="68"/>
  <c r="O52" i="68"/>
  <c r="M95" i="68"/>
  <c r="O46" i="68"/>
  <c r="J90" i="68"/>
  <c r="L90" i="68" s="1"/>
  <c r="O90" i="68" s="1"/>
  <c r="J17" i="65"/>
  <c r="C118" i="65"/>
  <c r="J70" i="65"/>
  <c r="J65" i="65" s="1"/>
  <c r="J53" i="16"/>
  <c r="D107" i="65"/>
  <c r="H107" i="65"/>
  <c r="J10" i="65"/>
  <c r="G118" i="65"/>
  <c r="D118" i="65"/>
  <c r="H42" i="16"/>
  <c r="J70" i="16"/>
  <c r="J69" i="16" s="1"/>
  <c r="I42" i="16"/>
  <c r="J39" i="16"/>
  <c r="J38" i="16" s="1"/>
  <c r="C9" i="57" s="1"/>
  <c r="I70" i="68"/>
  <c r="J70" i="68" s="1"/>
  <c r="L70" i="68" s="1"/>
  <c r="I38" i="68"/>
  <c r="J38" i="68" s="1"/>
  <c r="L38" i="68" s="1"/>
  <c r="H80" i="68"/>
  <c r="K38" i="68"/>
  <c r="M38" i="68" s="1"/>
  <c r="H128" i="65"/>
  <c r="J19" i="27"/>
  <c r="H126" i="64"/>
  <c r="N13" i="68"/>
  <c r="O30" i="68"/>
  <c r="O75" i="68"/>
  <c r="O81" i="68"/>
  <c r="G95" i="68"/>
  <c r="N95" i="68"/>
  <c r="H60" i="68"/>
  <c r="J60" i="68" s="1"/>
  <c r="L60" i="68" s="1"/>
  <c r="O60" i="68" s="1"/>
  <c r="I20" i="16"/>
  <c r="I82" i="16" s="1"/>
  <c r="H118" i="65"/>
  <c r="C107" i="65"/>
  <c r="I39" i="65"/>
  <c r="O15" i="68"/>
  <c r="O17" i="68"/>
  <c r="O19" i="68"/>
  <c r="O23" i="68"/>
  <c r="O31" i="68"/>
  <c r="I34" i="69"/>
  <c r="I86" i="69" s="1"/>
  <c r="H74" i="68"/>
  <c r="K59" i="68"/>
  <c r="M59" i="68" s="1"/>
  <c r="O59" i="68" s="1"/>
  <c r="I44" i="68"/>
  <c r="J44" i="68" s="1"/>
  <c r="L44" i="68" s="1"/>
  <c r="O44" i="68" s="1"/>
  <c r="H134" i="68"/>
  <c r="H48" i="68"/>
  <c r="J48" i="68" s="1"/>
  <c r="L48" i="68" s="1"/>
  <c r="O48" i="68" s="1"/>
  <c r="E39" i="68"/>
  <c r="J102" i="65"/>
  <c r="G39" i="65"/>
  <c r="G107" i="65"/>
  <c r="O10" i="68"/>
  <c r="O26" i="68"/>
  <c r="N85" i="68"/>
  <c r="O47" i="68"/>
  <c r="O49" i="68"/>
  <c r="O50" i="68"/>
  <c r="O54" i="68"/>
  <c r="O57" i="68"/>
  <c r="D99" i="68"/>
  <c r="I74" i="68"/>
  <c r="O65" i="68"/>
  <c r="H83" i="68"/>
  <c r="I51" i="68"/>
  <c r="J51" i="68" s="1"/>
  <c r="L51" i="68" s="1"/>
  <c r="J27" i="68"/>
  <c r="O7" i="68"/>
  <c r="J56" i="16"/>
  <c r="C13" i="57" s="1"/>
  <c r="J61" i="16"/>
  <c r="C128" i="65"/>
  <c r="H39" i="65"/>
  <c r="G128" i="65"/>
  <c r="M27" i="68"/>
  <c r="O18" i="68"/>
  <c r="O22" i="68"/>
  <c r="O42" i="68"/>
  <c r="O61" i="68"/>
  <c r="K64" i="68"/>
  <c r="M64" i="68" s="1"/>
  <c r="E95" i="68"/>
  <c r="K70" i="68"/>
  <c r="M70" i="68" s="1"/>
  <c r="I19" i="27"/>
  <c r="I66" i="68"/>
  <c r="J66" i="68" s="1"/>
  <c r="L66" i="68" s="1"/>
  <c r="I83" i="68"/>
  <c r="K51" i="68"/>
  <c r="M51" i="68" s="1"/>
  <c r="G9" i="65"/>
  <c r="I128" i="65"/>
  <c r="O12" i="68"/>
  <c r="O34" i="68"/>
  <c r="I95" i="68"/>
  <c r="I68" i="68"/>
  <c r="J68" i="68" s="1"/>
  <c r="L68" i="68" s="1"/>
  <c r="D128" i="65"/>
  <c r="J89" i="68"/>
  <c r="L89" i="68" s="1"/>
  <c r="O89" i="68" s="1"/>
  <c r="K11" i="68"/>
  <c r="J71" i="68"/>
  <c r="L71" i="68" s="1"/>
  <c r="O71" i="68" s="1"/>
  <c r="J87" i="68"/>
  <c r="L87" i="68" s="1"/>
  <c r="J91" i="68"/>
  <c r="L91" i="68" s="1"/>
  <c r="O91" i="68" s="1"/>
  <c r="E85" i="68"/>
  <c r="H9" i="65"/>
  <c r="K18" i="67"/>
  <c r="N39" i="68"/>
  <c r="O35" i="68"/>
  <c r="I11" i="68"/>
  <c r="I13" i="68" s="1"/>
  <c r="I28" i="68" s="1"/>
  <c r="D28" i="68"/>
  <c r="H92" i="68"/>
  <c r="J92" i="68" s="1"/>
  <c r="L92" i="68" s="1"/>
  <c r="O92" i="68" s="1"/>
  <c r="K43" i="68"/>
  <c r="M43" i="68" s="1"/>
  <c r="H20" i="16"/>
  <c r="J110" i="65"/>
  <c r="J107" i="65" s="1"/>
  <c r="C21" i="57" s="1"/>
  <c r="C39" i="65"/>
  <c r="J94" i="65"/>
  <c r="J72" i="65"/>
  <c r="J40" i="65"/>
  <c r="J34" i="16"/>
  <c r="J21" i="16"/>
  <c r="J10" i="16"/>
  <c r="J9" i="16" s="1"/>
  <c r="C7" i="57" s="1"/>
  <c r="I72" i="68"/>
  <c r="H72" i="68"/>
  <c r="K72" i="68"/>
  <c r="M72" i="68" s="1"/>
  <c r="J36" i="65"/>
  <c r="J88" i="65"/>
  <c r="J122" i="65"/>
  <c r="J118" i="65" s="1"/>
  <c r="C22" i="57" s="1"/>
  <c r="J77" i="68"/>
  <c r="L77" i="68" s="1"/>
  <c r="N27" i="68"/>
  <c r="O21" i="68"/>
  <c r="I9" i="65"/>
  <c r="J78" i="68"/>
  <c r="L78" i="68" s="1"/>
  <c r="O78" i="68" s="1"/>
  <c r="J76" i="68"/>
  <c r="L76" i="68" s="1"/>
  <c r="O76" i="68" s="1"/>
  <c r="J63" i="68"/>
  <c r="L63" i="68" s="1"/>
  <c r="O63" i="68" s="1"/>
  <c r="J94" i="68"/>
  <c r="L94" i="68" s="1"/>
  <c r="O94" i="68" s="1"/>
  <c r="J88" i="68"/>
  <c r="L88" i="68" s="1"/>
  <c r="O88" i="68" s="1"/>
  <c r="J67" i="68"/>
  <c r="L67" i="68" s="1"/>
  <c r="O67" i="68" s="1"/>
  <c r="O8" i="68"/>
  <c r="I118" i="65"/>
  <c r="H69" i="68"/>
  <c r="J69" i="68" s="1"/>
  <c r="L69" i="68" s="1"/>
  <c r="O69" i="68" s="1"/>
  <c r="G39" i="68"/>
  <c r="F99" i="68"/>
  <c r="F28" i="68"/>
  <c r="O37" i="68"/>
  <c r="O41" i="68"/>
  <c r="J53" i="68"/>
  <c r="L53" i="68" s="1"/>
  <c r="O53" i="68" s="1"/>
  <c r="L27" i="68"/>
  <c r="G85" i="68"/>
  <c r="O55" i="68"/>
  <c r="O56" i="68"/>
  <c r="O58" i="68"/>
  <c r="O84" i="68"/>
  <c r="I43" i="68"/>
  <c r="I73" i="68"/>
  <c r="J73" i="68" s="1"/>
  <c r="L73" i="68" s="1"/>
  <c r="O73" i="68" s="1"/>
  <c r="K77" i="68"/>
  <c r="M77" i="68" s="1"/>
  <c r="I64" i="68"/>
  <c r="J64" i="68" s="1"/>
  <c r="L64" i="68" s="1"/>
  <c r="O64" i="68" s="1"/>
  <c r="H82" i="68"/>
  <c r="I82" i="68"/>
  <c r="G107" i="69" l="1"/>
  <c r="F108" i="69" s="1"/>
  <c r="I160" i="65"/>
  <c r="J42" i="16"/>
  <c r="H82" i="16"/>
  <c r="C24" i="57"/>
  <c r="G160" i="65"/>
  <c r="H160" i="65"/>
  <c r="J80" i="68"/>
  <c r="L80" i="68" s="1"/>
  <c r="O80" i="68" s="1"/>
  <c r="N99" i="68"/>
  <c r="J32" i="68"/>
  <c r="O68" i="68"/>
  <c r="O79" i="68"/>
  <c r="O45" i="68"/>
  <c r="I39" i="68"/>
  <c r="I107" i="69"/>
  <c r="N28" i="68"/>
  <c r="O66" i="68"/>
  <c r="E99" i="68"/>
  <c r="M39" i="68"/>
  <c r="K39" i="68"/>
  <c r="J34" i="69"/>
  <c r="J86" i="69" s="1"/>
  <c r="J107" i="69" s="1"/>
  <c r="O38" i="68"/>
  <c r="J74" i="68"/>
  <c r="L74" i="68" s="1"/>
  <c r="O74" i="68" s="1"/>
  <c r="O27" i="68"/>
  <c r="O70" i="68"/>
  <c r="O77" i="68"/>
  <c r="J72" i="68"/>
  <c r="L72" i="68" s="1"/>
  <c r="O72" i="68" s="1"/>
  <c r="K85" i="68"/>
  <c r="O51" i="68"/>
  <c r="J11" i="68"/>
  <c r="L11" i="68" s="1"/>
  <c r="L13" i="68" s="1"/>
  <c r="L28" i="68" s="1"/>
  <c r="H95" i="68"/>
  <c r="J83" i="68"/>
  <c r="L83" i="68" s="1"/>
  <c r="O83" i="68" s="1"/>
  <c r="K13" i="68"/>
  <c r="K28" i="68" s="1"/>
  <c r="M11" i="68"/>
  <c r="M13" i="68" s="1"/>
  <c r="M28" i="68" s="1"/>
  <c r="C23" i="57"/>
  <c r="J39" i="65"/>
  <c r="C20" i="57" s="1"/>
  <c r="C10" i="57"/>
  <c r="J20" i="16"/>
  <c r="C8" i="57" s="1"/>
  <c r="G99" i="68"/>
  <c r="M85" i="68"/>
  <c r="L95" i="68"/>
  <c r="O87" i="68"/>
  <c r="O95" i="68" s="1"/>
  <c r="H85" i="68"/>
  <c r="L32" i="68"/>
  <c r="J39" i="68"/>
  <c r="J82" i="68"/>
  <c r="L82" i="68" s="1"/>
  <c r="O82" i="68" s="1"/>
  <c r="I85" i="68"/>
  <c r="I99" i="68" s="1"/>
  <c r="J43" i="68"/>
  <c r="J95" i="68"/>
  <c r="F109" i="69" l="1"/>
  <c r="H19" i="12" s="1"/>
  <c r="H87" i="12" s="1"/>
  <c r="F110" i="69"/>
  <c r="H17" i="20" s="1"/>
  <c r="D25" i="65" s="1"/>
  <c r="D24" i="65" s="1"/>
  <c r="D9" i="65" s="1"/>
  <c r="D160" i="65" s="1"/>
  <c r="J82" i="16"/>
  <c r="H99" i="68"/>
  <c r="M99" i="68"/>
  <c r="C14" i="57"/>
  <c r="C15" i="57" s="1"/>
  <c r="K99" i="68"/>
  <c r="J13" i="68"/>
  <c r="J28" i="68" s="1"/>
  <c r="O11" i="68"/>
  <c r="O13" i="68" s="1"/>
  <c r="O28" i="68" s="1"/>
  <c r="L39" i="68"/>
  <c r="O32" i="68"/>
  <c r="O39" i="68" s="1"/>
  <c r="L43" i="68"/>
  <c r="J85" i="68"/>
  <c r="F111" i="69" l="1"/>
  <c r="H72" i="20"/>
  <c r="H189" i="20" s="1"/>
  <c r="J74" i="20"/>
  <c r="J89" i="12"/>
  <c r="C25" i="65"/>
  <c r="J99" i="68"/>
  <c r="O43" i="68"/>
  <c r="O85" i="68" s="1"/>
  <c r="O99" i="68" s="1"/>
  <c r="L85" i="68"/>
  <c r="L99" i="68" s="1"/>
  <c r="J76" i="20" l="1"/>
  <c r="K76" i="20" s="1"/>
  <c r="J91" i="12"/>
  <c r="C24" i="65"/>
  <c r="C9" i="65" s="1"/>
  <c r="C160" i="65" s="1"/>
  <c r="J25" i="65"/>
  <c r="J24" i="65" s="1"/>
  <c r="J9" i="65" l="1"/>
  <c r="J160" i="65" s="1"/>
  <c r="C19" i="57" l="1"/>
  <c r="C25" i="57" s="1"/>
  <c r="G77"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C135" authorId="0" shapeId="0" xr:uid="{00000000-0006-0000-0300-000001000000}">
      <text>
        <r>
          <rPr>
            <b/>
            <sz val="9"/>
            <color indexed="81"/>
            <rFont val="Tahoma"/>
            <family val="2"/>
          </rPr>
          <t>dell:</t>
        </r>
        <r>
          <rPr>
            <sz val="9"/>
            <color indexed="81"/>
            <rFont val="Tahoma"/>
            <family val="2"/>
          </rPr>
          <t xml:space="preserve">
PARA GASTOS DE INSTRUMENTOS MUSICALES 50% ESTIMACION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dell</author>
    <author>CONTABILIDAD</author>
  </authors>
  <commentList>
    <comment ref="H10" authorId="0" shapeId="0" xr:uid="{00000000-0006-0000-0400-000001000000}">
      <text>
        <r>
          <rPr>
            <b/>
            <sz val="9"/>
            <color indexed="81"/>
            <rFont val="Tahoma"/>
            <family val="2"/>
          </rPr>
          <t>dell:</t>
        </r>
        <r>
          <rPr>
            <sz val="9"/>
            <color indexed="81"/>
            <rFont val="Tahoma"/>
            <family val="2"/>
          </rPr>
          <t xml:space="preserve">
planilla de salario por 3 meses de enero a marzo</t>
        </r>
      </text>
    </comment>
    <comment ref="I10" authorId="0" shapeId="0" xr:uid="{C16DE157-D833-427A-BDF6-75C72A6CFD33}">
      <text>
        <r>
          <rPr>
            <b/>
            <sz val="9"/>
            <color indexed="81"/>
            <rFont val="Tahoma"/>
            <family val="2"/>
          </rPr>
          <t>dell:</t>
        </r>
        <r>
          <rPr>
            <sz val="9"/>
            <color indexed="81"/>
            <rFont val="Tahoma"/>
            <family val="2"/>
          </rPr>
          <t xml:space="preserve">
planilla de salario por 3 meses de enero a marzo</t>
        </r>
      </text>
    </comment>
    <comment ref="J10" authorId="0" shapeId="0" xr:uid="{4D2906AA-3038-4ECE-814E-C88C11B3F1DA}">
      <text>
        <r>
          <rPr>
            <b/>
            <sz val="9"/>
            <color indexed="81"/>
            <rFont val="Tahoma"/>
            <family val="2"/>
          </rPr>
          <t>dell:</t>
        </r>
        <r>
          <rPr>
            <sz val="9"/>
            <color indexed="81"/>
            <rFont val="Tahoma"/>
            <family val="2"/>
          </rPr>
          <t xml:space="preserve">
planilla de salario por 3 meses de enero a marzo</t>
        </r>
      </text>
    </comment>
    <comment ref="K10" authorId="0" shapeId="0" xr:uid="{AA5E4686-5298-4AA6-B140-81ABC00E6ACC}">
      <text>
        <r>
          <rPr>
            <b/>
            <sz val="9"/>
            <color indexed="81"/>
            <rFont val="Tahoma"/>
            <family val="2"/>
          </rPr>
          <t>dell:</t>
        </r>
        <r>
          <rPr>
            <sz val="9"/>
            <color indexed="81"/>
            <rFont val="Tahoma"/>
            <family val="2"/>
          </rPr>
          <t xml:space="preserve">
planilla de salario por 3 meses de enero a marzo</t>
        </r>
      </text>
    </comment>
    <comment ref="P10" authorId="0" shapeId="0" xr:uid="{BA98AD31-C2C6-4E36-9C50-CC747758EDBE}">
      <text>
        <r>
          <rPr>
            <b/>
            <sz val="9"/>
            <color indexed="81"/>
            <rFont val="Tahoma"/>
            <family val="2"/>
          </rPr>
          <t>dell:</t>
        </r>
        <r>
          <rPr>
            <sz val="9"/>
            <color indexed="81"/>
            <rFont val="Tahoma"/>
            <family val="2"/>
          </rPr>
          <t xml:space="preserve">
planilla de salario por 3 meses de enero a marzo</t>
        </r>
      </text>
    </comment>
    <comment ref="S10" authorId="0" shapeId="0" xr:uid="{E7DAF467-E118-4430-9F74-B64F3F6C1DD1}">
      <text>
        <r>
          <rPr>
            <b/>
            <sz val="9"/>
            <color indexed="81"/>
            <rFont val="Tahoma"/>
            <family val="2"/>
          </rPr>
          <t>dell:</t>
        </r>
        <r>
          <rPr>
            <sz val="9"/>
            <color indexed="81"/>
            <rFont val="Tahoma"/>
            <family val="2"/>
          </rPr>
          <t xml:space="preserve">
planilla de salario por 3 meses de enero a marzo</t>
        </r>
      </text>
    </comment>
    <comment ref="T10" authorId="0" shapeId="0" xr:uid="{E032C9F0-BF76-4FFC-ACC1-38F845103C8B}">
      <text>
        <r>
          <rPr>
            <b/>
            <sz val="9"/>
            <color indexed="81"/>
            <rFont val="Tahoma"/>
            <family val="2"/>
          </rPr>
          <t>dell:</t>
        </r>
        <r>
          <rPr>
            <sz val="9"/>
            <color indexed="81"/>
            <rFont val="Tahoma"/>
            <family val="2"/>
          </rPr>
          <t xml:space="preserve">
planilla de salario por 3 meses de enero a marzo</t>
        </r>
      </text>
    </comment>
    <comment ref="U10" authorId="0" shapeId="0" xr:uid="{B3523440-75FA-4E06-BE48-5DB95620D677}">
      <text>
        <r>
          <rPr>
            <b/>
            <sz val="9"/>
            <color indexed="81"/>
            <rFont val="Tahoma"/>
            <family val="2"/>
          </rPr>
          <t>dell:</t>
        </r>
        <r>
          <rPr>
            <sz val="9"/>
            <color indexed="81"/>
            <rFont val="Tahoma"/>
            <family val="2"/>
          </rPr>
          <t xml:space="preserve">
planilla de salario por 3 meses de enero a marzo</t>
        </r>
      </text>
    </comment>
    <comment ref="V10" authorId="0" shapeId="0" xr:uid="{5F5480A1-E0C4-46B9-B29B-2F57C2E21414}">
      <text>
        <r>
          <rPr>
            <b/>
            <sz val="9"/>
            <color indexed="81"/>
            <rFont val="Tahoma"/>
            <family val="2"/>
          </rPr>
          <t>dell:</t>
        </r>
        <r>
          <rPr>
            <sz val="9"/>
            <color indexed="81"/>
            <rFont val="Tahoma"/>
            <family val="2"/>
          </rPr>
          <t xml:space="preserve">
planilla de salario por 3 meses de enero a marzo</t>
        </r>
      </text>
    </comment>
    <comment ref="W10" authorId="0" shapeId="0" xr:uid="{ABF4C118-77F1-4EE9-B973-1B749A771552}">
      <text>
        <r>
          <rPr>
            <b/>
            <sz val="9"/>
            <color indexed="81"/>
            <rFont val="Tahoma"/>
            <family val="2"/>
          </rPr>
          <t>dell:</t>
        </r>
        <r>
          <rPr>
            <sz val="9"/>
            <color indexed="81"/>
            <rFont val="Tahoma"/>
            <family val="2"/>
          </rPr>
          <t xml:space="preserve">
planilla de salario por 3 meses de enero a marzo</t>
        </r>
      </text>
    </comment>
    <comment ref="X10" authorId="0" shapeId="0" xr:uid="{6C7567FE-BEF9-4659-B602-94FCBAA5C881}">
      <text>
        <r>
          <rPr>
            <b/>
            <sz val="9"/>
            <color indexed="81"/>
            <rFont val="Tahoma"/>
            <family val="2"/>
          </rPr>
          <t>dell:</t>
        </r>
        <r>
          <rPr>
            <sz val="9"/>
            <color indexed="81"/>
            <rFont val="Tahoma"/>
            <family val="2"/>
          </rPr>
          <t xml:space="preserve">
planilla de salario por 3 meses de enero a marzo</t>
        </r>
      </text>
    </comment>
    <comment ref="Y10" authorId="0" shapeId="0" xr:uid="{6B2399A9-88F8-4ACF-B694-AE2DA618C510}">
      <text>
        <r>
          <rPr>
            <b/>
            <sz val="9"/>
            <color indexed="81"/>
            <rFont val="Tahoma"/>
            <family val="2"/>
          </rPr>
          <t>dell:</t>
        </r>
        <r>
          <rPr>
            <sz val="9"/>
            <color indexed="81"/>
            <rFont val="Tahoma"/>
            <family val="2"/>
          </rPr>
          <t xml:space="preserve">
planilla de salario por 3 meses de enero a marzo</t>
        </r>
      </text>
    </comment>
    <comment ref="Z10" authorId="0" shapeId="0" xr:uid="{ED7B5F63-6C0E-4445-A453-34EBA939E22E}">
      <text>
        <r>
          <rPr>
            <b/>
            <sz val="9"/>
            <color indexed="81"/>
            <rFont val="Tahoma"/>
            <family val="2"/>
          </rPr>
          <t>dell:</t>
        </r>
        <r>
          <rPr>
            <sz val="9"/>
            <color indexed="81"/>
            <rFont val="Tahoma"/>
            <family val="2"/>
          </rPr>
          <t xml:space="preserve">
planilla de salario por 3 meses de enero a marzo</t>
        </r>
      </text>
    </comment>
    <comment ref="AA10" authorId="0" shapeId="0" xr:uid="{07C91A27-5B12-4573-A0CD-8CE440B30DE5}">
      <text>
        <r>
          <rPr>
            <b/>
            <sz val="9"/>
            <color indexed="81"/>
            <rFont val="Tahoma"/>
            <family val="2"/>
          </rPr>
          <t>dell:</t>
        </r>
        <r>
          <rPr>
            <sz val="9"/>
            <color indexed="81"/>
            <rFont val="Tahoma"/>
            <family val="2"/>
          </rPr>
          <t xml:space="preserve">
planilla de salario por 3 meses de enero a marzo</t>
        </r>
      </text>
    </comment>
    <comment ref="AB10" authorId="0" shapeId="0" xr:uid="{98E61386-9298-4E23-B4D2-31E148BCE344}">
      <text>
        <r>
          <rPr>
            <b/>
            <sz val="9"/>
            <color indexed="81"/>
            <rFont val="Tahoma"/>
            <family val="2"/>
          </rPr>
          <t>dell:</t>
        </r>
        <r>
          <rPr>
            <sz val="9"/>
            <color indexed="81"/>
            <rFont val="Tahoma"/>
            <family val="2"/>
          </rPr>
          <t xml:space="preserve">
planilla de salario por 3 meses de enero a marzo</t>
        </r>
      </text>
    </comment>
    <comment ref="AC10" authorId="0" shapeId="0" xr:uid="{C6A6E39B-76D2-4543-A7D9-6879922D34F7}">
      <text>
        <r>
          <rPr>
            <b/>
            <sz val="9"/>
            <color indexed="81"/>
            <rFont val="Tahoma"/>
            <family val="2"/>
          </rPr>
          <t>dell:</t>
        </r>
        <r>
          <rPr>
            <sz val="9"/>
            <color indexed="81"/>
            <rFont val="Tahoma"/>
            <family val="2"/>
          </rPr>
          <t xml:space="preserve">
planilla de salario por 3 meses de enero a marzo</t>
        </r>
      </text>
    </comment>
    <comment ref="AD10" authorId="0" shapeId="0" xr:uid="{D3973F56-C7EE-49C0-946C-55A96CAE91B0}">
      <text>
        <r>
          <rPr>
            <b/>
            <sz val="9"/>
            <color indexed="81"/>
            <rFont val="Tahoma"/>
            <family val="2"/>
          </rPr>
          <t>dell:</t>
        </r>
        <r>
          <rPr>
            <sz val="9"/>
            <color indexed="81"/>
            <rFont val="Tahoma"/>
            <family val="2"/>
          </rPr>
          <t xml:space="preserve">
planilla de salario por 3 meses de enero a marzo</t>
        </r>
      </text>
    </comment>
    <comment ref="AG10" authorId="0" shapeId="0" xr:uid="{5B64EB42-B759-44EF-9887-8EDECE5F92AA}">
      <text>
        <r>
          <rPr>
            <b/>
            <sz val="9"/>
            <color indexed="81"/>
            <rFont val="Tahoma"/>
            <family val="2"/>
          </rPr>
          <t>dell:</t>
        </r>
        <r>
          <rPr>
            <sz val="9"/>
            <color indexed="81"/>
            <rFont val="Tahoma"/>
            <family val="2"/>
          </rPr>
          <t xml:space="preserve">
planilla de salario por 3 meses de enero a marzo</t>
        </r>
      </text>
    </comment>
    <comment ref="AH10" authorId="0" shapeId="0" xr:uid="{C197B1AA-F90D-4FF7-8572-551E2591D0DF}">
      <text>
        <r>
          <rPr>
            <b/>
            <sz val="9"/>
            <color indexed="81"/>
            <rFont val="Tahoma"/>
            <family val="2"/>
          </rPr>
          <t>dell:</t>
        </r>
        <r>
          <rPr>
            <sz val="9"/>
            <color indexed="81"/>
            <rFont val="Tahoma"/>
            <family val="2"/>
          </rPr>
          <t xml:space="preserve">
planilla de salario por 3 meses de enero a marzo</t>
        </r>
      </text>
    </comment>
    <comment ref="H12" authorId="0" shapeId="0" xr:uid="{00000000-0006-0000-0400-000002000000}">
      <text>
        <r>
          <rPr>
            <sz val="9"/>
            <color indexed="81"/>
            <rFont val="Tahoma"/>
            <family val="2"/>
          </rPr>
          <t xml:space="preserve">
</t>
        </r>
      </text>
    </comment>
    <comment ref="I12" authorId="0" shapeId="0" xr:uid="{502F65FF-2A63-4142-9977-B4D280722F57}">
      <text>
        <r>
          <rPr>
            <sz val="9"/>
            <color indexed="81"/>
            <rFont val="Tahoma"/>
            <family val="2"/>
          </rPr>
          <t xml:space="preserve">
</t>
        </r>
      </text>
    </comment>
    <comment ref="J12" authorId="0" shapeId="0" xr:uid="{6747A05A-8C67-4691-921F-F7A5260CAB43}">
      <text>
        <r>
          <rPr>
            <sz val="9"/>
            <color indexed="81"/>
            <rFont val="Tahoma"/>
            <family val="2"/>
          </rPr>
          <t xml:space="preserve">
</t>
        </r>
      </text>
    </comment>
    <comment ref="K12" authorId="0" shapeId="0" xr:uid="{03049533-C0F2-4900-B653-8D8FA6BA4899}">
      <text>
        <r>
          <rPr>
            <sz val="9"/>
            <color indexed="81"/>
            <rFont val="Tahoma"/>
            <family val="2"/>
          </rPr>
          <t xml:space="preserve">
</t>
        </r>
      </text>
    </comment>
    <comment ref="P12" authorId="0" shapeId="0" xr:uid="{44BE45D9-294A-40E2-BC4E-9C7FDA46DD76}">
      <text>
        <r>
          <rPr>
            <sz val="9"/>
            <color indexed="81"/>
            <rFont val="Tahoma"/>
            <family val="2"/>
          </rPr>
          <t xml:space="preserve">
</t>
        </r>
      </text>
    </comment>
    <comment ref="S12" authorId="0" shapeId="0" xr:uid="{53B66BF4-BA97-436B-841C-9A5811C1F8B8}">
      <text>
        <r>
          <rPr>
            <sz val="9"/>
            <color indexed="81"/>
            <rFont val="Tahoma"/>
            <family val="2"/>
          </rPr>
          <t xml:space="preserve">
</t>
        </r>
      </text>
    </comment>
    <comment ref="T12" authorId="0" shapeId="0" xr:uid="{C0AE68F5-42AB-46F6-954E-96C19DC9C302}">
      <text>
        <r>
          <rPr>
            <sz val="9"/>
            <color indexed="81"/>
            <rFont val="Tahoma"/>
            <family val="2"/>
          </rPr>
          <t xml:space="preserve">
</t>
        </r>
      </text>
    </comment>
    <comment ref="U12" authorId="0" shapeId="0" xr:uid="{8FFB5146-2831-441D-A8EE-C7969E046A43}">
      <text>
        <r>
          <rPr>
            <sz val="9"/>
            <color indexed="81"/>
            <rFont val="Tahoma"/>
            <family val="2"/>
          </rPr>
          <t xml:space="preserve">
</t>
        </r>
      </text>
    </comment>
    <comment ref="V12" authorId="0" shapeId="0" xr:uid="{4D17F39A-B2DF-487D-A2A3-4EE7DDE44422}">
      <text>
        <r>
          <rPr>
            <sz val="9"/>
            <color indexed="81"/>
            <rFont val="Tahoma"/>
            <family val="2"/>
          </rPr>
          <t xml:space="preserve">
</t>
        </r>
      </text>
    </comment>
    <comment ref="W12" authorId="0" shapeId="0" xr:uid="{8B0F8B38-A323-417E-B44C-FE23ACF2FB2F}">
      <text>
        <r>
          <rPr>
            <sz val="9"/>
            <color indexed="81"/>
            <rFont val="Tahoma"/>
            <family val="2"/>
          </rPr>
          <t xml:space="preserve">
</t>
        </r>
      </text>
    </comment>
    <comment ref="X12" authorId="0" shapeId="0" xr:uid="{10D75631-4F29-4204-96AA-E6DFE5610FAD}">
      <text>
        <r>
          <rPr>
            <sz val="9"/>
            <color indexed="81"/>
            <rFont val="Tahoma"/>
            <family val="2"/>
          </rPr>
          <t xml:space="preserve">
</t>
        </r>
      </text>
    </comment>
    <comment ref="Y12" authorId="0" shapeId="0" xr:uid="{F4CBDEC2-67DD-43E1-9F5C-370B184A39D8}">
      <text>
        <r>
          <rPr>
            <sz val="9"/>
            <color indexed="81"/>
            <rFont val="Tahoma"/>
            <family val="2"/>
          </rPr>
          <t xml:space="preserve">
</t>
        </r>
      </text>
    </comment>
    <comment ref="Z12" authorId="0" shapeId="0" xr:uid="{EA80A9CA-D7E3-4557-BE58-565A36CE436D}">
      <text>
        <r>
          <rPr>
            <sz val="9"/>
            <color indexed="81"/>
            <rFont val="Tahoma"/>
            <family val="2"/>
          </rPr>
          <t xml:space="preserve">
</t>
        </r>
      </text>
    </comment>
    <comment ref="AA12" authorId="0" shapeId="0" xr:uid="{2103E2BF-AD0F-4417-A9B7-EE7DED4FCFEB}">
      <text>
        <r>
          <rPr>
            <sz val="9"/>
            <color indexed="81"/>
            <rFont val="Tahoma"/>
            <family val="2"/>
          </rPr>
          <t xml:space="preserve">
</t>
        </r>
      </text>
    </comment>
    <comment ref="AB12" authorId="0" shapeId="0" xr:uid="{568DCD93-A8BF-4EC0-977D-95091EA9B875}">
      <text>
        <r>
          <rPr>
            <sz val="9"/>
            <color indexed="81"/>
            <rFont val="Tahoma"/>
            <family val="2"/>
          </rPr>
          <t xml:space="preserve">
</t>
        </r>
      </text>
    </comment>
    <comment ref="AC12" authorId="0" shapeId="0" xr:uid="{09EB9D48-DF3D-4449-AFA2-6DE3C4AB645E}">
      <text>
        <r>
          <rPr>
            <sz val="9"/>
            <color indexed="81"/>
            <rFont val="Tahoma"/>
            <family val="2"/>
          </rPr>
          <t xml:space="preserve">
</t>
        </r>
      </text>
    </comment>
    <comment ref="AD12" authorId="0" shapeId="0" xr:uid="{BFCF27E9-974F-4604-8AB3-541C77C92102}">
      <text>
        <r>
          <rPr>
            <sz val="9"/>
            <color indexed="81"/>
            <rFont val="Tahoma"/>
            <family val="2"/>
          </rPr>
          <t xml:space="preserve">
</t>
        </r>
      </text>
    </comment>
    <comment ref="AG12" authorId="0" shapeId="0" xr:uid="{F5C51033-6ECB-4A84-B12F-434C90D37823}">
      <text>
        <r>
          <rPr>
            <sz val="9"/>
            <color indexed="81"/>
            <rFont val="Tahoma"/>
            <family val="2"/>
          </rPr>
          <t xml:space="preserve">
</t>
        </r>
      </text>
    </comment>
    <comment ref="AH12" authorId="0" shapeId="0" xr:uid="{DD2715CE-D526-4488-B2A6-47067C29FA5C}">
      <text>
        <r>
          <rPr>
            <sz val="9"/>
            <color indexed="81"/>
            <rFont val="Tahoma"/>
            <family val="2"/>
          </rPr>
          <t xml:space="preserve">
</t>
        </r>
      </text>
    </comment>
    <comment ref="H13" authorId="1" shapeId="0" xr:uid="{00000000-0006-0000-0400-000003000000}">
      <text>
        <r>
          <rPr>
            <b/>
            <sz val="9"/>
            <color indexed="81"/>
            <rFont val="Tahoma"/>
            <family val="2"/>
          </rPr>
          <t>CONTABILIDAD:</t>
        </r>
        <r>
          <rPr>
            <sz val="9"/>
            <color indexed="81"/>
            <rFont val="Tahoma"/>
            <family val="2"/>
          </rPr>
          <t xml:space="preserve">
se adiciona parte de bonificac.para señores concejales de dic-22
</t>
        </r>
      </text>
    </comment>
    <comment ref="I13" authorId="1" shapeId="0" xr:uid="{FBD7151D-5361-44BF-9DCE-527EAC167B47}">
      <text>
        <r>
          <rPr>
            <b/>
            <sz val="9"/>
            <color indexed="81"/>
            <rFont val="Tahoma"/>
            <family val="2"/>
          </rPr>
          <t>CONTABILIDAD:</t>
        </r>
        <r>
          <rPr>
            <sz val="9"/>
            <color indexed="81"/>
            <rFont val="Tahoma"/>
            <family val="2"/>
          </rPr>
          <t xml:space="preserve">
se adiciona parte de bonificac.para señores concejales de dic-22
</t>
        </r>
      </text>
    </comment>
    <comment ref="J13" authorId="1" shapeId="0" xr:uid="{85B07BB6-C848-4425-9067-2032C1C495B1}">
      <text>
        <r>
          <rPr>
            <b/>
            <sz val="9"/>
            <color indexed="81"/>
            <rFont val="Tahoma"/>
            <family val="2"/>
          </rPr>
          <t>CONTABILIDAD:</t>
        </r>
        <r>
          <rPr>
            <sz val="9"/>
            <color indexed="81"/>
            <rFont val="Tahoma"/>
            <family val="2"/>
          </rPr>
          <t xml:space="preserve">
se adiciona parte de bonificac.para señores concejales de dic-22
</t>
        </r>
      </text>
    </comment>
    <comment ref="K13" authorId="1" shapeId="0" xr:uid="{7570EFC8-D289-4195-9B8D-437328D494E8}">
      <text>
        <r>
          <rPr>
            <b/>
            <sz val="9"/>
            <color indexed="81"/>
            <rFont val="Tahoma"/>
            <family val="2"/>
          </rPr>
          <t>CONTABILIDAD:</t>
        </r>
        <r>
          <rPr>
            <sz val="9"/>
            <color indexed="81"/>
            <rFont val="Tahoma"/>
            <family val="2"/>
          </rPr>
          <t xml:space="preserve">
se adiciona parte de bonificac.para señores concejales de dic-22
</t>
        </r>
      </text>
    </comment>
    <comment ref="P13" authorId="1" shapeId="0" xr:uid="{19568322-846F-4F40-AF77-12D292605F96}">
      <text>
        <r>
          <rPr>
            <b/>
            <sz val="9"/>
            <color indexed="81"/>
            <rFont val="Tahoma"/>
            <family val="2"/>
          </rPr>
          <t>CONTABILIDAD:</t>
        </r>
        <r>
          <rPr>
            <sz val="9"/>
            <color indexed="81"/>
            <rFont val="Tahoma"/>
            <family val="2"/>
          </rPr>
          <t xml:space="preserve">
se adiciona parte de bonificac.para señores concejales de dic-22
</t>
        </r>
      </text>
    </comment>
    <comment ref="S13" authorId="1" shapeId="0" xr:uid="{C12BB624-124C-42B2-A838-51B367B06E10}">
      <text>
        <r>
          <rPr>
            <b/>
            <sz val="9"/>
            <color indexed="81"/>
            <rFont val="Tahoma"/>
            <family val="2"/>
          </rPr>
          <t>CONTABILIDAD:</t>
        </r>
        <r>
          <rPr>
            <sz val="9"/>
            <color indexed="81"/>
            <rFont val="Tahoma"/>
            <family val="2"/>
          </rPr>
          <t xml:space="preserve">
se adiciona parte de bonificac.para señores concejales de dic-22
</t>
        </r>
      </text>
    </comment>
    <comment ref="T13" authorId="1" shapeId="0" xr:uid="{384BFDD4-2A96-4912-BB1B-960AE69EBB02}">
      <text>
        <r>
          <rPr>
            <b/>
            <sz val="9"/>
            <color indexed="81"/>
            <rFont val="Tahoma"/>
            <family val="2"/>
          </rPr>
          <t>CONTABILIDAD:</t>
        </r>
        <r>
          <rPr>
            <sz val="9"/>
            <color indexed="81"/>
            <rFont val="Tahoma"/>
            <family val="2"/>
          </rPr>
          <t xml:space="preserve">
se adiciona parte de bonificac.para señores concejales de dic-22
</t>
        </r>
      </text>
    </comment>
    <comment ref="U13" authorId="1" shapeId="0" xr:uid="{197AF3BF-54FC-4F46-B56D-803A4FA7CB74}">
      <text>
        <r>
          <rPr>
            <b/>
            <sz val="9"/>
            <color indexed="81"/>
            <rFont val="Tahoma"/>
            <family val="2"/>
          </rPr>
          <t>CONTABILIDAD:</t>
        </r>
        <r>
          <rPr>
            <sz val="9"/>
            <color indexed="81"/>
            <rFont val="Tahoma"/>
            <family val="2"/>
          </rPr>
          <t xml:space="preserve">
se adiciona parte de bonificac.para señores concejales de dic-22
</t>
        </r>
      </text>
    </comment>
    <comment ref="V13" authorId="1" shapeId="0" xr:uid="{E5BFC955-A350-4B22-8653-1C0F95110A9E}">
      <text>
        <r>
          <rPr>
            <b/>
            <sz val="9"/>
            <color indexed="81"/>
            <rFont val="Tahoma"/>
            <family val="2"/>
          </rPr>
          <t>CONTABILIDAD:</t>
        </r>
        <r>
          <rPr>
            <sz val="9"/>
            <color indexed="81"/>
            <rFont val="Tahoma"/>
            <family val="2"/>
          </rPr>
          <t xml:space="preserve">
se adiciona parte de bonificac.para señores concejales de dic-22
</t>
        </r>
      </text>
    </comment>
    <comment ref="W13" authorId="1" shapeId="0" xr:uid="{6C64D093-C04D-488E-84F6-F7290495253D}">
      <text>
        <r>
          <rPr>
            <b/>
            <sz val="9"/>
            <color indexed="81"/>
            <rFont val="Tahoma"/>
            <family val="2"/>
          </rPr>
          <t>CONTABILIDAD:</t>
        </r>
        <r>
          <rPr>
            <sz val="9"/>
            <color indexed="81"/>
            <rFont val="Tahoma"/>
            <family val="2"/>
          </rPr>
          <t xml:space="preserve">
se adiciona parte de bonificac.para señores concejales de dic-22
</t>
        </r>
      </text>
    </comment>
    <comment ref="X13" authorId="1" shapeId="0" xr:uid="{7996634A-8F13-4EFD-AC46-2759DB1635A7}">
      <text>
        <r>
          <rPr>
            <b/>
            <sz val="9"/>
            <color indexed="81"/>
            <rFont val="Tahoma"/>
            <family val="2"/>
          </rPr>
          <t>CONTABILIDAD:</t>
        </r>
        <r>
          <rPr>
            <sz val="9"/>
            <color indexed="81"/>
            <rFont val="Tahoma"/>
            <family val="2"/>
          </rPr>
          <t xml:space="preserve">
se adiciona parte de bonificac.para señores concejales de dic-22
</t>
        </r>
      </text>
    </comment>
    <comment ref="Y13" authorId="1" shapeId="0" xr:uid="{7B55D97A-D477-4BC3-98AF-585DE039F16E}">
      <text>
        <r>
          <rPr>
            <b/>
            <sz val="9"/>
            <color indexed="81"/>
            <rFont val="Tahoma"/>
            <family val="2"/>
          </rPr>
          <t>CONTABILIDAD:</t>
        </r>
        <r>
          <rPr>
            <sz val="9"/>
            <color indexed="81"/>
            <rFont val="Tahoma"/>
            <family val="2"/>
          </rPr>
          <t xml:space="preserve">
se adiciona parte de bonificac.para señores concejales de dic-22
</t>
        </r>
      </text>
    </comment>
    <comment ref="Z13" authorId="1" shapeId="0" xr:uid="{48AAED8A-DFEF-4895-87AF-2BA7D439E9FE}">
      <text>
        <r>
          <rPr>
            <b/>
            <sz val="9"/>
            <color indexed="81"/>
            <rFont val="Tahoma"/>
            <family val="2"/>
          </rPr>
          <t>CONTABILIDAD:</t>
        </r>
        <r>
          <rPr>
            <sz val="9"/>
            <color indexed="81"/>
            <rFont val="Tahoma"/>
            <family val="2"/>
          </rPr>
          <t xml:space="preserve">
se adiciona parte de bonificac.para señores concejales de dic-22
</t>
        </r>
      </text>
    </comment>
    <comment ref="AA13" authorId="1" shapeId="0" xr:uid="{321705D9-B560-47B3-A6AB-C8504825F939}">
      <text>
        <r>
          <rPr>
            <b/>
            <sz val="9"/>
            <color indexed="81"/>
            <rFont val="Tahoma"/>
            <family val="2"/>
          </rPr>
          <t>CONTABILIDAD:</t>
        </r>
        <r>
          <rPr>
            <sz val="9"/>
            <color indexed="81"/>
            <rFont val="Tahoma"/>
            <family val="2"/>
          </rPr>
          <t xml:space="preserve">
se adiciona parte de bonificac.para señores concejales de dic-22
</t>
        </r>
      </text>
    </comment>
    <comment ref="AB13" authorId="1" shapeId="0" xr:uid="{8289AECA-49E9-4056-B9FB-48935C6397FD}">
      <text>
        <r>
          <rPr>
            <b/>
            <sz val="9"/>
            <color indexed="81"/>
            <rFont val="Tahoma"/>
            <family val="2"/>
          </rPr>
          <t>CONTABILIDAD:</t>
        </r>
        <r>
          <rPr>
            <sz val="9"/>
            <color indexed="81"/>
            <rFont val="Tahoma"/>
            <family val="2"/>
          </rPr>
          <t xml:space="preserve">
se adiciona parte de bonificac.para señores concejales de dic-22
</t>
        </r>
      </text>
    </comment>
    <comment ref="AC13" authorId="1" shapeId="0" xr:uid="{F0975A99-8C82-4C1E-A215-477EF920B096}">
      <text>
        <r>
          <rPr>
            <b/>
            <sz val="9"/>
            <color indexed="81"/>
            <rFont val="Tahoma"/>
            <family val="2"/>
          </rPr>
          <t>CONTABILIDAD:</t>
        </r>
        <r>
          <rPr>
            <sz val="9"/>
            <color indexed="81"/>
            <rFont val="Tahoma"/>
            <family val="2"/>
          </rPr>
          <t xml:space="preserve">
se adiciona parte de bonificac.para señores concejales de dic-22
</t>
        </r>
      </text>
    </comment>
    <comment ref="AD13" authorId="1" shapeId="0" xr:uid="{6F1313B4-B1F3-4AFB-B6CC-15E279EAB185}">
      <text>
        <r>
          <rPr>
            <b/>
            <sz val="9"/>
            <color indexed="81"/>
            <rFont val="Tahoma"/>
            <family val="2"/>
          </rPr>
          <t>CONTABILIDAD:</t>
        </r>
        <r>
          <rPr>
            <sz val="9"/>
            <color indexed="81"/>
            <rFont val="Tahoma"/>
            <family val="2"/>
          </rPr>
          <t xml:space="preserve">
se adiciona parte de bonificac.para señores concejales de dic-22
</t>
        </r>
      </text>
    </comment>
    <comment ref="AG13" authorId="1" shapeId="0" xr:uid="{76F2E545-908C-48D8-B6FF-077446675C79}">
      <text>
        <r>
          <rPr>
            <b/>
            <sz val="9"/>
            <color indexed="81"/>
            <rFont val="Tahoma"/>
            <family val="2"/>
          </rPr>
          <t>CONTABILIDAD:</t>
        </r>
        <r>
          <rPr>
            <sz val="9"/>
            <color indexed="81"/>
            <rFont val="Tahoma"/>
            <family val="2"/>
          </rPr>
          <t xml:space="preserve">
se adiciona parte de bonificac.para señores concejales de dic-22
</t>
        </r>
      </text>
    </comment>
    <comment ref="AH13" authorId="1" shapeId="0" xr:uid="{38CE7BE4-1BED-4460-AC1D-81AA8975DF8F}">
      <text>
        <r>
          <rPr>
            <b/>
            <sz val="9"/>
            <color indexed="81"/>
            <rFont val="Tahoma"/>
            <family val="2"/>
          </rPr>
          <t>CONTABILIDAD:</t>
        </r>
        <r>
          <rPr>
            <sz val="9"/>
            <color indexed="81"/>
            <rFont val="Tahoma"/>
            <family val="2"/>
          </rPr>
          <t xml:space="preserve">
se adiciona parte de bonificac.para señores concejales de dic-22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CONTABILIDAD</author>
  </authors>
  <commentList>
    <comment ref="H172" authorId="0" shapeId="0" xr:uid="{00000000-0006-0000-0500-000001000000}">
      <text>
        <r>
          <rPr>
            <b/>
            <sz val="9"/>
            <color indexed="81"/>
            <rFont val="Tahoma"/>
            <family val="2"/>
          </rPr>
          <t>CONTABILIDAD:</t>
        </r>
        <r>
          <rPr>
            <sz val="9"/>
            <color indexed="81"/>
            <rFont val="Tahoma"/>
            <family val="2"/>
          </rPr>
          <t xml:space="preserve">
para el año 2022, se  traera como gasto ya no como proy. Por eso de cambia  el cod.presup.
</t>
        </r>
      </text>
    </comment>
    <comment ref="I172" authorId="0" shapeId="0" xr:uid="{67C98628-4C36-4A6F-A538-26905B889045}">
      <text>
        <r>
          <rPr>
            <b/>
            <sz val="9"/>
            <color indexed="81"/>
            <rFont val="Tahoma"/>
            <family val="2"/>
          </rPr>
          <t>CONTABILIDAD:</t>
        </r>
        <r>
          <rPr>
            <sz val="9"/>
            <color indexed="81"/>
            <rFont val="Tahoma"/>
            <family val="2"/>
          </rPr>
          <t xml:space="preserve">
para el año 2022, se  traera como gasto ya no como proy. Por eso de cambia  el cod.presup.
</t>
        </r>
      </text>
    </comment>
    <comment ref="Q172" authorId="0" shapeId="0" xr:uid="{FF97566E-ED9D-457E-BA14-469A4E3E29EA}">
      <text>
        <r>
          <rPr>
            <b/>
            <sz val="9"/>
            <color indexed="81"/>
            <rFont val="Tahoma"/>
            <family val="2"/>
          </rPr>
          <t>CONTABILIDAD:</t>
        </r>
        <r>
          <rPr>
            <sz val="9"/>
            <color indexed="81"/>
            <rFont val="Tahoma"/>
            <family val="2"/>
          </rPr>
          <t xml:space="preserve">
para el año 2022, se  traera como gasto ya no como proy. Por eso de cambia  el cod.presup.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dell</author>
  </authors>
  <commentList>
    <comment ref="H10" authorId="0" shapeId="0" xr:uid="{00000000-0006-0000-0600-000001000000}">
      <text>
        <r>
          <rPr>
            <b/>
            <sz val="9"/>
            <color indexed="81"/>
            <rFont val="Tahoma"/>
            <family val="2"/>
          </rPr>
          <t>dell:</t>
        </r>
        <r>
          <rPr>
            <sz val="9"/>
            <color indexed="81"/>
            <rFont val="Tahoma"/>
            <family val="2"/>
          </rPr>
          <t xml:space="preserve">
planilla de salario por 3 meses de enero a marzo</t>
        </r>
      </text>
    </comment>
    <comment ref="H12" authorId="0" shapeId="0" xr:uid="{00000000-0006-0000-0600-000002000000}">
      <text>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G21" authorId="0" shapeId="0" xr:uid="{00000000-0006-0000-1000-000001000000}">
      <text>
        <r>
          <rPr>
            <b/>
            <sz val="9"/>
            <color indexed="81"/>
            <rFont val="Tahoma"/>
            <family val="2"/>
          </rPr>
          <t>Usuario:</t>
        </r>
        <r>
          <rPr>
            <sz val="9"/>
            <color indexed="81"/>
            <rFont val="Tahoma"/>
            <family val="2"/>
          </rPr>
          <t xml:space="preserve">
PRESTAMO</t>
        </r>
      </text>
    </comment>
    <comment ref="G73" authorId="0" shapeId="0" xr:uid="{00000000-0006-0000-1000-000002000000}">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<sst xmlns="http://schemas.openxmlformats.org/spreadsheetml/2006/main" count="3661" uniqueCount="1226">
  <si>
    <t>ESTRUCTURA PRESUPUESTARIA</t>
  </si>
  <si>
    <t>1. ESTRUCTURA PRESUPUESTARIA APROBADA</t>
  </si>
  <si>
    <t>1. BASE DE GENERACION DE AVISOS DE CONTRIBUYENTES</t>
  </si>
  <si>
    <t>2. HISTORIAL DE RECUPERACION DE MOROSIDAD</t>
  </si>
  <si>
    <t>2. NOMINA DE SALARIOS</t>
  </si>
  <si>
    <t>3. PLAN DE COMPRAS (BIENES Y SERVICIOS)</t>
  </si>
  <si>
    <t>(En Dolares de los Estados Unidos de America)</t>
  </si>
  <si>
    <t>(En Dolares de los Estados Unidos de América)</t>
  </si>
  <si>
    <t>INSUMOS BASICOS:</t>
  </si>
  <si>
    <t>PRESUPUESTO MUNICIPAL DE FUNCIONAMIENTO POR ESTRUCTURA PRESUPUESTARIA</t>
  </si>
  <si>
    <t>DETALLE CONSOLIDADO DE INGRESOS POR ESPECIFICO Y FUENTE DE FINANCIAMIENTO</t>
  </si>
  <si>
    <t>11801</t>
  </si>
  <si>
    <t>De Comercio</t>
  </si>
  <si>
    <t>11802</t>
  </si>
  <si>
    <t>De Industria</t>
  </si>
  <si>
    <t>11804</t>
  </si>
  <si>
    <t>De Servicios</t>
  </si>
  <si>
    <t>12109</t>
  </si>
  <si>
    <t>Aseo Público</t>
  </si>
  <si>
    <t>Alumbrado Público</t>
  </si>
  <si>
    <t>12211</t>
  </si>
  <si>
    <t>Cotejo de Fierros</t>
  </si>
  <si>
    <t>14299</t>
  </si>
  <si>
    <t>Servicios Diversos</t>
  </si>
  <si>
    <t>15301</t>
  </si>
  <si>
    <t>Multa por Mora de Impuestos</t>
  </si>
  <si>
    <t>Intereses por Mora de Impuestos</t>
  </si>
  <si>
    <t>15302</t>
  </si>
  <si>
    <t>16201</t>
  </si>
  <si>
    <t>22201</t>
  </si>
  <si>
    <t>51101</t>
  </si>
  <si>
    <t>Sueldos</t>
  </si>
  <si>
    <t>Aguinaldos</t>
  </si>
  <si>
    <t>Por Remuneraciones Permanentes</t>
  </si>
  <si>
    <t>Productos Alimenticios para Personas</t>
  </si>
  <si>
    <t>Productos de papel y Carton</t>
  </si>
  <si>
    <t>Combustibles y Lubricantes</t>
  </si>
  <si>
    <t>Materiales de Oficina</t>
  </si>
  <si>
    <t>Servicios de Energia Electrica</t>
  </si>
  <si>
    <t>Servicios de Agua</t>
  </si>
  <si>
    <t>Servicios de Telecomunicaciones</t>
  </si>
  <si>
    <t>Miner. Metalicos y Prod. Der.</t>
  </si>
  <si>
    <t>Miner. No Metalicos y Prod. Der.</t>
  </si>
  <si>
    <t>Mant. Y Repar. De Vehiculos</t>
  </si>
  <si>
    <t>01</t>
  </si>
  <si>
    <t>2</t>
  </si>
  <si>
    <t>1</t>
  </si>
  <si>
    <t>03</t>
  </si>
  <si>
    <t>FUENTE O SUBFUENTE DE FINANCIAMIENTO: Recursos Propios</t>
  </si>
  <si>
    <t>000</t>
  </si>
  <si>
    <t>Vialidades</t>
  </si>
  <si>
    <t>12111</t>
  </si>
  <si>
    <t>Cementerios Municipales</t>
  </si>
  <si>
    <t>12114</t>
  </si>
  <si>
    <t>12117</t>
  </si>
  <si>
    <t>Pavimentacion</t>
  </si>
  <si>
    <t>12118</t>
  </si>
  <si>
    <t>Postes, Torres y Antenas</t>
  </si>
  <si>
    <t>12119</t>
  </si>
  <si>
    <t>Rastro y Tiangue</t>
  </si>
  <si>
    <t>15703</t>
  </si>
  <si>
    <t>15799</t>
  </si>
  <si>
    <t>Ingresos Diversos</t>
  </si>
  <si>
    <t>Dietas</t>
  </si>
  <si>
    <t>Transportes, Fletes y mantenimientos</t>
  </si>
  <si>
    <t>Servicios de Publicidad</t>
  </si>
  <si>
    <t>Impresiones, publicaciones y reproducciones</t>
  </si>
  <si>
    <t>Servicios Juridicos</t>
  </si>
  <si>
    <t>Materiales Informaticos</t>
  </si>
  <si>
    <t>Atenciones oficiales</t>
  </si>
  <si>
    <t>Especies Municipales Diversas</t>
  </si>
  <si>
    <t>Atenciones Oficiales</t>
  </si>
  <si>
    <t>Servicios de Contabilidad y Auditoria</t>
  </si>
  <si>
    <t>Derechos</t>
  </si>
  <si>
    <t>Comisiones y Gastos bancarios</t>
  </si>
  <si>
    <t>Multas y costas judiciales</t>
  </si>
  <si>
    <t>Transportes Fletes y almacenamientos</t>
  </si>
  <si>
    <t>32102</t>
  </si>
  <si>
    <t>0101</t>
  </si>
  <si>
    <t>Materiales Electricos</t>
  </si>
  <si>
    <t>11899</t>
  </si>
  <si>
    <t>15314</t>
  </si>
  <si>
    <t>Otras multas municipales</t>
  </si>
  <si>
    <t>Primas y gastos de seguro de personas</t>
  </si>
  <si>
    <t>06</t>
  </si>
  <si>
    <t>0302</t>
  </si>
  <si>
    <t>CONCEPTO</t>
  </si>
  <si>
    <t>12210</t>
  </si>
  <si>
    <t>Bienes de consumo diverso</t>
  </si>
  <si>
    <t xml:space="preserve"> Objeto Específico</t>
  </si>
  <si>
    <t>DENOMINACION</t>
  </si>
  <si>
    <t>Fondos Propios</t>
  </si>
  <si>
    <t xml:space="preserve"> T O T A L  </t>
  </si>
  <si>
    <t>11817</t>
  </si>
  <si>
    <t>Vallas Publicitarias</t>
  </si>
  <si>
    <t>Impuestos Municipales Diversos</t>
  </si>
  <si>
    <t>12115</t>
  </si>
  <si>
    <t>Mercados</t>
  </si>
  <si>
    <t>Permisos y Licencias Municipales</t>
  </si>
  <si>
    <t>12299</t>
  </si>
  <si>
    <t>Derechos Diversos</t>
  </si>
  <si>
    <t>14201</t>
  </si>
  <si>
    <t>Servicios Básicos</t>
  </si>
  <si>
    <t>De Empresas Públicas Financieras</t>
  </si>
  <si>
    <t>Linea de Trabajo</t>
  </si>
  <si>
    <t>AREA DE GESTIÓN</t>
  </si>
  <si>
    <t>1 - CONDUCCION ADMINISTRATIVA</t>
  </si>
  <si>
    <t>3 - DESARROLLO SOCIAL</t>
  </si>
  <si>
    <t>RUBRO DE AGRUPACION</t>
  </si>
  <si>
    <t>MONTO PRESUPUESTADO</t>
  </si>
  <si>
    <t>IMPUESTOS</t>
  </si>
  <si>
    <t>TASAS Y DERECHOS</t>
  </si>
  <si>
    <t>VENTA DE BIENES Y SERVICIOS</t>
  </si>
  <si>
    <t>INGRESOS FINANCIEROS Y OTROS</t>
  </si>
  <si>
    <t>TRANSFERENCIAS CORRIENTES</t>
  </si>
  <si>
    <t>PRESUPUESTO DE INGRESOS</t>
  </si>
  <si>
    <t>TOTAL INGRESOS</t>
  </si>
  <si>
    <t>TOTAL EGRESOS</t>
  </si>
  <si>
    <t>PRESUPUESTO DE EGRESOS</t>
  </si>
  <si>
    <t>REMUNERACIONES</t>
  </si>
  <si>
    <t>ADQUISICION DE BIENES Y SERVICIOS</t>
  </si>
  <si>
    <t>GASTOS FINANCIEROS Y OTROS</t>
  </si>
  <si>
    <t>INVESIONES EN ACTIVOS FIJOS</t>
  </si>
  <si>
    <t>31304</t>
  </si>
  <si>
    <t xml:space="preserve"> Area de Gestión</t>
  </si>
  <si>
    <t xml:space="preserve"> Unidd Presupuestaria</t>
  </si>
  <si>
    <t xml:space="preserve"> Fuente de Financiamiento</t>
  </si>
  <si>
    <t xml:space="preserve"> Subfuente de Financiamiento</t>
  </si>
  <si>
    <t>Objeto Específico</t>
  </si>
  <si>
    <t>Fuente de Financiamiento</t>
  </si>
  <si>
    <t xml:space="preserve"> DENOMINACIÓN</t>
  </si>
  <si>
    <t xml:space="preserve"> MONTO</t>
  </si>
  <si>
    <t>Subfuente de Financiamiento</t>
  </si>
  <si>
    <t>Unidd Presupuestaria</t>
  </si>
  <si>
    <t>Salarios por Jornal</t>
  </si>
  <si>
    <t>Productos Textiles y Vestuarios</t>
  </si>
  <si>
    <t>Productos de cuero y Caucho</t>
  </si>
  <si>
    <t>Productos Quimicos</t>
  </si>
  <si>
    <t>Llantas y Neumaticos</t>
  </si>
  <si>
    <t>Minerales no Metalicos y Prod. Derivados</t>
  </si>
  <si>
    <t>Minerales Metalicos y Prod. Derivados</t>
  </si>
  <si>
    <t>Herramientas, Rep. y Accesorios</t>
  </si>
  <si>
    <t>Bienes de Uso y Consumo Diversos</t>
  </si>
  <si>
    <t>Mant.  Reparaciones de Bienes Muebles</t>
  </si>
  <si>
    <t>Mant. Reparaciones de Vehiculos</t>
  </si>
  <si>
    <t>Mant. Reparaciones de Bienes Inmuebles</t>
  </si>
  <si>
    <t>Servicios de Alimentación</t>
  </si>
  <si>
    <t>Comisiones y Gastos Bancarios</t>
  </si>
  <si>
    <t>Multas y Costas Procesales</t>
  </si>
  <si>
    <t>Bienes Muebles Diversos</t>
  </si>
  <si>
    <t>Mobiliarios</t>
  </si>
  <si>
    <t>Remuneraciones Diversas</t>
  </si>
  <si>
    <t>51202</t>
  </si>
  <si>
    <t>FPRESUPUESTO MUNICIPAL DE EGRESOS</t>
  </si>
  <si>
    <t>PRESUPUESTO MUNICIPAL DE EGRESOS</t>
  </si>
  <si>
    <t>PRESUPUESTO MUNICIPAL DE INVERSION POR ESTRUCTURA PRESUPUESTARIA</t>
  </si>
  <si>
    <t>Productos Agropecuarios y Forestales</t>
  </si>
  <si>
    <t>Productos de Cuero y Caucho</t>
  </si>
  <si>
    <t>Impresiones, Publicaciones y Reproducc.</t>
  </si>
  <si>
    <t>Arrendamiento de Bienes Muebles</t>
  </si>
  <si>
    <t>Servicios Generales y Arrendamientos Diversos</t>
  </si>
  <si>
    <t>Estudios e Investigaciones</t>
  </si>
  <si>
    <t>Consultorias, Estudios e Investigaciones</t>
  </si>
  <si>
    <t>Deposito de Desechos</t>
  </si>
  <si>
    <t>Moviliarios</t>
  </si>
  <si>
    <t>Maquinarias y Equipos</t>
  </si>
  <si>
    <t>Proy. Programas de Inversión Div.</t>
  </si>
  <si>
    <t>Viales</t>
  </si>
  <si>
    <t>De Producción de Bienes y Servicios</t>
  </si>
  <si>
    <t>Supervisión de Infraestructura</t>
  </si>
  <si>
    <t>Obras de Infraestrutura Diversas</t>
  </si>
  <si>
    <t>TOTAL GASTOS 0302</t>
  </si>
  <si>
    <t>FUENTE O SUBFUENTE DE FINANCIAMIENTO: FISDL/PFGL</t>
  </si>
  <si>
    <t>112</t>
  </si>
  <si>
    <t>32101</t>
  </si>
  <si>
    <t>Saldo inicial en Caja</t>
  </si>
  <si>
    <t>Servicios de Energía elctrica</t>
  </si>
  <si>
    <t>32201</t>
  </si>
  <si>
    <t>31308</t>
  </si>
  <si>
    <t>De Empresas Privadas Financieras</t>
  </si>
  <si>
    <t>Saldo Inicial en Bancos</t>
  </si>
  <si>
    <t>Por Serv. Certific. Visado de Docum.</t>
  </si>
  <si>
    <t>Por Expedic. Documentos de Identif.</t>
  </si>
  <si>
    <t>Viaticos por comisión Interna</t>
  </si>
  <si>
    <t>A Personas Naturales</t>
  </si>
  <si>
    <t>Herramientas, Repuestos y Acces.</t>
  </si>
  <si>
    <t>Mtto. Reparación de Bienes</t>
  </si>
  <si>
    <t>Mtto. Reparación de Vehiculos</t>
  </si>
  <si>
    <t>Mtto. Reparación de Bienes Muebles</t>
  </si>
  <si>
    <t>Pasajes y Víaticos</t>
  </si>
  <si>
    <t>Bienes de Uso y Consumo Diverso</t>
  </si>
  <si>
    <t>Gastos Diversos</t>
  </si>
  <si>
    <t>PRESUPUESTO DE EGRESOS DE INVERSIÓN</t>
  </si>
  <si>
    <t>02</t>
  </si>
  <si>
    <t>SERVICIOS MUNICIPALES</t>
  </si>
  <si>
    <t>0201</t>
  </si>
  <si>
    <t>Multa por Registro Civil</t>
  </si>
  <si>
    <t>Productos Farmaceuticos y Medicinales</t>
  </si>
  <si>
    <t>Libros, Textos, útiles de enseñanza y Public.</t>
  </si>
  <si>
    <t>Sevicios de Correos</t>
  </si>
  <si>
    <t>Servicios de Limpieza y Fumigaciones</t>
  </si>
  <si>
    <t>Pasajes al Interior</t>
  </si>
  <si>
    <t>Pasajes al Exterior</t>
  </si>
  <si>
    <t>Servicios de Contabilidad y auditoría</t>
  </si>
  <si>
    <t>Consultorias, estudios e Investigaciones Div.</t>
  </si>
  <si>
    <t>Primas y Gastos de Seguros de Bienes</t>
  </si>
  <si>
    <t xml:space="preserve"> TOTAL GASTOS FONDOS PROPIOS</t>
  </si>
  <si>
    <t>Libros, textos, Utiles de Enseñanza y Publica.</t>
  </si>
  <si>
    <t>Servicios de Correos</t>
  </si>
  <si>
    <t>Desarrollos Informáticos</t>
  </si>
  <si>
    <t>Consultorias, estudios e investigaciones div.</t>
  </si>
  <si>
    <t>Primas y Gastos de seguros de bienes</t>
  </si>
  <si>
    <t>A organismos sin fines de lucro</t>
  </si>
  <si>
    <t>Mobiliario</t>
  </si>
  <si>
    <t>Equipo Informático</t>
  </si>
  <si>
    <t>cuentas por Pagar de años anteriores</t>
  </si>
  <si>
    <t>Proyectos de Construcción</t>
  </si>
  <si>
    <t>Proyectos de Ampliación</t>
  </si>
  <si>
    <t>Programas de Inversión Social</t>
  </si>
  <si>
    <t>De Salud y Saneamiento Ambiental</t>
  </si>
  <si>
    <t>Educación y Recreación</t>
  </si>
  <si>
    <t>De vivienda y oficinas</t>
  </si>
  <si>
    <t>Electricas y Comunicaciones</t>
  </si>
  <si>
    <t>Nº</t>
  </si>
  <si>
    <t>APORTE PATRONAL</t>
  </si>
  <si>
    <t>TOTAL</t>
  </si>
  <si>
    <t>MENSUAL</t>
  </si>
  <si>
    <t>ANUAL</t>
  </si>
  <si>
    <t>LINEA DE TRABAJO</t>
  </si>
  <si>
    <t>CARGO O PUESTO</t>
  </si>
  <si>
    <t>Tercer Regidor Suplente</t>
  </si>
  <si>
    <t>ISSS 7,5%</t>
  </si>
  <si>
    <t>Impuestos</t>
  </si>
  <si>
    <t>Impuestos Municipales</t>
  </si>
  <si>
    <t>Tasas y Derechos</t>
  </si>
  <si>
    <t>Tasas</t>
  </si>
  <si>
    <t>Venta de Bienes y Servicios</t>
  </si>
  <si>
    <t>Venta de Bienes</t>
  </si>
  <si>
    <t>Ingresos Financieros y Otros</t>
  </si>
  <si>
    <t>Multas e intereses por Mora</t>
  </si>
  <si>
    <t>Otros Ingresos no Clasificados</t>
  </si>
  <si>
    <t>Transferencias Corrientes</t>
  </si>
  <si>
    <t>Transferencias de Capital</t>
  </si>
  <si>
    <t>Transf. De Capital al Sector Público</t>
  </si>
  <si>
    <t>Endeudamiento Público</t>
  </si>
  <si>
    <t>Saldos de Años Anteriores</t>
  </si>
  <si>
    <t>Saldos iniciales de Caja y bancos</t>
  </si>
  <si>
    <t>Rendimiento de Títulos Valores</t>
  </si>
  <si>
    <t>Otras Rentabiliddes Financieras</t>
  </si>
  <si>
    <t>Multas e Intereses Diversos</t>
  </si>
  <si>
    <t>Transf. Corrientes al Sect. Pubico</t>
  </si>
  <si>
    <t>DIETAS</t>
  </si>
  <si>
    <t>APORTACION PATRONAL</t>
  </si>
  <si>
    <t>INSAFOR</t>
  </si>
  <si>
    <t>Remuneraciones</t>
  </si>
  <si>
    <t>Remuneraciones Permanentes</t>
  </si>
  <si>
    <t>Remuneraciones Eventuales</t>
  </si>
  <si>
    <t>Adquisiciones de Bienes y Servicios</t>
  </si>
  <si>
    <t>Bienes de uso y Consumo</t>
  </si>
  <si>
    <t>Minerales  Metalicos y Prod. Deriv.</t>
  </si>
  <si>
    <t>Minerales no Metalicos y Prod. Deriv.</t>
  </si>
  <si>
    <t>Especies Municipales</t>
  </si>
  <si>
    <t>Bienes de Uso y Consumo Div.</t>
  </si>
  <si>
    <t>Servicios Basicos</t>
  </si>
  <si>
    <t>Alumbrado Publico</t>
  </si>
  <si>
    <t>Mtto. y Repa. De Bienes Muebles</t>
  </si>
  <si>
    <t>Mtto. y Repa. De Vehiculos</t>
  </si>
  <si>
    <t>Mtto. y Repa. De Bienes Inmuebles</t>
  </si>
  <si>
    <t>Transportes, Fletes y Almacenamiento</t>
  </si>
  <si>
    <t>Serv. De Limpieza y Fumigaciones</t>
  </si>
  <si>
    <t>Servicios Educativos</t>
  </si>
  <si>
    <t>Impresiones, Publicac. Y Reproducc.</t>
  </si>
  <si>
    <t>Arrendamiento de Bienes Inmuebles</t>
  </si>
  <si>
    <t>Ser. Grales. Y Arrend. Diversos</t>
  </si>
  <si>
    <t>Pasajes y Viaticos</t>
  </si>
  <si>
    <t>Viaticos por Comision interna</t>
  </si>
  <si>
    <t>Consultoria, Estudios e Investigaciones</t>
  </si>
  <si>
    <t>Serv. Del medio Ambiente y Rec. Nat.</t>
  </si>
  <si>
    <t>Servicios de Capacitacion</t>
  </si>
  <si>
    <t>Desarrollos Informaticos</t>
  </si>
  <si>
    <t>Tratamiento de Desechos</t>
  </si>
  <si>
    <t>Recolección de Desechos</t>
  </si>
  <si>
    <t>A Organismos sin fines de Lucro</t>
  </si>
  <si>
    <t>Inversiones e Activos Fijos</t>
  </si>
  <si>
    <t>Bienes Muebles</t>
  </si>
  <si>
    <t>Equipos Informaticos</t>
  </si>
  <si>
    <t>Estudios de Pre-Inversion</t>
  </si>
  <si>
    <t>Proyectos y Ampliaciones</t>
  </si>
  <si>
    <t>Programas de Inversion Social</t>
  </si>
  <si>
    <t>Proy. Y Prog. de Inversion Diversos</t>
  </si>
  <si>
    <t>Infraestructura</t>
  </si>
  <si>
    <t>De Produccion de Bienes y Servicios</t>
  </si>
  <si>
    <t>Supervision de Infraestructura</t>
  </si>
  <si>
    <t>A Organismos sin Fines de Lucro</t>
  </si>
  <si>
    <t>De Educacion y Recreación</t>
  </si>
  <si>
    <t>Seguros, Com. y Gastos Bancarios</t>
  </si>
  <si>
    <t>Transferencias Ctes. al Sector Privado</t>
  </si>
  <si>
    <t>Transf. de Capital al Sect. Privado</t>
  </si>
  <si>
    <t>Transf. Corrientes al Sector Publico</t>
  </si>
  <si>
    <t>Contribuciones Patron.Inst. de Seg. Pub.</t>
  </si>
  <si>
    <t>Contribuciones Patron.Inst. de Seg. Priv.</t>
  </si>
  <si>
    <t>AGUINALDOS</t>
  </si>
  <si>
    <t xml:space="preserve">Fiestas </t>
  </si>
  <si>
    <t>Gastos de Representación</t>
  </si>
  <si>
    <t>Primas y Gastos de Seguros de Personas</t>
  </si>
  <si>
    <t>Otros Gastos no Clasificados</t>
  </si>
  <si>
    <t>Maquinaria y Equipo</t>
  </si>
  <si>
    <t>Serv. Generales y Arrend. Div.</t>
  </si>
  <si>
    <t>Gastos Financieros y Otros</t>
  </si>
  <si>
    <t>DETALLE CONSOLIDADO DE EGRESOS POR ESPECIFICO Y FUENTE DE FINANCIAMIENTO</t>
  </si>
  <si>
    <t>Por Prestación de Servicios en el Exterior</t>
  </si>
  <si>
    <t>Servicios Generales y Arrendamientos div</t>
  </si>
  <si>
    <t>Serv. Del Medio Ambiente y Rec. Naturales</t>
  </si>
  <si>
    <t>Equipos Informáticos</t>
  </si>
  <si>
    <t>Llantas y Neumáticos</t>
  </si>
  <si>
    <t>DIRECCION SUPERIOR</t>
  </si>
  <si>
    <t>SERVICIOS MUNICIPALES DIVERSOS</t>
  </si>
  <si>
    <t xml:space="preserve">Servicios de Capacitacion </t>
  </si>
  <si>
    <t>Jornales</t>
  </si>
  <si>
    <t>Servicios Generales y Arrenda. Div.</t>
  </si>
  <si>
    <t>Herramientas, Repuestos y Accesorios</t>
  </si>
  <si>
    <t>Terrenos</t>
  </si>
  <si>
    <t>Productos de Papel y Carton</t>
  </si>
  <si>
    <t>productos de cuero y caucho</t>
  </si>
  <si>
    <t>Productos Farmaceuticos y medicinales</t>
  </si>
  <si>
    <t>Libros, textos y utiles de ensenanza</t>
  </si>
  <si>
    <t>A personas naturales</t>
  </si>
  <si>
    <t>0102</t>
  </si>
  <si>
    <t xml:space="preserve">PROYECTOS Y PROGRAMAS DE DESARROLLO SOCIAL </t>
  </si>
  <si>
    <t>ALCALDIA MUNICIPAL DE SAN PEDRO PERULAPAN</t>
  </si>
  <si>
    <t>EJERCICIO 2020</t>
  </si>
  <si>
    <t>PRESUPUESTO DE SALARIOS PARA EL EJERCICIO 2020</t>
  </si>
  <si>
    <t>FONDOS PROPIOS</t>
  </si>
  <si>
    <t>FONDOS FISDL</t>
  </si>
  <si>
    <t>AFP 7,25%</t>
  </si>
  <si>
    <t>ISSS 7,75%</t>
  </si>
  <si>
    <t>DEPARTAMENTO DE  CUSCATLAN</t>
  </si>
  <si>
    <t>DEPARTAMENTO DE CUSCATLAN</t>
  </si>
  <si>
    <t>Segundo Regidor Propietario</t>
  </si>
  <si>
    <t>Tercer Regidor Propietario</t>
  </si>
  <si>
    <t>Cuarto Regidor Propietario</t>
  </si>
  <si>
    <t>Quinto Regidor Propietario</t>
  </si>
  <si>
    <t>Sexto Regidor Propietario</t>
  </si>
  <si>
    <t>ISSS 7.5%</t>
  </si>
  <si>
    <t>INSAFORP</t>
  </si>
  <si>
    <t>AFP 7.75%</t>
  </si>
  <si>
    <t>FISDL</t>
  </si>
  <si>
    <t>DIRECCION Y ADMINISTRACION MUNICIPAL</t>
  </si>
  <si>
    <t>04</t>
  </si>
  <si>
    <t>Transporte</t>
  </si>
  <si>
    <t>Multas al Comercio</t>
  </si>
  <si>
    <t>Rentabilidad de cuentas Bancarias</t>
  </si>
  <si>
    <t>BONOS</t>
  </si>
  <si>
    <t>0303</t>
  </si>
  <si>
    <t>OSWALD SIBRIAN MIRANDA</t>
  </si>
  <si>
    <t xml:space="preserve">ALCALDE MUNICIPAL </t>
  </si>
  <si>
    <t xml:space="preserve">DIANA </t>
  </si>
  <si>
    <t>SECRETARIA DESPACHO ALCALDE</t>
  </si>
  <si>
    <t xml:space="preserve">OSCAR ARMANDO JOAQUIN RIVAS </t>
  </si>
  <si>
    <t xml:space="preserve">SINDICO MUNICIPAL </t>
  </si>
  <si>
    <t xml:space="preserve">MARIA JULIANA ESCOBAR MONTALVO </t>
  </si>
  <si>
    <t xml:space="preserve">SECRETARIA MUNICIPAL </t>
  </si>
  <si>
    <t xml:space="preserve">NELSON ADAN MARTINEZ </t>
  </si>
  <si>
    <t xml:space="preserve">MOTORISTA DESPACHO MUNICIPAL </t>
  </si>
  <si>
    <t xml:space="preserve">DOUGLAS FRANCISCO MARIN QUEZADA </t>
  </si>
  <si>
    <t xml:space="preserve">GERENTE GRAL </t>
  </si>
  <si>
    <t xml:space="preserve">HENRY DOUGLAS PALACIOS MONTENEGRO </t>
  </si>
  <si>
    <t>JEFE UACI</t>
  </si>
  <si>
    <t>ENCARG DE TESORERIA</t>
  </si>
  <si>
    <t xml:space="preserve">MILAGRO DE LOS ANGELES SEGURA </t>
  </si>
  <si>
    <t>ENCAR. DE COLECTURIA</t>
  </si>
  <si>
    <t xml:space="preserve">DAYSI MARGARITA ANGEL </t>
  </si>
  <si>
    <t>ENCAR. DE CONTABILIDAD</t>
  </si>
  <si>
    <t xml:space="preserve">ALISON CRISTIAN MEJIA </t>
  </si>
  <si>
    <t xml:space="preserve">AUXILIAR DE TESORERIA </t>
  </si>
  <si>
    <t xml:space="preserve">SARA YANIRA CAÑAS PORTILLO </t>
  </si>
  <si>
    <t>AUXLIIAR DE CONTABILIDAD</t>
  </si>
  <si>
    <t>MILAGRO ARELY HERNANDEZ MENJIVAR</t>
  </si>
  <si>
    <t xml:space="preserve">ENCAR. DE PRESUPUESTO </t>
  </si>
  <si>
    <t xml:space="preserve">SANTOS ENRIQUE MENDEZ GARCIA </t>
  </si>
  <si>
    <t xml:space="preserve">JEFE DE CATASTRO </t>
  </si>
  <si>
    <t>ANA DINORA JIMENES</t>
  </si>
  <si>
    <t xml:space="preserve">AUXILIAR DE CATASTRO </t>
  </si>
  <si>
    <t>ERICK ANTONIO MORALES GARCIA</t>
  </si>
  <si>
    <t xml:space="preserve">MARCO TULIO MATA MONTENEGRO </t>
  </si>
  <si>
    <t xml:space="preserve">AUXILIAR DE PROYECTOS </t>
  </si>
  <si>
    <t xml:space="preserve">KENIA </t>
  </si>
  <si>
    <t xml:space="preserve">AUXILIAR DE UACI </t>
  </si>
  <si>
    <t>ALEJANDRO GONZALEZ ANGELES</t>
  </si>
  <si>
    <t xml:space="preserve">SANTOS EMILIO FLORES BELTRAN </t>
  </si>
  <si>
    <t>AUXILIAR DE CUENTAS CORRIENTES</t>
  </si>
  <si>
    <t>MANUEL EDUARDO URQUILLA BAUTISTA</t>
  </si>
  <si>
    <t xml:space="preserve">KARLA KARINA COTO DE CALDERON </t>
  </si>
  <si>
    <t xml:space="preserve">JEFE DE CUENTAS CORRIENTES </t>
  </si>
  <si>
    <t xml:space="preserve">ENMA ELENA TEAS MOLINA DE MEJIA </t>
  </si>
  <si>
    <t>MARITZA HERNANDEZ DE SORIANO</t>
  </si>
  <si>
    <t>ELMER JOEL BELTRAN SEGURA</t>
  </si>
  <si>
    <t>JEFE DEL REGISTRO FAMILIAR</t>
  </si>
  <si>
    <t>GRISELDA ADALUZ LOVATO GONZALEZ</t>
  </si>
  <si>
    <t xml:space="preserve">AUXILIAR DEL REGISTRO FAMILIAR </t>
  </si>
  <si>
    <t>MARINA DEL ROSARIO RAMIREZ</t>
  </si>
  <si>
    <t>CARMEN GUADALUPE CARPIO</t>
  </si>
  <si>
    <t xml:space="preserve">ENCARGADA DE UNIDAD DE GENERO </t>
  </si>
  <si>
    <t>LETICIA GUILLERMINA DE MONTES</t>
  </si>
  <si>
    <t xml:space="preserve">ENCAR. DE DEPORTES </t>
  </si>
  <si>
    <t xml:space="preserve">WILLIAM ALFREDO MADRID GRACIAS </t>
  </si>
  <si>
    <t>ENCAR. DE INFORMATICA</t>
  </si>
  <si>
    <t>JOSE CARLOS AGUILAR</t>
  </si>
  <si>
    <t>ENCAR. DE UNIDAD DE AMBIENTAL</t>
  </si>
  <si>
    <t xml:space="preserve">ALEXANDER ANTONIO AGUILAR </t>
  </si>
  <si>
    <t>ENCARGADO DE UNIDAD DE COMUNICACIONES</t>
  </si>
  <si>
    <t>HENRI FRANKLIN SERRANO MEDRANO</t>
  </si>
  <si>
    <t xml:space="preserve">JEFE DE PROYECTOS </t>
  </si>
  <si>
    <t xml:space="preserve">XIOMARA NATALI SANCHEZ MARAVILLA </t>
  </si>
  <si>
    <t xml:space="preserve">ENCARGADA DE GESTION Y ARCHIVO DOCUMENTAL </t>
  </si>
  <si>
    <t>SALVADORA GARICA DE BELTRAN</t>
  </si>
  <si>
    <t xml:space="preserve">AUXILIAR DE ARCHIVO </t>
  </si>
  <si>
    <t xml:space="preserve">EVIN ALEXIS SANCHEZ PINTO </t>
  </si>
  <si>
    <t>ENCARGADO UNIDAD ACCESO INF. PUBLICA</t>
  </si>
  <si>
    <t xml:space="preserve">MIGUEL BELTRAN VASQUEZ </t>
  </si>
  <si>
    <t xml:space="preserve">JEFE DEL CAM </t>
  </si>
  <si>
    <t xml:space="preserve">JOSE MORIS BELTRAN MATIAS </t>
  </si>
  <si>
    <t>AUXILIAR AGENTE DEL CAM</t>
  </si>
  <si>
    <t>RIGOBERTO SANTOS</t>
  </si>
  <si>
    <t xml:space="preserve">JOSE RICARDO GARCIA </t>
  </si>
  <si>
    <t xml:space="preserve">JOSE ADELMO NAVAS PEREZ </t>
  </si>
  <si>
    <t>BAUDILIO GONZALEZ NAVARRO</t>
  </si>
  <si>
    <t xml:space="preserve">MIGUEL ANGEL ORELLANA GONZALEZ </t>
  </si>
  <si>
    <t xml:space="preserve">JEFE DE PROYECCION SOCIAL </t>
  </si>
  <si>
    <t>FRANCISCO PREZA HERNANDEZ</t>
  </si>
  <si>
    <t>AUXILIAR DE PROYECCION SOCIAL</t>
  </si>
  <si>
    <t xml:space="preserve">NANCY JAZMIN SANCHEZ AGUILAR </t>
  </si>
  <si>
    <t>HERBERT ALCIDES VIVAS HERNANDEZ</t>
  </si>
  <si>
    <t>MARVIN ANTONIO VIVAS MARTINEZ</t>
  </si>
  <si>
    <t>VICTOR AUGUSTO SANTOS VILLALOBO</t>
  </si>
  <si>
    <t xml:space="preserve">ALBA CAROLINA NIETO FLAMENCO </t>
  </si>
  <si>
    <t xml:space="preserve">RECEPCIONISTA </t>
  </si>
  <si>
    <t xml:space="preserve">NARCISO ANGEL PEREZ </t>
  </si>
  <si>
    <t>AUXILIAR DE SERVICIOS GENERALES</t>
  </si>
  <si>
    <t>JOSE FELIPE HERNANDEZ OPORTO</t>
  </si>
  <si>
    <t xml:space="preserve">YESSENIA ARACELY VIVAS RAYMUNDO </t>
  </si>
  <si>
    <t xml:space="preserve">ORDENANZA </t>
  </si>
  <si>
    <t>ADALBERTO FLORES</t>
  </si>
  <si>
    <t>MOTORISTA VEHICULO ADMON/OPERA.</t>
  </si>
  <si>
    <t xml:space="preserve">SARAI GUADALUPE BELTRAN MARTINEZ </t>
  </si>
  <si>
    <t>OSCAR OSMIN FLORES PEREZ</t>
  </si>
  <si>
    <t>MANUEL DE JESUS MUÑOZ</t>
  </si>
  <si>
    <t xml:space="preserve">MECANICO MUNICIPAL </t>
  </si>
  <si>
    <t>FRANCISCO DELGADO NAVARRO</t>
  </si>
  <si>
    <t>GUILLERMO ANTONIO RODRIGUEZ</t>
  </si>
  <si>
    <t>MOTORISTA VEHICULO ADMON/PFGL</t>
  </si>
  <si>
    <t>DOMINGO ARTURO RECINOS RAMOS</t>
  </si>
  <si>
    <t>TECNICO ELECTRICISTA</t>
  </si>
  <si>
    <t xml:space="preserve">JOSE GUILLERMO HURTADO </t>
  </si>
  <si>
    <t>MOTORISTA CAMION RECO. DES. SOLIDOS</t>
  </si>
  <si>
    <t xml:space="preserve">JOSE VASQUEZ MENDOZA </t>
  </si>
  <si>
    <t xml:space="preserve">AUXILIAR DEL TREN DE ASEO </t>
  </si>
  <si>
    <t xml:space="preserve">JAIME ROBERTO BAUTISTA </t>
  </si>
  <si>
    <t>LUIS ERNESTO LEMUS</t>
  </si>
  <si>
    <t xml:space="preserve">BARRENDERO SITIOS MUNICIPALES </t>
  </si>
  <si>
    <t xml:space="preserve">RAMIRO VALLE AGUILAR </t>
  </si>
  <si>
    <t xml:space="preserve">MARIA DE JESUS CORPEÑO </t>
  </si>
  <si>
    <t xml:space="preserve">MARIA MAGDALENA CAMPOS DE VIVAS </t>
  </si>
  <si>
    <t>Beneficios adicionales</t>
  </si>
  <si>
    <t>Materiales de defensa y seg. Publica</t>
  </si>
  <si>
    <t xml:space="preserve">Servicios de correo </t>
  </si>
  <si>
    <t xml:space="preserve">MAYRA LISSETHE  DE VASQUEZ </t>
  </si>
  <si>
    <t>IPSFA</t>
  </si>
  <si>
    <t>SERAFIN RUIZ RIVERA</t>
  </si>
  <si>
    <t>MOTORISTA MOTONIV.</t>
  </si>
  <si>
    <t xml:space="preserve">Beneficios adicionales </t>
  </si>
  <si>
    <t>Cont. Pat. Inst. Seg. Publica</t>
  </si>
  <si>
    <t>Cont. Pat.  Inst. Seg. Priv.</t>
  </si>
  <si>
    <t xml:space="preserve">Beneficios Adicionales </t>
  </si>
  <si>
    <t>Cont. Pat. Inst. Seg. Publ.</t>
  </si>
  <si>
    <t>Cont. Pat. Inst. Seg. Priv.</t>
  </si>
  <si>
    <t>Beneficios Adicionales</t>
  </si>
  <si>
    <t>Materiales de defensa y seg. Publ.</t>
  </si>
  <si>
    <t>Arrendamiento de bienes inmuebles</t>
  </si>
  <si>
    <t>L.T</t>
  </si>
  <si>
    <t>SALARIO MENSUAL</t>
  </si>
  <si>
    <t>BONO</t>
  </si>
  <si>
    <t>AGUINALDO</t>
  </si>
  <si>
    <t>SALARIO</t>
  </si>
  <si>
    <t>ISS/INSAF</t>
  </si>
  <si>
    <t>´0101</t>
  </si>
  <si>
    <t>Cont. Pat.Inst. Seg. Pub.</t>
  </si>
  <si>
    <t>Cont. Pat.Inst. Seg. Priv.</t>
  </si>
  <si>
    <t>´0102</t>
  </si>
  <si>
    <t>´0201</t>
  </si>
  <si>
    <t>´0303</t>
  </si>
  <si>
    <t>GRAN TOTAL</t>
  </si>
  <si>
    <t>Papel y Carton</t>
  </si>
  <si>
    <t>Vehiculos de Transporte</t>
  </si>
  <si>
    <t>Herramientas Repuestos Principales</t>
  </si>
  <si>
    <t>Maquinaria y Equipo de Producción</t>
  </si>
  <si>
    <t xml:space="preserve">ALCALDIA MUNICIPAL DE SAN PEDRO PERULAPAN </t>
  </si>
  <si>
    <t>Unidad Presupuestaria</t>
  </si>
  <si>
    <t>ok</t>
  </si>
  <si>
    <t>NIVELACION SALARIAL</t>
  </si>
  <si>
    <t>TOTAL SALARIO</t>
  </si>
  <si>
    <t>arrendamiento de bienes muebles</t>
  </si>
  <si>
    <t>arrendamiento de bienes inmuebles</t>
  </si>
  <si>
    <t>materiales informaticos</t>
  </si>
  <si>
    <t>Ctas. Por Pagar De Años Anteriores</t>
  </si>
  <si>
    <t>Gastos de Representación//Servicios en el Pais</t>
  </si>
  <si>
    <t>Complementos</t>
  </si>
  <si>
    <t>Por prestación de Servicios en el País</t>
  </si>
  <si>
    <t>Al personal permanente</t>
  </si>
  <si>
    <t>Indemnizaciones</t>
  </si>
  <si>
    <t>Materiales e Instrumental de Lab. Y Uso Med</t>
  </si>
  <si>
    <t>FODES</t>
  </si>
  <si>
    <t xml:space="preserve"> FONDO GENERAL</t>
  </si>
  <si>
    <t>Ctas. Por Pagar de Años Anteriores</t>
  </si>
  <si>
    <t>Fondos Propios 00</t>
  </si>
  <si>
    <t>Serv. De Lavanderia y Planchado</t>
  </si>
  <si>
    <t>Viaticos por Comision Externa</t>
  </si>
  <si>
    <t>Viales 2%</t>
  </si>
  <si>
    <t>Por prestaciones de servicios en el pais</t>
  </si>
  <si>
    <t>remuneraciones diversas</t>
  </si>
  <si>
    <t>Materiales e inst. de lab. Y uso med.</t>
  </si>
  <si>
    <t>Serv. De lavanderia y planchado</t>
  </si>
  <si>
    <t>Servicio de alimentacion</t>
  </si>
  <si>
    <t>viaticos por comisión externa</t>
  </si>
  <si>
    <t>ctas por pagar de años anteriores</t>
  </si>
  <si>
    <t>Cuentas por cobrar de años anteriores</t>
  </si>
  <si>
    <t>CUENTAS DE AÑOS ANTERIORES</t>
  </si>
  <si>
    <t>PERIODO</t>
  </si>
  <si>
    <t>RUBROS DE MORA</t>
  </si>
  <si>
    <t>SECTORES</t>
  </si>
  <si>
    <t>MESES</t>
  </si>
  <si>
    <t>% aumento</t>
  </si>
  <si>
    <t>TOTAL PROYECTADO</t>
  </si>
  <si>
    <t>materiales de defensa y seg, publica</t>
  </si>
  <si>
    <t>Maquinaria y equipo</t>
  </si>
  <si>
    <t>Remuneraciones Extraordinarias</t>
  </si>
  <si>
    <t>Horas Extraordinarias</t>
  </si>
  <si>
    <t>Desarrollo informatico</t>
  </si>
  <si>
    <t>maquinaria y equipo para la produccion</t>
  </si>
  <si>
    <t>FUENTE O SUBFUENTE DE FINANCIAMIENTO: FISDL</t>
  </si>
  <si>
    <t>A PERSONAS NATURALES</t>
  </si>
  <si>
    <t>TOTAL GASTOS 0101</t>
  </si>
  <si>
    <t>FUENTE O SUBFUENTE DE FINANCIAMIENTO: ISNA</t>
  </si>
  <si>
    <t>ISSS</t>
  </si>
  <si>
    <t>SALARIO ANUAL MÁS PRESTACIONES</t>
  </si>
  <si>
    <t>ENERO</t>
  </si>
  <si>
    <t>FEBRERO</t>
  </si>
  <si>
    <t>MARZO</t>
  </si>
  <si>
    <t>MAYO</t>
  </si>
  <si>
    <t>JUNIO</t>
  </si>
  <si>
    <t>JULIO</t>
  </si>
  <si>
    <t>ABRIL</t>
  </si>
  <si>
    <t>SEPTIEMBRE</t>
  </si>
  <si>
    <t>OCTUBRE</t>
  </si>
  <si>
    <t>Contratación de Emprestitos</t>
  </si>
  <si>
    <t xml:space="preserve"> </t>
  </si>
  <si>
    <t>Tasas Diversas</t>
  </si>
  <si>
    <t>a empresas privadas no financieras,(CDA)</t>
  </si>
  <si>
    <t>a empresas privadas no financieras (COMISION CAESS)</t>
  </si>
  <si>
    <t>Productos de cuero y caucho</t>
  </si>
  <si>
    <t xml:space="preserve">SUPERVISION </t>
  </si>
  <si>
    <t>al personal permante(indemnizaciones)</t>
  </si>
  <si>
    <t>PRESUPUESTO DE EGRESOS DE INVERSIÓN(2%)</t>
  </si>
  <si>
    <t>TRANSFERENCIA (ISNA)</t>
  </si>
  <si>
    <t xml:space="preserve">ESPECIFICO </t>
  </si>
  <si>
    <t>2-</t>
  </si>
  <si>
    <t>CODIGO</t>
  </si>
  <si>
    <t>COMISIONES Y GASTOS BANCARIOS</t>
  </si>
  <si>
    <t>3-</t>
  </si>
  <si>
    <t xml:space="preserve">MONTO </t>
  </si>
  <si>
    <t>4-</t>
  </si>
  <si>
    <t>ESPECIFICO</t>
  </si>
  <si>
    <t>Cuentas por cobrar de años anteriores//REINTEGRO POR PRESTMOS DEL 25% Y FDOS PROP</t>
  </si>
  <si>
    <r>
      <t>Transfer. de Capital del Sector Público</t>
    </r>
    <r>
      <rPr>
        <b/>
        <sz val="10"/>
        <rFont val="Arial"/>
        <family val="2"/>
      </rPr>
      <t>(75%fodes)</t>
    </r>
  </si>
  <si>
    <r>
      <t>Transfer. de Capital del Sector Público(</t>
    </r>
    <r>
      <rPr>
        <b/>
        <sz val="10"/>
        <rFont val="Arial"/>
        <family val="2"/>
      </rPr>
      <t>2%fodes</t>
    </r>
    <r>
      <rPr>
        <sz val="10"/>
        <rFont val="Arial"/>
        <family val="2"/>
      </rPr>
      <t>)</t>
    </r>
  </si>
  <si>
    <r>
      <t>Transfer. Corrientes del Sector Publico(</t>
    </r>
    <r>
      <rPr>
        <b/>
        <sz val="10"/>
        <rFont val="Arial"/>
        <family val="2"/>
      </rPr>
      <t>25%fodes)</t>
    </r>
  </si>
  <si>
    <t>GOES</t>
  </si>
  <si>
    <t>FONDOS EMERGENCIA COVID-19</t>
  </si>
  <si>
    <t>FONDOS EMERGENCIA  COVID-19 ( GOES)</t>
  </si>
  <si>
    <t>TRANSFERENCIA DE CAPITAL (ISNA)</t>
  </si>
  <si>
    <t xml:space="preserve">VIALES </t>
  </si>
  <si>
    <t>2. PROYECTOS A EJECUTAR 2021 DE PARTE DE PROYECTOS</t>
  </si>
  <si>
    <t>3. INFORMAION    DE  UACI Y PROYECTOS  SEGÚN AC. DE ADJUDICACION PROYECTO-2020</t>
  </si>
  <si>
    <t>FUENTE O SUBFUENTE DE FINANCIAMIENTO: FONDOS GOES ( EMERGENCIA COVID-19)</t>
  </si>
  <si>
    <t>Materiales e Instrumental  de laboratorio y uso medico</t>
  </si>
  <si>
    <t>109</t>
  </si>
  <si>
    <t xml:space="preserve">2. según decreto legislativos 650  </t>
  </si>
  <si>
    <t>SALDO DE AÑOS ANTERIORES(incluye  saldos de la transferencia con fondos GOES)</t>
  </si>
  <si>
    <t>Financiero</t>
  </si>
  <si>
    <t>Servicios de Esparcimiento</t>
  </si>
  <si>
    <t>Multa por declaracion Extempor</t>
  </si>
  <si>
    <t>Sueldos (por contrato)</t>
  </si>
  <si>
    <t>AÑO 2022</t>
  </si>
  <si>
    <t>Revision de Planos</t>
  </si>
  <si>
    <t>FUENTE O SUBFUENTE DE FINANCIAMIENTO:  LIBRE DISPONIBILIDAD</t>
  </si>
  <si>
    <t>FUENTE O SUBFUENTE DE FINANCIAMIENTO: LIBRE DISPONIBILIDAD</t>
  </si>
  <si>
    <r>
      <t xml:space="preserve">Transferencias de Capital del sector publico </t>
    </r>
    <r>
      <rPr>
        <b/>
        <sz val="10"/>
        <rFont val="Arial"/>
        <family val="2"/>
      </rPr>
      <t>Libre Disponibilidad año 2022</t>
    </r>
  </si>
  <si>
    <t>Sueldos (EVENTUAL)</t>
  </si>
  <si>
    <t>Por Remuneraciones Permanentes (ISSS, IPSFA, INSAFORP)</t>
  </si>
  <si>
    <t>Por Remuneraciones Permanentes (AFP)</t>
  </si>
  <si>
    <t>Transferencias corrientes al sector publico(ASOMUC)</t>
  </si>
  <si>
    <t>Transf. Corrientes al Sector Publico (ASOMUC)</t>
  </si>
  <si>
    <t>A empresas privadas no financieras(Comision CAESS, CDA)</t>
  </si>
  <si>
    <t xml:space="preserve">Bienes Muebles Diversos (Para instrumentos musicales) </t>
  </si>
  <si>
    <t xml:space="preserve">3. HISTORIAL DE SALDOS BANCARIOS CONCILIADOS </t>
  </si>
  <si>
    <t>PRODUCTOS ALIMENTICIOS PARA PERSONAS</t>
  </si>
  <si>
    <t>BIENES DE USO Y COSUMO DIVERSOS</t>
  </si>
  <si>
    <t>LIBRE DISPONIBILIDAD 120</t>
  </si>
  <si>
    <t>TRANSFERENCIA(ISNA) 109</t>
  </si>
  <si>
    <t>Vehículos de Transporte</t>
  </si>
  <si>
    <t xml:space="preserve">VEHICULOS DE TRANSPORTE </t>
  </si>
  <si>
    <t xml:space="preserve">COMPRA DE VEHICULO RECOLECTOR DE DESECHOS SOLIDOS </t>
  </si>
  <si>
    <t xml:space="preserve">RECONSTRUCCION DE PAV. FLEXIBLE ESPESOR 5.0 CM CTRA. A TECOLUCO 1.2 KM DESDE EL LIMITE CTON EL PARAISO CON TECOLUCO SEC. FATIMA HASTA SEC DE LA CANCHA TECOLUCO </t>
  </si>
  <si>
    <t xml:space="preserve">RECONSTRUCCION DE PAVIMENTO FLEXIBLE ESPESOR 5.00 CM SEC. SAN DIEGO, CANTON EL RODEO </t>
  </si>
  <si>
    <t xml:space="preserve">TOTAL  </t>
  </si>
  <si>
    <t>5. DONACIONES DEL ISNA</t>
  </si>
  <si>
    <t>Transferencia  de capial del Sector publico( transf. Al ISNA-año 2022 )</t>
  </si>
  <si>
    <t>120</t>
  </si>
  <si>
    <t xml:space="preserve"> TOTAL GASTOS FODES LIBRE DISPONIBILIDAD-0101</t>
  </si>
  <si>
    <t xml:space="preserve"> TOTAL GASTOS FODES LIBRE DISPONIBILIDAD-0102</t>
  </si>
  <si>
    <t xml:space="preserve"> TOTAL GASTOS FODES LIBRE DISPONIBILIDAD-0201</t>
  </si>
  <si>
    <t>TOTAL  GENERAL  AÑO 2022 DE UNIDADES PRESUPUESTARIAS:0101-0102-Y 0201 DE LIBRE DISPONIBILIDAD</t>
  </si>
  <si>
    <t xml:space="preserve">Horas Extraordnarias </t>
  </si>
  <si>
    <t>proyectos y programas de invers.diversos</t>
  </si>
  <si>
    <t>FUENTE O SUBFUENTE DE FINANCIAMIENTO: FODES LIBRE DISONIBILIDAD( PROY. DEL 2021)</t>
  </si>
  <si>
    <t>54104</t>
  </si>
  <si>
    <t>Productos Textiles y vestuarios</t>
  </si>
  <si>
    <t xml:space="preserve">SUPERVISION INFRAESTRUCTURA </t>
  </si>
  <si>
    <t xml:space="preserve">TOTALES </t>
  </si>
  <si>
    <t>ctas por pagar de años anteriores(provision del complem.fodes de marz-abril-2021 por $ 177,685.99+23,814.58)</t>
  </si>
  <si>
    <t>cuentas por Pagar de años anteriores(cuota prov.de fodes de marz y abril 50% comp.59,228.66)</t>
  </si>
  <si>
    <t>ctas por pagar de años anteriores(cuota prov.del fodes 75%)</t>
  </si>
  <si>
    <t xml:space="preserve"> DETALLE DE PROYECTOS GOES</t>
  </si>
  <si>
    <t xml:space="preserve">PROYECTO SAN PEDRO SALUDABLE </t>
  </si>
  <si>
    <t xml:space="preserve">PROYECTO  : CUENTA BOLSON PARA PROYECTOS GOES </t>
  </si>
  <si>
    <t>TOTAL  GENERAL</t>
  </si>
  <si>
    <t>FUENTE O SUBFUENTE DE FINANCIAMIENTO: FODES 2% LIBRE DISPONIBILIDAD</t>
  </si>
  <si>
    <t>PROYECTOS 2021  DEL 2%A EJECUTARSE EN 2022</t>
  </si>
  <si>
    <t>ctas por pagar de años anteriores(provision del complem.fodes de marz-abril-2021 por $ 59,558.68)</t>
  </si>
  <si>
    <t>1-</t>
  </si>
  <si>
    <t xml:space="preserve">BESSIE ROCIO ORTEGA SANTOS </t>
  </si>
  <si>
    <t>EBER ARNOLDO  FACUNDO  PEREZ</t>
  </si>
  <si>
    <t>EDWIN  EZEQUIEL  PABLO MENDOZA</t>
  </si>
  <si>
    <t>CESAR ERNESTO HERNANDEZ RAMIREZ</t>
  </si>
  <si>
    <t>JAIME GIL BELTRAN</t>
  </si>
  <si>
    <t>CARLOS DERAS  VALLES</t>
  </si>
  <si>
    <t>ALFREDO  ALBERTO  FLORES</t>
  </si>
  <si>
    <t>ALEXANDER  APARICIO BAUTISTA</t>
  </si>
  <si>
    <t>MIGUEL ANTONIO DE LEON</t>
  </si>
  <si>
    <t>SILVIA  HAYDEE CANDELARIO BONIFACIO</t>
  </si>
  <si>
    <t>JOSE ALEJANDRO D BAUTISTA SEGURA</t>
  </si>
  <si>
    <t>CARLOS ERNESTO PAREDES GARCIA</t>
  </si>
  <si>
    <t>Segunda  Regidora Suplente</t>
  </si>
  <si>
    <t>Primer Regidor Suplente</t>
  </si>
  <si>
    <t>Octavo Regidor Propietario</t>
  </si>
  <si>
    <t>Cuarto Regidor Suplente</t>
  </si>
  <si>
    <t>Septimo Regidor Propietario</t>
  </si>
  <si>
    <t>Primera Regidora Propietaria</t>
  </si>
  <si>
    <t xml:space="preserve">1. SE TOMO EL PRESUPUESTO DE GASTOS FIJOS DE CADA DEPTO  DEL PLAN DE TRABAJO-2022  </t>
  </si>
  <si>
    <t>2. SE  FORMULO EN BASE  AL DECRETO 204 SOBRE  CREACION DE FONDOS  DE LIBRE DISPONIBILIDAD</t>
  </si>
  <si>
    <t>vienen sumatoria</t>
  </si>
  <si>
    <t>SALDO DE MORA  ACUMULADA  SEGÚN REPORTE DE CTAS CTES</t>
  </si>
  <si>
    <t>PROYECCION DE IMUEBLES</t>
  </si>
  <si>
    <t>PROYECCION DE EMPRESAS</t>
  </si>
  <si>
    <t>MAS EL 10% APLICADO A INMUEBLES</t>
  </si>
  <si>
    <t xml:space="preserve">MAS EL 10%APLICADO A PROYECCION DE EMPRESAS </t>
  </si>
  <si>
    <t>INMEUBLES</t>
  </si>
  <si>
    <t>EMPRESAS</t>
  </si>
  <si>
    <t>AGOSO</t>
  </si>
  <si>
    <t xml:space="preserve">DICIEMBRE </t>
  </si>
  <si>
    <t xml:space="preserve">NOVIEMBRE </t>
  </si>
  <si>
    <t>PROYECCION DE RECUPERCION DE LA MORA  CORRIENTE  Y ANTIGUA PARA AÑO  2022</t>
  </si>
  <si>
    <t xml:space="preserve">PREINVERSION </t>
  </si>
  <si>
    <t>CON N° DE PROYECTOS 2021 A EJECUTARSE EN 2022  DE LIBRE DISPONIBILIDAD</t>
  </si>
  <si>
    <t>Viales (viene año 2021)</t>
  </si>
  <si>
    <t>Servicios Diversos(pago de MIDES)</t>
  </si>
  <si>
    <r>
      <t>Becas(</t>
    </r>
    <r>
      <rPr>
        <sz val="8"/>
        <rFont val="Arial"/>
        <family val="2"/>
      </rPr>
      <t>en presupuesto de plan de trabajo, y presup.en ctas por cobrar años anteriores)</t>
    </r>
  </si>
  <si>
    <t>PRESUPUESTO POR RUBROS DE AGRUPACION, AÑO 2023</t>
  </si>
  <si>
    <t>PRESUPUESTO MUNICIPAL DE INGRESOS 2023</t>
  </si>
  <si>
    <t>FAM</t>
  </si>
  <si>
    <t>FAN 216</t>
  </si>
  <si>
    <t>Obligaciones y transferencias generales del estado (FAM)</t>
  </si>
  <si>
    <t>TRANSFERENCIAS DE CAPITAL (FAM)</t>
  </si>
  <si>
    <t>ESTRUCTURA PRESUPUESTARIA, EJERCICIO 2023</t>
  </si>
  <si>
    <t>SERVICIOS BASICOS</t>
  </si>
  <si>
    <t>5001</t>
  </si>
  <si>
    <t>5002</t>
  </si>
  <si>
    <t>5003</t>
  </si>
  <si>
    <t>5004</t>
  </si>
  <si>
    <t>5005</t>
  </si>
  <si>
    <t xml:space="preserve">APOYO SOCIAL </t>
  </si>
  <si>
    <t>SERVICIOS DE ENERGIA ELECTRICA</t>
  </si>
  <si>
    <t xml:space="preserve">SERVICIOS DE AGUA </t>
  </si>
  <si>
    <t xml:space="preserve">SERVICIOS DE TELECOMUNICACIONES </t>
  </si>
  <si>
    <t xml:space="preserve">SERVICIOS DE ALUMBRADO PUBLICO </t>
  </si>
  <si>
    <t xml:space="preserve">RECOLECCION DE DESECHOS SOLIDOS </t>
  </si>
  <si>
    <t>5101</t>
  </si>
  <si>
    <t>5102</t>
  </si>
  <si>
    <t>5103</t>
  </si>
  <si>
    <t>5104</t>
  </si>
  <si>
    <t>5105</t>
  </si>
  <si>
    <t>5106</t>
  </si>
  <si>
    <t>5107</t>
  </si>
  <si>
    <t>BECAS</t>
  </si>
  <si>
    <t>PROYECTOS DE EMPRENDEDURISMO</t>
  </si>
  <si>
    <t>PROYECTOS DE ATENCION A MUJERES</t>
  </si>
  <si>
    <t xml:space="preserve">PROYECTOS DE APOYO Y ATENCION A LA JUVENTUD </t>
  </si>
  <si>
    <t>PROYECTOS DE APOYO Y ATENCION AL ADULTO MAYOR</t>
  </si>
  <si>
    <t>PROYECTOS DE VIVIENDA</t>
  </si>
  <si>
    <t xml:space="preserve">PROGRAMAS DE APOYO SOCIAL DIVERSOS </t>
  </si>
  <si>
    <t>PRESUPUESTO MUNICIPAL DE EGRESOS 2023</t>
  </si>
  <si>
    <t>AÑO 2023</t>
  </si>
  <si>
    <t>AFP 8.75%</t>
  </si>
  <si>
    <t>PLANILLA DE SALARIO</t>
  </si>
  <si>
    <t>CIFRAS PRESUPUESTARIA</t>
  </si>
  <si>
    <t>CTA.CTE. 100200701193-4</t>
  </si>
  <si>
    <t xml:space="preserve"> FUNCIONAMIENTO LIBRE DISPONIBILIDAD</t>
  </si>
  <si>
    <t>N°</t>
  </si>
  <si>
    <t>CARGO</t>
  </si>
  <si>
    <t>DIA DE ASUETO LABORADO 02 DE NOVIEMBRE</t>
  </si>
  <si>
    <t xml:space="preserve">TOTAL DEVENGADO </t>
  </si>
  <si>
    <t>ISSS 3%</t>
  </si>
  <si>
    <t>INSAF 1%</t>
  </si>
  <si>
    <t>ISSS PATRONAL 7.50%</t>
  </si>
  <si>
    <t>AFP 7.25%</t>
  </si>
  <si>
    <t>AFP PATRONAL 7.75%</t>
  </si>
  <si>
    <t>IPSFA  6%</t>
  </si>
  <si>
    <t>VALOR SUJETO A RENTA</t>
  </si>
  <si>
    <t xml:space="preserve">IPSFA PATRONAL 6% </t>
  </si>
  <si>
    <t>ISR</t>
  </si>
  <si>
    <t xml:space="preserve"> DESCUENTOS DE PRESTAMOS</t>
  </si>
  <si>
    <t>TOTAL DESCUENTOS</t>
  </si>
  <si>
    <t>IMPORTE LIQUIDO</t>
  </si>
  <si>
    <t>FIRMA</t>
  </si>
  <si>
    <t xml:space="preserve">CONFIA </t>
  </si>
  <si>
    <t>CRECER</t>
  </si>
  <si>
    <t>0101 DIRECCION SUPERIOR</t>
  </si>
  <si>
    <t>ALCALDE MUNICIPAL</t>
  </si>
  <si>
    <t>SECRETARIA DESPACHO DEL  ALCALDE</t>
  </si>
  <si>
    <t>3</t>
  </si>
  <si>
    <t>SINDICO MUNICIPAL</t>
  </si>
  <si>
    <t>4</t>
  </si>
  <si>
    <t>GERENCIA GRAL</t>
  </si>
  <si>
    <t>5</t>
  </si>
  <si>
    <t>JEFE UNIDAD JURIDICA</t>
  </si>
  <si>
    <t>6</t>
  </si>
  <si>
    <t>SECRETARIA MPAL INTERINA</t>
  </si>
  <si>
    <t>7</t>
  </si>
  <si>
    <t>MOTORISTA DESPACHO MPAL</t>
  </si>
  <si>
    <t>TOTAL UNIDAD 0101</t>
  </si>
  <si>
    <t>0102 ADMINISTRACION GENERAL Y OPERATIVA</t>
  </si>
  <si>
    <t>JEFE DE UACI</t>
  </si>
  <si>
    <t>9</t>
  </si>
  <si>
    <t xml:space="preserve"> AUX. UACI</t>
  </si>
  <si>
    <t>10</t>
  </si>
  <si>
    <t>ENCARG. DE TESORERIA</t>
  </si>
  <si>
    <t>11</t>
  </si>
  <si>
    <t>AUX.TESORERIA</t>
  </si>
  <si>
    <t>12</t>
  </si>
  <si>
    <t>13</t>
  </si>
  <si>
    <t>ENCARG. DE CONTABILIDAD</t>
  </si>
  <si>
    <t>14</t>
  </si>
  <si>
    <t>ENC.PRESUPUESTO Y AUX.CONTABILIDAD</t>
  </si>
  <si>
    <t>15</t>
  </si>
  <si>
    <t>JEFA DE RECURSOS HUMANOS(talento humano)</t>
  </si>
  <si>
    <t>16</t>
  </si>
  <si>
    <t>JEFE UATM</t>
  </si>
  <si>
    <t>17</t>
  </si>
  <si>
    <t>JEFE DE CUENTAS CORRIENTES (interina)</t>
  </si>
  <si>
    <t>18</t>
  </si>
  <si>
    <t>19</t>
  </si>
  <si>
    <t>ENCARGADA DE RECUPERACION DE MORA (interina)</t>
  </si>
  <si>
    <t>20</t>
  </si>
  <si>
    <t>JEFA  DE CATASTRO  Y ORDENAM. TERRIT. (interin.-se desc.3 dias s/goce de sueldo )</t>
  </si>
  <si>
    <t>21</t>
  </si>
  <si>
    <t>AUXILIAR DE CATASTRO</t>
  </si>
  <si>
    <t>22</t>
  </si>
  <si>
    <r>
      <rPr>
        <sz val="8"/>
        <rFont val="Arial Narrow"/>
        <family val="2"/>
      </rPr>
      <t xml:space="preserve">AUXILIAR DE LA UNIDAD DE CATASTRO y ENC. DE CEMENTERIOS </t>
    </r>
    <r>
      <rPr>
        <sz val="7"/>
        <rFont val="Arial Narrow"/>
        <family val="2"/>
      </rPr>
      <t>(Ad-Honoren)</t>
    </r>
  </si>
  <si>
    <t>23</t>
  </si>
  <si>
    <t>24</t>
  </si>
  <si>
    <r>
      <t>JEFE  DEL REG.FAMILIAR</t>
    </r>
    <r>
      <rPr>
        <sz val="8"/>
        <color rgb="FFFF0000"/>
        <rFont val="Arial Narrow"/>
        <family val="2"/>
      </rPr>
      <t xml:space="preserve"> </t>
    </r>
  </si>
  <si>
    <t>25</t>
  </si>
  <si>
    <t xml:space="preserve">AUX. DEL REG. DEL ESTADO FAMILIAR </t>
  </si>
  <si>
    <t>26</t>
  </si>
  <si>
    <t>27</t>
  </si>
  <si>
    <t>AUX. REGISTRO FAMILIAR</t>
  </si>
  <si>
    <t>28</t>
  </si>
  <si>
    <t>JEFA DE LA UNIDAD DE PROYECCION SOCIAL Y PARTIC.CIUD.</t>
  </si>
  <si>
    <t>29</t>
  </si>
  <si>
    <t xml:space="preserve">AUX.PROYECCION SOCIAL </t>
  </si>
  <si>
    <t>30</t>
  </si>
  <si>
    <t>AUX. DE PROYECCION SOCIAL</t>
  </si>
  <si>
    <t>31</t>
  </si>
  <si>
    <t>AUX. DE PROMOCION SOCIAL</t>
  </si>
  <si>
    <t>32</t>
  </si>
  <si>
    <t>JEFE INTERINO  UNIDAD DE DEPORTES</t>
  </si>
  <si>
    <t>33</t>
  </si>
  <si>
    <t>JEFE DE INFORMATICA</t>
  </si>
  <si>
    <t>34</t>
  </si>
  <si>
    <r>
      <t>JEFA DE LA UNIDAD DE LA MUJER</t>
    </r>
    <r>
      <rPr>
        <sz val="8"/>
        <color rgb="FFFF0000"/>
        <rFont val="Arial Narrow"/>
        <family val="2"/>
      </rPr>
      <t xml:space="preserve"> </t>
    </r>
  </si>
  <si>
    <t>35</t>
  </si>
  <si>
    <t>MOTORISTA NIVELADORA</t>
  </si>
  <si>
    <t>36</t>
  </si>
  <si>
    <t>MOTORISTA MAQUINARIA</t>
  </si>
  <si>
    <t>TOTAL UNIDAD 0201</t>
  </si>
  <si>
    <t>37</t>
  </si>
  <si>
    <t>JEFE DE LA UNIDAD DE MEDIO AMBIENTE</t>
  </si>
  <si>
    <t>38</t>
  </si>
  <si>
    <t>39</t>
  </si>
  <si>
    <t>JEFA  DEL UGDA(interina)</t>
  </si>
  <si>
    <t>40</t>
  </si>
  <si>
    <t>JEFE DE COMUNICACIONES</t>
  </si>
  <si>
    <t>41</t>
  </si>
  <si>
    <t>AUX.DE COMUNICACIONES</t>
  </si>
  <si>
    <t>42</t>
  </si>
  <si>
    <t>ENCARGADO DE BODEGAS</t>
  </si>
  <si>
    <t>43</t>
  </si>
  <si>
    <t>AUX. AGENTE DEL CAM SPP</t>
  </si>
  <si>
    <t>44</t>
  </si>
  <si>
    <t>45</t>
  </si>
  <si>
    <t>AUXILIAR DEL CAM</t>
  </si>
  <si>
    <t>46</t>
  </si>
  <si>
    <t>47</t>
  </si>
  <si>
    <t>48</t>
  </si>
  <si>
    <t>JEFE. AGENTE DEL CAM SPP</t>
  </si>
  <si>
    <t>49</t>
  </si>
  <si>
    <t>JEFA DE SERVICIOS GENERALES</t>
  </si>
  <si>
    <t>50</t>
  </si>
  <si>
    <t>AUX. SERVICIOS GENERALES</t>
  </si>
  <si>
    <t>51</t>
  </si>
  <si>
    <t>AUX. DE SERVICIOS GENERALES</t>
  </si>
  <si>
    <t>52</t>
  </si>
  <si>
    <t>ORDENANZA DE DESPACHO</t>
  </si>
  <si>
    <t>53</t>
  </si>
  <si>
    <t>ORDENANZA</t>
  </si>
  <si>
    <t>54</t>
  </si>
  <si>
    <t>55</t>
  </si>
  <si>
    <t>56</t>
  </si>
  <si>
    <t>57</t>
  </si>
  <si>
    <t>MOTORISTA VEHICULO ADMINIST/OPERATIV</t>
  </si>
  <si>
    <t>58</t>
  </si>
  <si>
    <t>59</t>
  </si>
  <si>
    <t>MOTORISTA CAMION  RECOL.DESECHOS SOL.</t>
  </si>
  <si>
    <t>60</t>
  </si>
  <si>
    <t>AUXILIAR DE TREN DE ASEO</t>
  </si>
  <si>
    <t>61</t>
  </si>
  <si>
    <t>62</t>
  </si>
  <si>
    <t>BARRENDERO DE SITIOS MPALES</t>
  </si>
  <si>
    <t>63</t>
  </si>
  <si>
    <t>BARRENDERO SITIOS MUNICIPALES</t>
  </si>
  <si>
    <t>64</t>
  </si>
  <si>
    <t>65</t>
  </si>
  <si>
    <t>BARRENDERA SITIOS MUNICIPALES</t>
  </si>
  <si>
    <t>PRESUPUESTO DE SALARIOS PARA EL EJERCICIO 2023 REGISTROS AUXILIARES</t>
  </si>
  <si>
    <t>PRESUPUESTO DIETAS PARA EL EJERCICIO 2023</t>
  </si>
  <si>
    <t>BONO DE EMPLEADOS</t>
  </si>
  <si>
    <t>EJERCICIO 2023</t>
  </si>
  <si>
    <t>Salarios del Año</t>
  </si>
  <si>
    <t>fondo comun</t>
  </si>
  <si>
    <t>120 libre disponibilidad</t>
  </si>
  <si>
    <t>FONDO COMUN</t>
  </si>
  <si>
    <t xml:space="preserve">COMPLEMENTOS </t>
  </si>
  <si>
    <t xml:space="preserve">DIETAS DE CONCEJO Y  COTIZACIONES PATRONALES </t>
  </si>
  <si>
    <t>SALARIOS POR JORNAL</t>
  </si>
  <si>
    <t xml:space="preserve">POR CONTRATOS </t>
  </si>
  <si>
    <t>PAGO</t>
  </si>
  <si>
    <t>MESUAL</t>
  </si>
  <si>
    <t xml:space="preserve">ANUAL </t>
  </si>
  <si>
    <t>HORAS EXTRAORDINARIAS</t>
  </si>
  <si>
    <t>LIBRE DISPONIBILIDAD</t>
  </si>
  <si>
    <t>PROYECCION DE RECUPERACION DE MORA PARA AÑO 2023</t>
  </si>
  <si>
    <t>COD. PRES.</t>
  </si>
  <si>
    <t>NOMBRE DE CUENTA</t>
  </si>
  <si>
    <t>AGOSTO</t>
  </si>
  <si>
    <t>NOVIEMBRE</t>
  </si>
  <si>
    <t>DICIEMBRE</t>
  </si>
  <si>
    <t>COMERCIO</t>
  </si>
  <si>
    <t>INDUSTRIA</t>
  </si>
  <si>
    <t>SERVICIOS</t>
  </si>
  <si>
    <t>VALLAS PUBLICITARIAS</t>
  </si>
  <si>
    <t>ALUMBRADO</t>
  </si>
  <si>
    <t>ASEO PUBLICO</t>
  </si>
  <si>
    <t>PAVIMENTACION</t>
  </si>
  <si>
    <t>FONDOS FAM 216</t>
  </si>
  <si>
    <t>FUENTE O SUBFUENTE DE FINANCIAMIENTO: FONDOS FAM</t>
  </si>
  <si>
    <t>216</t>
  </si>
  <si>
    <t>05</t>
  </si>
  <si>
    <t>USOS</t>
  </si>
  <si>
    <t>PROYECTOS O PROGRAMAS</t>
  </si>
  <si>
    <t>MONTO A ASIGNAR MENSUAL</t>
  </si>
  <si>
    <t xml:space="preserve">INGRESOS </t>
  </si>
  <si>
    <t>$</t>
  </si>
  <si>
    <t>Mides</t>
  </si>
  <si>
    <t xml:space="preserve">Recoleccion de desechos solidos </t>
  </si>
  <si>
    <t>Mujeres</t>
  </si>
  <si>
    <t>Apoyo Mujeres</t>
  </si>
  <si>
    <t>Juventud</t>
  </si>
  <si>
    <t>Escuela de futbol</t>
  </si>
  <si>
    <t>Apoyo al deporte</t>
  </si>
  <si>
    <t>Atencion adulto mayor</t>
  </si>
  <si>
    <t>Adulto mayor</t>
  </si>
  <si>
    <t>Proyectos de vivienda</t>
  </si>
  <si>
    <t>Emprendedurismo</t>
  </si>
  <si>
    <t>Remanente</t>
  </si>
  <si>
    <t>MONTO A ASIGNAR TOTAL DE ENERO A DICIEMBRE 2023</t>
  </si>
  <si>
    <t>ENERGIA ELECTRICA</t>
  </si>
  <si>
    <t>DETALLE</t>
  </si>
  <si>
    <t>AGUA</t>
  </si>
  <si>
    <t>TELECOMUNICACIONES</t>
  </si>
  <si>
    <t>ALUBRADO PUBLICO</t>
  </si>
  <si>
    <t>sueldos</t>
  </si>
  <si>
    <t>servicio de alumbrado publico</t>
  </si>
  <si>
    <t>Becas</t>
  </si>
  <si>
    <t>Minerales NO Metalicos y Prod. Derivados</t>
  </si>
  <si>
    <t>Proyeccion de los ingresos, por recuperacion de mora corriente y antigua (impuestos y tasas) parra el año 2023 que según calculos han estimado un valor de $3,133.79 mas 10% mesuales (informacion proporcionada por UATM)</t>
  </si>
  <si>
    <t>GASTOS DE FIESTAS PATRONALES</t>
  </si>
  <si>
    <t>POLVORA</t>
  </si>
  <si>
    <t>FESTIVIDADES NAVIDEÑAS</t>
  </si>
  <si>
    <t>REMANENTES</t>
  </si>
  <si>
    <t>Apoyo social diversos</t>
  </si>
  <si>
    <t>FESTIVAL DEL TAMAL</t>
  </si>
  <si>
    <t>FRANCISCO MORAZAN</t>
  </si>
  <si>
    <t>INDEPENDENCIA</t>
  </si>
  <si>
    <t>FIESTAS COPATRONALES</t>
  </si>
  <si>
    <t>EVENTOS DE LA UNIDAD DE LA NIÑEZ</t>
  </si>
  <si>
    <t>BACHEO 1.50 KM DESDE DESVIO KM 23 CARRETERA PANAMERICANA A CASERIO EL CERRO, CANTON EL ESPINO, MUNICIPIO DE SAN PEDRO PERULAPAN</t>
  </si>
  <si>
    <t>REPARACION DE CALLES NO PAVIMENTADAS Y MANTENIMIENTO  DEL EQUIPO DE TERRACERIA</t>
  </si>
  <si>
    <t>PAVIMENTACIÓN TRAMO DE CALLE SECTOR IGLESIA CATÓLICA, CANTÓN LA ESPERANZA, MUNICIPIO DE SAN PEDRO PERULAPAN</t>
  </si>
  <si>
    <t xml:space="preserve">Cuentas por cobrar de años anteriores//Fodes pendientes de 2022 del mes de diciembre </t>
  </si>
  <si>
    <t>PAVIMENTACIÓN TRAMO DE CALLE SECTOR LA PILONA CANTÓN EL CARMEN, MUNICIPIO DE SAN PEDRO PERULAPAN</t>
  </si>
  <si>
    <t xml:space="preserve">poryectos </t>
  </si>
  <si>
    <t>saldo para unidades</t>
  </si>
  <si>
    <t>programas y proyectos</t>
  </si>
  <si>
    <t>RENDICION DE CUENTAS</t>
  </si>
  <si>
    <t>SUMAS</t>
  </si>
  <si>
    <t>SALDO</t>
  </si>
  <si>
    <t>SUMA</t>
  </si>
  <si>
    <t xml:space="preserve">SALDOS </t>
  </si>
  <si>
    <t>MEDIO AMBIENTE</t>
  </si>
  <si>
    <t>COMUNICACIONES</t>
  </si>
  <si>
    <t>CAM</t>
  </si>
  <si>
    <t xml:space="preserve">CONTABILIDAD </t>
  </si>
  <si>
    <t>UNIDAD DE LA MUJER</t>
  </si>
  <si>
    <t>REF</t>
  </si>
  <si>
    <t>DESPACHO MUNICIPAL</t>
  </si>
  <si>
    <t>UNIDAD DE LA NIÑEZ</t>
  </si>
  <si>
    <t xml:space="preserve">  </t>
  </si>
  <si>
    <t>UAIP</t>
  </si>
  <si>
    <t xml:space="preserve">AUDITORIA </t>
  </si>
  <si>
    <t>AUDITORIA INTERNA</t>
  </si>
  <si>
    <t>PRESUPUESTO</t>
  </si>
  <si>
    <t xml:space="preserve">GERENCIA </t>
  </si>
  <si>
    <t>6. CUOTAS PENDIENTES DE TRANSFERENCIA DE SECTOR PUBLICO DE 120 FODES MES DE DICIEMBRE 2022</t>
  </si>
  <si>
    <t xml:space="preserve">3. SE  CONSOLIDO LOS SALDOS  DE LAS CONCILIACIONES BANCARIAS A DIC-22 , SE PROVISIONA EL FODES DE </t>
  </si>
  <si>
    <t>UGDA</t>
  </si>
  <si>
    <t>PROYECTO MUSICAL</t>
  </si>
  <si>
    <t>CONSTRUCCION DE OBRAS DE PASO ENTRE ZONAS 1 Y 2 DE CANTON EL LIMON SAN PEDRO PERULAPAN</t>
  </si>
  <si>
    <t>MEJORAS EN EL EDIFICIO DE LA ALCALADIA MSPP</t>
  </si>
  <si>
    <t>CONSTRUCCION DE BORDAS SECCION ZONA BAJA DE CANTON SAN AGUSTIN DEL MSPP</t>
  </si>
  <si>
    <t>TALENTO HUMANO</t>
  </si>
  <si>
    <t>INCLUYE FIESTA NAVIDEÑA</t>
  </si>
  <si>
    <t>UNIDAD JURIDICA</t>
  </si>
  <si>
    <t>UATM</t>
  </si>
  <si>
    <t>DIA DE LOS DIFUNTOS</t>
  </si>
  <si>
    <t>G</t>
  </si>
  <si>
    <t xml:space="preserve">TESORERIA </t>
  </si>
  <si>
    <t>INFORMATICA</t>
  </si>
  <si>
    <t>PROYECCION SOCIAL</t>
  </si>
  <si>
    <t>PROYECTOS</t>
  </si>
  <si>
    <t>DISPONIBLE</t>
  </si>
  <si>
    <t xml:space="preserve">TOTAL DE ASIGNACION PARA UNIDADES </t>
  </si>
  <si>
    <t xml:space="preserve">CUENTAS POR PAGAR AL 31 DE DICIEMBRE DEL 2022, </t>
  </si>
  <si>
    <t xml:space="preserve">DETALLES DE LOS GASTOS DE LA CUENTA TMSPP/"RECONSTRUCCION DE CONCRETEADO, TRAMO DE CALLE SECTOR LOS RAMIREZ, CANTON EL PARAISO ARRIBA A ZONA 3 DEL CANTON MIRAFLORES" , AÑO 2022"         </t>
  </si>
  <si>
    <t>Nombre</t>
  </si>
  <si>
    <t>No de factura</t>
  </si>
  <si>
    <t>Descripcion</t>
  </si>
  <si>
    <t>Descripcion de la cuenta</t>
  </si>
  <si>
    <t>Unidad Solicitante o Encargado de Carpeta.</t>
  </si>
  <si>
    <t>Monto a Cancelar</t>
  </si>
  <si>
    <t>TERRACERIAS Y EQUIPOS SALVADOREÑORES, S.A. DE C.V.</t>
  </si>
  <si>
    <t>0215</t>
  </si>
  <si>
    <t>Pago por alquiler de Vibrador Electrico en proyecto de Recontruccion de concreteado, tramo de calle Sector Los Ramirez, Canton El Paraiso Arriba a zona 3 del canton miraflores.</t>
  </si>
  <si>
    <t xml:space="preserve">TMSPP/"Recontruccion de concreteado, tramo de calle Sector Los Ramirez, Canton El Paraiso Arriba a zona 3 del canton miraflores"         </t>
  </si>
  <si>
    <t>Planificación y desarrollo de proyectos</t>
  </si>
  <si>
    <t>4DM ARQUITECTOS, S.A. DE C.V.</t>
  </si>
  <si>
    <t>0004</t>
  </si>
  <si>
    <r>
      <t xml:space="preserve">Pago por Estimacion #1 del Proyecto: Suministro de Concreto en Reconstruccion de Concreteado, Tramo de Calle Sector Los Ramirez, Canton Paraiso Arriba a zona 3 del Canton Miraflores municipio de San Pedro Perulapan cuscatlan año 2022 volumen suministrado en estimacion </t>
    </r>
    <r>
      <rPr>
        <i/>
        <sz val="11"/>
        <color theme="1"/>
        <rFont val="Arial Narrow"/>
        <family val="2"/>
      </rPr>
      <t>#1 21.50 m3</t>
    </r>
  </si>
  <si>
    <t>0005</t>
  </si>
  <si>
    <r>
      <t xml:space="preserve">Pago por Estimacion #2 del Proyecto: Suministro de Concreto en Reconstruccion de Concreteado, Tramo de Calle Sector Los Ramirez, Canton Paraiso Arriba a zona 3 del Canton Miraflores, municipio de San Pedro Perulapan cuscatlan año 2022 volumen suministrado en estimacion </t>
    </r>
    <r>
      <rPr>
        <i/>
        <sz val="11"/>
        <color theme="1"/>
        <rFont val="Arial Narrow"/>
        <family val="2"/>
      </rPr>
      <t>#1 21.50 m3</t>
    </r>
  </si>
  <si>
    <t>0003</t>
  </si>
  <si>
    <r>
      <t xml:space="preserve">Pago por Estimacion #1 del Proyecto: Suministro de Concreto en Reconstruccion de Concreteado, Tramo de Calle Sector Los Ramirez, Canton Paraiso Arriba a zona 3 del Canton Miraflores, municipio de San Pedro Perulapan cuscatlan año 2022 volumen suministrado en estimacion </t>
    </r>
    <r>
      <rPr>
        <i/>
        <sz val="11"/>
        <color theme="1"/>
        <rFont val="Arial Narrow"/>
        <family val="2"/>
      </rPr>
      <t>#1 12.50 m3</t>
    </r>
  </si>
  <si>
    <t>0002</t>
  </si>
  <si>
    <t xml:space="preserve">DETALLES DE LOS GASTOS DE LA CUENTA TMSPP/"CONSTRUCCION DE CONCRETO Y CORDON CUNETA EN TRAMO DE CALLE CASERIO EL CERRO CANTON EL ESPINO MUNICIPIO DE SAN PEDRO PERULAPAN CUSCATLAN, AÑO 2022"         </t>
  </si>
  <si>
    <t>0006</t>
  </si>
  <si>
    <r>
      <t xml:space="preserve">Pago por Estimacion #1 del Proyecto: Contrato de Suministro de Concreto en Construccion de Concreto y cordon cuneta en Tramo de Calle en caserio El Cerro Canton El Espino municipio de San Pedro Perulapan cuscatlan año 2022 volumen suministrado en estimacion </t>
    </r>
    <r>
      <rPr>
        <i/>
        <sz val="11"/>
        <color theme="1"/>
        <rFont val="Arial Narrow"/>
        <family val="2"/>
      </rPr>
      <t>#1 16 m3</t>
    </r>
  </si>
  <si>
    <t xml:space="preserve">TMSPP/"Construccion de Concreto El Cerro c/ El Espino       </t>
  </si>
  <si>
    <t>0007</t>
  </si>
  <si>
    <r>
      <t xml:space="preserve">Pago por Estimacion #2 del Proyecto: Contrato de Suministro de Concreto en Construccion de Concreto y cordon cuneta en Tramo de Calle en caserio El Cerro Canton El Espino municipio de San Pedro Perulapan cuscatlan año 2022 volumen suministrado en estimacion </t>
    </r>
    <r>
      <rPr>
        <i/>
        <sz val="11"/>
        <color theme="1"/>
        <rFont val="Arial Narrow"/>
        <family val="2"/>
      </rPr>
      <t>#2 16 m3</t>
    </r>
  </si>
  <si>
    <t>DETALLES DE LOS GASTOS DE LA CUENTA TMSPP/FOMENTO A LAS ACTIVIDADES DEPORTIVAS PARA UNA MEJOR CONVIVENCIA ENTRE LAS FAMILIAS DE NUESTRO MUNICIPIO"</t>
  </si>
  <si>
    <t>MARTA MARITZA QUINTANILLA MOLINA</t>
  </si>
  <si>
    <t>108</t>
  </si>
  <si>
    <t>Pago por la compra de 1605.00 uniformes deportivos, para diferentes comites de Deportes del municipio de San Pedro Perulapan, los cantones beneficiados son Canton El Espino, Canton El Paraiso, Casco Urbano, Canton La Loma, Canton Istagua.</t>
  </si>
  <si>
    <t>TMSPP/Fomento a las actividades Deportivas para una mejor Convivencia entre las familias de nuestro municipio"</t>
  </si>
  <si>
    <t>Unidad de Deportes</t>
  </si>
  <si>
    <t>DISTRIBUIDORA JAGUAR, S.A. DE C.V.</t>
  </si>
  <si>
    <t>Pago por compra de mallas ML para marco de Futbol oficial TT-OS001</t>
  </si>
  <si>
    <t>TIENDA ANITA (ANA DELMY BAUTISTA DE NIETO)</t>
  </si>
  <si>
    <t>0263</t>
  </si>
  <si>
    <t>Pago por la compra de 175 jugos cascadas para final de torneo de softbol en casco urbano</t>
  </si>
  <si>
    <t>DETALLES DE LOS GASTOS PROYECTO "PAVIMENTACION DE SECTOR EL CEMENTERIO, CANTON ISTAGUA Y ENTRADA HACIA CANTON EL RODEO, MUNICIPIO DE SAN PEDRO PERULAPAN, DPTO CUSCATLAN PRIMERA ETAPA</t>
  </si>
  <si>
    <t>R&amp;C CONSTRUCTORA DESARROLLO Y GESTION DE PROYECTOS, S.A. DE C.V.</t>
  </si>
  <si>
    <t>0000243</t>
  </si>
  <si>
    <t>Pago por liquidacion final de proyecto pavimentacion de sector el Cementerio Canton Istagua y entrada hacia Canton El Rodeo Municipio de San Pedro Perulapan, Primer Etapa.</t>
  </si>
  <si>
    <t>TMSPP/PAV. SECTOR CEMENTERIO C/ISTAGUA</t>
  </si>
  <si>
    <t>DETALLES DE LOS GASTOS PROYECTO  ADQUISICION DE CAMION RECOLECTOR COMPACTADOR DE BASURA DE LA MUNICIPALIDAD DE SAN PEDRO PERULAPAN AÑO 2022, DEPARTAMENTO DE CUSCATLAN AÑO 2022", FONDOS GOES LD DECRETO N° 323.</t>
  </si>
  <si>
    <t>TRANSPORTES PESADOS, S.A. DE C.V.</t>
  </si>
  <si>
    <t>21761</t>
  </si>
  <si>
    <t xml:space="preserve">Pago del 10% restante de contraentrega de las respectivas placas del vehiculo y su tarjeta de circulacion, se entregara acta de recepcion definitiva a satisfaccion por parte del administrador de contrato, previa entrega de la correspondiente garantia Buen servicio, funcionamiento o calidad de bienes. </t>
  </si>
  <si>
    <t xml:space="preserve">TMSPP/ADQUISIC. DE CAMION RECOLECTOR </t>
  </si>
  <si>
    <t xml:space="preserve">DETALLES DE LOS GASTOS DE LA CUENTA TMSPP/ FONDO COMUN  </t>
  </si>
  <si>
    <t>MB SYSTEMS (RONALD CRISTIAN MARTINEZ BERRIOS)</t>
  </si>
  <si>
    <t>Cotizacion 00304</t>
  </si>
  <si>
    <t>Pago por la compra de Disco Duro de 4 GB HD y 4 discos duros de 510 GB SSD para ampliacion de respaldo de video de camaras de vigilancia de la municipalidad</t>
  </si>
  <si>
    <t>TMSPP/FONDO COMUN</t>
  </si>
  <si>
    <t>Informatica</t>
  </si>
  <si>
    <t>ELECTRONICA 2001, S.A. DE C.V.</t>
  </si>
  <si>
    <t>Cotizacion</t>
  </si>
  <si>
    <t xml:space="preserve">Pago por la compra de 2 Trompetas como apoyo A Centro Escolar Caserio El Calvario, El La Loma </t>
  </si>
  <si>
    <t>UMNA</t>
  </si>
  <si>
    <t>MIGUEL ANGEL GRANADOS FLORES</t>
  </si>
  <si>
    <t xml:space="preserve">RECIBO MUNICIPAL </t>
  </si>
  <si>
    <t>pago por cambio de aceite de motor, Caja y corona, filtros y desmontaje en instalacion de nuevos repuestos para vehiculos municipal placa 13689, venta de polea del Damper</t>
  </si>
  <si>
    <t>Servicios Generales</t>
  </si>
  <si>
    <t>MARIA JOAQUINA PACHECO DE FLAMENCO</t>
  </si>
  <si>
    <t>Pago por compra de 32 almuerzos para personal que asistira a plan Belen al monitoreo el dia 25 de dic 2022 y 01 de enero del 2023.</t>
  </si>
  <si>
    <t xml:space="preserve">Proyeccion Social </t>
  </si>
  <si>
    <t>RICARDO SANCHEZ MENDOZA</t>
  </si>
  <si>
    <t>FACT-4037</t>
  </si>
  <si>
    <t>Pago servicios funerario tipo economico, en apoyo de familia de escasos recursos en el Canton Huisiltepeque</t>
  </si>
  <si>
    <t>ANA DELMY BAUTISTA DE NIETO (TIENDA ANITA)</t>
  </si>
  <si>
    <t>FACT-0267</t>
  </si>
  <si>
    <t>Pago por compra de 15 fardos de soda en lada de 24 unidades para inauguracion de proyecto de calle en Canton Istagua el dia 07 enero del 2023.</t>
  </si>
  <si>
    <t>ROSA IMELDA CRESPIN DE SANDOVAL</t>
  </si>
  <si>
    <t>Pago por compra de 300 Croisant para proyecto, inauguracion de calle en Canton del Istagua el dia 07 de enero del 2023.</t>
  </si>
  <si>
    <t>FUEGOLANDIA , S.A. DE C.V.</t>
  </si>
  <si>
    <t>FACT-00131</t>
  </si>
  <si>
    <t>Pago por show de fuegos artificiales para fiestas patronales de San Pedro Perulapan</t>
  </si>
  <si>
    <t>LA CONSTANCIA, LTDA. DE C.V.</t>
  </si>
  <si>
    <t>00249580</t>
  </si>
  <si>
    <t xml:space="preserve">Pago por la compra de 15 garrafones de agua para empleados de la municipalidad </t>
  </si>
  <si>
    <t>0576</t>
  </si>
  <si>
    <t>Pago por la compra de un combo de luces chinas para fiestas patronales del Canton El Limon en honor a la Patrona Virgen de fatima el dia 21 de mayo del 2022, adjudicado en el acuerdo municipal numero 15 con fecha 6 de Mayo de 2022 numeral 2.</t>
  </si>
  <si>
    <t>0592</t>
  </si>
  <si>
    <t>Pago por la compra de un combo de luces chinas para fiestas patronales del Canton Buenos Aires en honor al sagrado Corazon de Jesus el dia 25 de junio de 2022, adjudicado en el acuerdo municipal numero 09 con fecha 24 de Junio de 2022 numeral 3.</t>
  </si>
  <si>
    <t>SUMINISTROS LA PALMA (JENNIFER LISSETTE JOYA PALMA)</t>
  </si>
  <si>
    <t>FACT-0559</t>
  </si>
  <si>
    <t>Pago por compra de 1 cubeta de pintura Azul de aceite y 1 cubeta de pintura Blanca de Aceite para interior para apoyo al centro escolar San Pedro Perulapan 11854</t>
  </si>
  <si>
    <t>AUTOSERVICIO LA LOMA (FRANCISCA BONILLA DE MEDINA)</t>
  </si>
  <si>
    <t>FACT-1583,1584,1585,1596</t>
  </si>
  <si>
    <t>Pago por servicios de mantenimiento preventivo y correctivo para vehiculos municipales con placas N-7778, N-10863, N-5462, Propiedad de la Alcaldia de San Pedro Perulapan que consiste en: Juego de pastillas delanteras, instalacion de pastillas, filtro de aceite, filtro de combustible, filtro de aire, pachon de motul, compra de 1 galon de valvoline</t>
  </si>
  <si>
    <t>FERRETERIA LA FLECHA (ROXANA BEATRIZ BELTRAN MEJIA)</t>
  </si>
  <si>
    <t>FACT-00430</t>
  </si>
  <si>
    <t>Pago por la compra de 3 conos anaranjados de seguridad y 4 chalecos reflectivos para centro escolar General Francisco Morazan</t>
  </si>
  <si>
    <t>RZ, S.A. DE C.V.</t>
  </si>
  <si>
    <t>FACT-03292</t>
  </si>
  <si>
    <t xml:space="preserve">Pago por la compra de papeleria y materiales de oficina para uso administrativo municipal, 500 sobre de manila tamaño carta, 200 post-it de colores, 00 hojas fabriano tamaño carta, 100 folders tamaño carta, 25 tirros 3/4, 10 pares pilas AA Alkalina </t>
  </si>
  <si>
    <t>FACT-0563</t>
  </si>
  <si>
    <t>Pago por la compra de herramientas para empernar estantes: 1 llave de 13mm mixta, 2 llaves de 12mm mixta, 2 llaves de 11mm mando para 3/8" de 6" 1 cubo  de 12mm mando para 3/8" de 6 para seguridad de los documentos y del personal de la unidad</t>
  </si>
  <si>
    <t>M&amp;R QUIMICOS ( SANTOS PAULINO MOLINA NAJARRO)</t>
  </si>
  <si>
    <t>FACT-0023</t>
  </si>
  <si>
    <t xml:space="preserve">PAGO POR LA COMPRA DE PRODUCTOS DE LIMPIEZA PARA USO DE LAS ORDENANZAS MUNICIPALES QUE SE OCUPAN DE ASEAR LA MUNICIPALIDAD </t>
  </si>
  <si>
    <t>FACT-03285</t>
  </si>
  <si>
    <t>Pago por la compra de tornillos de 3" para empernar libros de actas de los concejos anteriores que se encuentran en resguardo de la unidad</t>
  </si>
  <si>
    <t>LA GRAN BONANZA (OSCAR MAURICIO URIAS HERNANDEZ)</t>
  </si>
  <si>
    <t>FACT-493</t>
  </si>
  <si>
    <t>Pago por la compra de un Show de Luces Chinas mas 5 docenas de cohete de vara para fiestas patronales Canton Buena vista, Caserio Palo Blanco en honor a la Virgen de Guadalupe el dia 11 de diciembre del 2022</t>
  </si>
  <si>
    <t>DETALLES DE LOS GASTOS DE LA CUENTA TMSPP/FODES 25% LD</t>
  </si>
  <si>
    <t>AUTO SERVICIO LA LOMA (FRANCISCA BONILLA DE MEDINA)</t>
  </si>
  <si>
    <t>1597</t>
  </si>
  <si>
    <t>Pago por servicios de mecanica para vehiculo municipal placa 5462, revision y reparacion de fuga de aceite del motor y sistema, se reparo carte, se hizo nuevo empaque se completo aceite de motor, se cambio zapatas traseras y pastillas delanteras, se completo liquido de frenos y se rectifico tambores traseros</t>
  </si>
  <si>
    <t>TMSPP/Fodes 25% LD</t>
  </si>
  <si>
    <t>Servicio generales</t>
  </si>
  <si>
    <t>INDUSTRIAL PARTS, S.A. DE C.V.</t>
  </si>
  <si>
    <t>FACT-0032</t>
  </si>
  <si>
    <t xml:space="preserve">Pago por reparacion de motor de arranque para rodo liso Compactador CS-533E DE 10 Toneladas prop. De la Alcaldia de San Pedro </t>
  </si>
  <si>
    <t>De funcionamiento</t>
  </si>
  <si>
    <t>CENTRO DE SERVICIO DOÑO, S.A. DE C.V.</t>
  </si>
  <si>
    <t>FACT-01143714</t>
  </si>
  <si>
    <t>Por compra de 4 llantas para vehiculo Municipal Toyota Hilux  placa N 13689</t>
  </si>
  <si>
    <t>SEGUROS SURA, S.A.</t>
  </si>
  <si>
    <t>AVISO COBRO</t>
  </si>
  <si>
    <t>Pago seguros de vehiculos municipales Placas, N10863, N 5462, N 7778</t>
  </si>
  <si>
    <t>RECIBO</t>
  </si>
  <si>
    <t>Pago por compra de 250 Croisant para proyecto, inauguracion de calle en Canton del Espino el dia 14 de enero del 2023.</t>
  </si>
  <si>
    <t>MARIA TRANSITO FIGUEROA</t>
  </si>
  <si>
    <t>FACT-16543,171292,175291,179721,168271,172790,179265,169247,176301,164975,169248,173899,177752,180713,184993,180392,164670,169578,173906,178184,164669,173900,179722,172490,172791,178250</t>
  </si>
  <si>
    <t>Pago por suministro de Combustible para vehiculos, maquinaria y motocicletas municipales por el mes de diciembre, según contrato  vigente CD-01/2022</t>
  </si>
  <si>
    <t>FACT-0257</t>
  </si>
  <si>
    <t>Pago por compra de 11 fardos de soda en lada de 24 unidades para inauguracion de proyecto de calle en Canton El Espino el dia 14 enero del 2023.</t>
  </si>
  <si>
    <t>DETALLES DE LOS GASTOS DE LA CUENTA TMSPP//SERVICIOS BASICOS 2022 DL 477 FAM</t>
  </si>
  <si>
    <t>No de factura O Recibo</t>
  </si>
  <si>
    <t>COMPAÑÍA DE TELECOMUNICACIONES DE EL SALVADOR, S.A. DE C.V.</t>
  </si>
  <si>
    <t>FACT-6222674</t>
  </si>
  <si>
    <t>Pago por servicios basicos de la municipalidad</t>
  </si>
  <si>
    <t xml:space="preserve">TMSPP//SERVICIOS BASICOS 2022 </t>
  </si>
  <si>
    <t>UFI</t>
  </si>
  <si>
    <t>ANDA</t>
  </si>
  <si>
    <t>FACT-4268361 FACT-4268363, FACT-4268367</t>
  </si>
  <si>
    <t>DETALLES DE LOS GASTOS DE LA CUENTA TMSPP/PROGRAMA DE DESECHOS SOLIDOS DE LA MUNICIPALIDAD DE SAN PEDRO PERULAPAN AÑO 2022, PERIODO DE AGOSTO A DICIEMBRE DEL 2022 DPTO CUSCATLAN, FONDOS FAM DECRETO N° 477.</t>
  </si>
  <si>
    <t>FACT-23445</t>
  </si>
  <si>
    <t>Pago por Servicios de Reparacion que consiste en: Mano de obra, Cambio de Sensor inyeccion, motor internacional, Dt 466 con limpieza entre otros</t>
  </si>
  <si>
    <t>TMSPP/ PROGRAMA DESECHOS SOLIDOS 2022 DL 477</t>
  </si>
  <si>
    <t>Medio Ambiente</t>
  </si>
  <si>
    <t>FACT-01143703</t>
  </si>
  <si>
    <t xml:space="preserve">Pago por compta de 4 llantas para camion Recolector de Desechos Solidos con placa N-6828 propiedad de la Alcaldia  de San Pedro Perulapan </t>
  </si>
  <si>
    <t>FERRETERIA LAS CUMBRES (JORI, S.A. DE C.V.)</t>
  </si>
  <si>
    <t>FACT-0885</t>
  </si>
  <si>
    <t>Pago por servicios de Alquiler de camion para recoleccion de Desechos Solidos en los diferentes Cantones del municipio de San Pedro Perulapan</t>
  </si>
  <si>
    <t>0024</t>
  </si>
  <si>
    <t xml:space="preserve">Pago por la compra de 24 cremas para Hongos para uso de Personal de Limpieza y Recoleccion de desechos Solidos </t>
  </si>
  <si>
    <t>MANEJO INTEGRAL DE DESECHOS SOLIDOS S.E.M. DE C.V.</t>
  </si>
  <si>
    <t>02902</t>
  </si>
  <si>
    <t>Pago por servicios de desechos comunes correspondientes al mes de diciembre del 2022</t>
  </si>
  <si>
    <t>1600</t>
  </si>
  <si>
    <t>pago por instalacion de manguera de alta presion del hidraulico del camion recolector placa N 6828, cinta teflon, abrazades plasticas, y mano de obrea</t>
  </si>
  <si>
    <t>LUIS RUBEN GARCIA CHAVEZ</t>
  </si>
  <si>
    <t>COTIZACION</t>
  </si>
  <si>
    <t>Pago por compra de 10 rotulos para colocar en basurero en cielo Abierto en medidas alto 70 cm ancho 80 cm y tubo de 3 metros con vinil en lamina</t>
  </si>
  <si>
    <t>DETALLES DE LOS GASTOS DE LA CUENTA TMSPP/ ESCUELAS MUNICIPALES DE FUTBOL DE SAN PEDRO PERULAPAN 2022</t>
  </si>
  <si>
    <t>1128</t>
  </si>
  <si>
    <t>Pago por compras de 6 QQ de abono para mantenimiento de Grama para las canchas municipales donde estan las escuelitas de Futbol</t>
  </si>
  <si>
    <t>TMSPP/ESCUELAS MUNICIPALES DE FUTBOL DE SAN PEDRO PERULAPAN 2022</t>
  </si>
  <si>
    <t>Deportes</t>
  </si>
  <si>
    <t>DETALLES DE LOS GASTOS DE LA CUENTA TMSPP/MUNICIPAL DE SAN PEDRO 2022, EQUIPO AFEDERADO MUNICIPIO DE SAN PEDRO PERULAPAN DTO. DE CUSCATLAN, FONDOS PROVENIENTES DE DONACION</t>
  </si>
  <si>
    <t>JUAN CARLOS CHAMUL ALFARO</t>
  </si>
  <si>
    <t>Pago Contratacion por servicios de arbitraje para encuentro deportivo del equipo afederado municipal vrs Cinquera</t>
  </si>
  <si>
    <t>TMSPP/Municipal San Pedro 2022, equipo afederado</t>
  </si>
  <si>
    <t>ANGELICA ROSMERY VASQUEZ SANCHEZ</t>
  </si>
  <si>
    <t>Pago por servicios de transporte para trasladar desde el casco urbano hacia el estadio de tejutepeque a encuentro deportivo del equipo afederado 2022</t>
  </si>
  <si>
    <t xml:space="preserve">DETALLES DE LOS GASTOS DE LA CUENTA TMSPP/PROGRAMA DE FOMENTO CULTURAL Y DE CONVIVENCIA EN FAMILIAS EN EL MARCO DE LAS FESTIVIDADES NAVIDEÑAS EN EL MUNICIPIO DE SAN PEDRO PERULAPAN AÑO 2022, FONDOS FODES LIBRE DISPONIBILIDAD. </t>
  </si>
  <si>
    <t>0284</t>
  </si>
  <si>
    <t>Pago por la compra de 60 fardos de agua en bolsa y 2 fardos de agua en botella para celebracion de desfile navideño  y en las entregas de juguetes</t>
  </si>
  <si>
    <t>TMSPP/PROGRAMA DE FOMENTO CULTURAL Y DE CONVIVENCIA</t>
  </si>
  <si>
    <t>proyeccion social</t>
  </si>
  <si>
    <t>DEPOSITO Y VENTA DE CEREALES DON JUAN ( JUAN FRANCISCO TORRES MARTINEZ)</t>
  </si>
  <si>
    <t>1749</t>
  </si>
  <si>
    <t>Pago por la compra de 10 bolsas de dulces para celebracion de fiestas navideñas, 2022, en las entregas de juguetes que se estan realizando y darles a las madres con niños en brazos.</t>
  </si>
  <si>
    <t>CUENTA BANCARIA</t>
  </si>
  <si>
    <t xml:space="preserve">N% DE CUENTA BANCARIA </t>
  </si>
  <si>
    <t>SALDO PARA EL  PRESUPUESTO</t>
  </si>
  <si>
    <t>100-200-701269-8</t>
  </si>
  <si>
    <t>SALDO AL 31/12/2022</t>
  </si>
  <si>
    <t>100-200-701268-0</t>
  </si>
  <si>
    <t>100-200-701270-1</t>
  </si>
  <si>
    <t>100-200-701259-0</t>
  </si>
  <si>
    <t>DEPORTES</t>
  </si>
  <si>
    <t>REMANENTES GOES LIBRES DIPONIBILDAD DECRETO 323</t>
  </si>
  <si>
    <t>200-200-912131-5</t>
  </si>
  <si>
    <t>ELECTRIFICACION EN SECTOR LINEA FERREA CASERIO LOS ESCOBARES CANTON EL CARMEN</t>
  </si>
  <si>
    <t>100-200-701258-2</t>
  </si>
  <si>
    <t>SUMINISTRO DE MATERIALES DE CONSTRUCCION EN COMUNIDAD VILLAS DE ISTAGUA</t>
  </si>
  <si>
    <t>100-200-701285-0</t>
  </si>
  <si>
    <t>CONSTRUCCION DE TRAMO CALLE A SAN FRANCISCO</t>
  </si>
  <si>
    <t>100-200-701283-3</t>
  </si>
  <si>
    <t>TOTAL FONDOS GOES</t>
  </si>
  <si>
    <t xml:space="preserve">SALDOS BANCARIOS AL 31/12/2022 </t>
  </si>
  <si>
    <t>100-200-701295-7</t>
  </si>
  <si>
    <t>100-200-701284-1</t>
  </si>
  <si>
    <t>100-200-701287-6</t>
  </si>
  <si>
    <t>100-200-701296-5</t>
  </si>
  <si>
    <t>APOYO EN MATERIALES VARIOS PARA EL RUBRO DE VIVIENDA FAM 2022</t>
  </si>
  <si>
    <t>100-20-701241-4</t>
  </si>
  <si>
    <t>FORTALECIMIENTO A LAS ACTIVIDADES EDUCATIVAS CULTURALES Y DE RECREACION DEL PROYECTO MUSICAL FAM 2022</t>
  </si>
  <si>
    <t>100-200-701294-9</t>
  </si>
  <si>
    <t>FONDO DE APOYO PARA ATENDER PROYECTOS , ACTIVIDADES SOCIALES Y DE SERVICIO</t>
  </si>
  <si>
    <t>200-200-912449-7</t>
  </si>
  <si>
    <t>TOTAL FONDOS FAM</t>
  </si>
  <si>
    <t>100-200-701292-2</t>
  </si>
  <si>
    <t>100-200-701193-4</t>
  </si>
  <si>
    <t xml:space="preserve">TOTAL FONDOS FODES </t>
  </si>
  <si>
    <t>100-200-701275-2</t>
  </si>
  <si>
    <t>TOTAL FONDOS POR DONACION</t>
  </si>
  <si>
    <t>DONACIONES</t>
  </si>
  <si>
    <t>00</t>
  </si>
  <si>
    <t>SERVICIOS GENERALES Y ARRENDAMIENTOS DIVERSOS</t>
  </si>
  <si>
    <t xml:space="preserve">2. POSIBLES DONACIONES A LA MUNICIPALIDAD </t>
  </si>
  <si>
    <t>100-200-701192-6</t>
  </si>
  <si>
    <t>5% FIESTAS PATRONALES , PERIODO 2021-2024</t>
  </si>
  <si>
    <t>200-200-911475-0</t>
  </si>
  <si>
    <t>70% FODES ISDEM , PERIDO 2021-2024</t>
  </si>
  <si>
    <t>200-200-911473-4</t>
  </si>
  <si>
    <t>MUNICIPALIDAD DE SAN PEDRO PERULAPAN, CUENTA CORRIENTE TRASNFERENCIA BANCO AGRICOLA</t>
  </si>
  <si>
    <t xml:space="preserve">PROYECTO MUSICAL MUNICIPAL INTEGRAL </t>
  </si>
  <si>
    <t>100-200-701261-2</t>
  </si>
  <si>
    <t>TOTAL FONDOS PROPIOS</t>
  </si>
  <si>
    <t>FONDOS INDEPENDIENTES ISNA</t>
  </si>
  <si>
    <t>100-200-701172-1</t>
  </si>
  <si>
    <t>TESORERIA MUNICIPAL SPP( FISDL)</t>
  </si>
  <si>
    <t>200-200-811410-2</t>
  </si>
  <si>
    <t>TOTAL FONDOS ISNA</t>
  </si>
  <si>
    <t>TOTAL DE DISPONIBILIDAD</t>
  </si>
  <si>
    <t>TOTAL FONDOS FISDL</t>
  </si>
  <si>
    <t>PROTECCION CIVIL</t>
  </si>
  <si>
    <t>DIRECCION GENERAL DE TESORERIA</t>
  </si>
  <si>
    <t>ESTADO DE CUENTA MINISTERIO DE HACIENDA</t>
  </si>
  <si>
    <t>PAGO DE ESPECIES MUNICIPALESN DEL AÑO 2021</t>
  </si>
  <si>
    <t>TESORERIA</t>
  </si>
  <si>
    <t>COPYSYSTEMS, S.A. DE C.V.</t>
  </si>
  <si>
    <t xml:space="preserve">Pago por la compra de 3 Kit de tintas color negro, 3 Kit tintas color magenta  y 1 Kit de tinta color Yellow para elaboracion de de calendarios municipales y entregarlos a la poblacion que visita la comuna. </t>
  </si>
  <si>
    <t>Comunicaciones</t>
  </si>
  <si>
    <t>LA CASA DEL SELLO (FRANCISCO ANTONIO SERRANO ORTIZ)</t>
  </si>
  <si>
    <t>Pago por la compra de 1000 Papel Folcote de 12x5 pulgadas a una cara  y 1,200 papel bond de 12x15 pulgadas para elaboracion de calendarios municipales y entregarlos a la poblacion que visita la comuna.</t>
  </si>
  <si>
    <t>TOTAL ASIGNACION PARA UNIDADES</t>
  </si>
  <si>
    <t>UACI</t>
  </si>
  <si>
    <t>MONTO A ASIGNAR MENSUALMENTE</t>
  </si>
  <si>
    <t>MONTO A ASIGNAR DE REMANENTES FAM 2022</t>
  </si>
  <si>
    <t>TOTAL POR PROYECTO FAM 2023 MAS REMANENTES FAM 2022</t>
  </si>
  <si>
    <r>
      <t>TRANSFERENCIAS CORRIENTES 120%</t>
    </r>
    <r>
      <rPr>
        <b/>
        <sz val="10"/>
        <rFont val="Arial Narrow"/>
        <family val="2"/>
      </rPr>
      <t>(LIBRE DISPONIBILIDAD)</t>
    </r>
  </si>
  <si>
    <t xml:space="preserve">INVERSION E INFRAESTRUCTURA MUNICIPAL GOES Y FONDOS FAM </t>
  </si>
  <si>
    <t>01
03</t>
  </si>
  <si>
    <t>FODES LIBRE DISPONIBILIDAD 2023</t>
  </si>
  <si>
    <t>SALDO DISPONIBLE PARA ADMINISTRACION</t>
  </si>
  <si>
    <t>PENDIENTE DE CONTRATAR</t>
  </si>
  <si>
    <t>MAS 10%</t>
  </si>
  <si>
    <t>TOTAL 2023</t>
  </si>
  <si>
    <t>COMPLEMENTO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</si>
</sst>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quot;$&quot;#,##0"/>
    <numFmt numFmtId="8" formatCode="&quot;$&quot;#,##0.00;[Red]\-&quot;$&quot;#,##0.00"/>
    <numFmt numFmtId="44" formatCode="_-&quot;$&quot;* #,##0.00_-;\-&quot;$&quot;* #,##0.00_-;_-&quot;$&quot;* &quot;-&quot;??_-;_-@_-"/>
    <numFmt numFmtId="43" formatCode="_-* #,##0.00_-;\-* #,##0.00_-;_-* &quot;-&quot;??_-;_-@_-"/>
    <numFmt numFmtId="164" formatCode="_(&quot;$&quot;* #,##0.00_);_(&quot;$&quot;* \(#,##0.00\);_(&quot;$&quot;* &quot;-&quot;??_);_(@_)"/>
    <numFmt numFmtId="165" formatCode="_(&quot;$&quot;\ * #,##0.00_);_(&quot;$&quot;\ * \(#,##0.00\);_(&quot;$&quot;\ * &quot;-&quot;??_);_(@_)"/>
    <numFmt numFmtId="166" formatCode="_ [$$-300A]\ * #,##0.00_ ;_ [$$-300A]\ * \-#,##0.00_ ;_ [$$-300A]\ * &quot;-&quot;??_ ;_ @_ "/>
    <numFmt numFmtId="167" formatCode="_-[$€-2]* #,##0.00_-;\-[$€-2]* #,##0.00_-;_-[$€-2]* &quot;-&quot;??_-"/>
    <numFmt numFmtId="168" formatCode="_([$$-440A]* #,##0.00_);_([$$-440A]* \(#,##0.00\);_([$$-440A]* &quot;-&quot;??_);_(@_)"/>
    <numFmt numFmtId="169" formatCode="_-[$$-300A]\ * #,##0.00_ ;_-[$$-300A]\ * \-#,##0.00\ ;_-[$$-300A]\ * &quot;-&quot;??_ ;_-@_ "/>
    <numFmt numFmtId="170" formatCode="_-[$$-440A]* #,##0.00_ ;_-[$$-440A]* \-#,##0.00\ ;_-[$$-440A]* &quot;-&quot;??_ ;_-@_ "/>
    <numFmt numFmtId="171" formatCode="&quot;$&quot;#,##0.00"/>
    <numFmt numFmtId="172" formatCode="_-[$$-440A]* #,##0.00_-;\-[$$-440A]* #,##0.00_-;_-[$$-440A]* &quot;-&quot;??_-;_-@_-"/>
    <numFmt numFmtId="173" formatCode="_([$$-300A]\ * #,##0.00_);_([$$-300A]\ * \(#,##0.00\);_([$$-300A]\ * &quot;-&quot;??_);_(@_)"/>
    <numFmt numFmtId="174" formatCode="_-[$$-80A]* #,##0.00_-;\-[$$-80A]* #,##0.00_-;_-[$$-80A]* &quot;-&quot;??_-;_-@_-"/>
    <numFmt numFmtId="175" formatCode="_ [$$-300A]* #,##0.00_ ;_ [$$-300A]* \-#,##0.00_ ;_ [$$-300A]* &quot;-&quot;??_ ;_ @_ "/>
  </numFmts>
  <fonts count="106"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i/>
      <sz val="12"/>
      <name val="Arial"/>
      <family val="2"/>
    </font>
    <font>
      <sz val="12"/>
      <name val="Arial"/>
      <family val="2"/>
    </font>
    <font>
      <sz val="10"/>
      <name val="Arial"/>
      <family val="2"/>
    </font>
    <font>
      <b/>
      <sz val="12"/>
      <name val="Arial"/>
      <family val="2"/>
    </font>
    <font>
      <sz val="14"/>
      <name val="Arial"/>
      <family val="2"/>
    </font>
    <font>
      <b/>
      <sz val="10"/>
      <name val="Arial"/>
      <family val="2"/>
    </font>
    <font>
      <b/>
      <sz val="14"/>
      <name val="Arial"/>
      <family val="2"/>
    </font>
    <font>
      <sz val="11"/>
      <name val="Arial"/>
      <family val="2"/>
    </font>
    <font>
      <b/>
      <sz val="11"/>
      <name val="Arial"/>
      <family val="2"/>
    </font>
    <font>
      <b/>
      <sz val="16"/>
      <name val="Arial"/>
      <family val="2"/>
    </font>
    <font>
      <b/>
      <sz val="10"/>
      <color indexed="12"/>
      <name val="Arial"/>
      <family val="2"/>
    </font>
    <font>
      <b/>
      <u val="singleAccounting"/>
      <sz val="14"/>
      <name val="Arial"/>
      <family val="2"/>
    </font>
    <font>
      <b/>
      <u/>
      <sz val="14"/>
      <name val="Arial"/>
      <family val="2"/>
    </font>
    <font>
      <i/>
      <sz val="14"/>
      <name val="Arial"/>
      <family val="2"/>
    </font>
    <font>
      <b/>
      <u val="singleAccounting"/>
      <sz val="10"/>
      <name val="Arial"/>
      <family val="2"/>
    </font>
    <font>
      <sz val="10"/>
      <name val="Arial"/>
      <family val="2"/>
    </font>
    <font>
      <sz val="9"/>
      <name val="Arial"/>
      <family val="2"/>
    </font>
    <font>
      <b/>
      <sz val="9"/>
      <name val="Arial"/>
      <family val="2"/>
    </font>
    <font>
      <sz val="9"/>
      <color indexed="81"/>
      <name val="Tahoma"/>
      <family val="2"/>
    </font>
    <font>
      <b/>
      <sz val="9"/>
      <color indexed="81"/>
      <name val="Tahoma"/>
      <family val="2"/>
    </font>
    <font>
      <sz val="11"/>
      <color theme="0"/>
      <name val="Calibri"/>
      <family val="2"/>
      <scheme val="minor"/>
    </font>
    <font>
      <sz val="10"/>
      <color rgb="FFFF0000"/>
      <name val="Arial"/>
      <family val="2"/>
    </font>
    <font>
      <b/>
      <sz val="10"/>
      <color rgb="FFFF0000"/>
      <name val="Arial"/>
      <family val="2"/>
    </font>
    <font>
      <b/>
      <sz val="11"/>
      <color rgb="FF000000"/>
      <name val="Arial"/>
      <family val="2"/>
    </font>
    <font>
      <sz val="11"/>
      <color rgb="FF000000"/>
      <name val="Arial"/>
      <family val="2"/>
    </font>
    <font>
      <sz val="12"/>
      <color theme="1"/>
      <name val="Arial"/>
      <family val="2"/>
    </font>
    <font>
      <sz val="10"/>
      <color theme="1"/>
      <name val="Arial"/>
      <family val="2"/>
    </font>
    <font>
      <b/>
      <i/>
      <sz val="12"/>
      <name val="Arial"/>
      <family val="2"/>
    </font>
    <font>
      <b/>
      <sz val="11"/>
      <color theme="1"/>
      <name val="Calibri"/>
      <family val="2"/>
      <scheme val="minor"/>
    </font>
    <font>
      <b/>
      <sz val="10"/>
      <color rgb="FF0070C0"/>
      <name val="Arial"/>
      <family val="2"/>
    </font>
    <font>
      <b/>
      <sz val="10.5"/>
      <name val="Arial"/>
      <family val="2"/>
    </font>
    <font>
      <b/>
      <sz val="8"/>
      <name val="Arial"/>
      <family val="2"/>
    </font>
    <font>
      <b/>
      <sz val="10"/>
      <color rgb="FF000000"/>
      <name val="Arial"/>
      <family val="2"/>
    </font>
    <font>
      <b/>
      <sz val="18"/>
      <name val="Arial Narrow"/>
      <family val="2"/>
    </font>
    <font>
      <sz val="18"/>
      <name val="Arial Narrow"/>
      <family val="2"/>
    </font>
    <font>
      <b/>
      <u/>
      <sz val="18"/>
      <name val="Arial Narrow"/>
      <family val="2"/>
    </font>
    <font>
      <b/>
      <sz val="12"/>
      <name val="Arial Narrow"/>
      <family val="2"/>
    </font>
    <font>
      <b/>
      <sz val="16"/>
      <name val="Arial Narrow"/>
      <family val="2"/>
    </font>
    <font>
      <sz val="10"/>
      <name val="Arial Narrow"/>
      <family val="2"/>
    </font>
    <font>
      <b/>
      <sz val="14"/>
      <name val="Arial Narrow"/>
      <family val="2"/>
    </font>
    <font>
      <b/>
      <sz val="10"/>
      <name val="Arial Narrow"/>
      <family val="2"/>
    </font>
    <font>
      <b/>
      <u val="doubleAccounting"/>
      <sz val="10"/>
      <name val="Arial Narrow"/>
      <family val="2"/>
    </font>
    <font>
      <sz val="8"/>
      <name val="Arial"/>
      <family val="2"/>
    </font>
    <font>
      <sz val="11"/>
      <color rgb="FF000000"/>
      <name val="Calibri"/>
      <family val="2"/>
    </font>
    <font>
      <b/>
      <i/>
      <u/>
      <sz val="14"/>
      <color rgb="FF000000"/>
      <name val="Calibri"/>
      <family val="2"/>
    </font>
    <font>
      <b/>
      <sz val="11"/>
      <color rgb="FF000000"/>
      <name val="Calibri"/>
      <family val="2"/>
    </font>
    <font>
      <b/>
      <sz val="8"/>
      <color rgb="FFFF0000"/>
      <name val="Calibri"/>
      <family val="2"/>
    </font>
    <font>
      <b/>
      <sz val="7"/>
      <color rgb="FFFF0000"/>
      <name val="Calibri"/>
      <family val="2"/>
    </font>
    <font>
      <b/>
      <sz val="8"/>
      <color rgb="FF000000"/>
      <name val="Calibri"/>
      <family val="2"/>
    </font>
    <font>
      <b/>
      <sz val="10"/>
      <color rgb="FF000000"/>
      <name val="Calibri"/>
      <family val="2"/>
    </font>
    <font>
      <b/>
      <sz val="11"/>
      <name val="Calibri"/>
      <family val="2"/>
    </font>
    <font>
      <b/>
      <sz val="9"/>
      <color rgb="FF000000"/>
      <name val="Calibri"/>
      <family val="2"/>
    </font>
    <font>
      <b/>
      <i/>
      <sz val="11"/>
      <color rgb="FF000000"/>
      <name val="Calibri"/>
      <family val="2"/>
    </font>
    <font>
      <b/>
      <sz val="9"/>
      <name val="Arial Narrow"/>
      <family val="2"/>
    </font>
    <font>
      <sz val="8"/>
      <name val="Arial Narrow"/>
      <family val="2"/>
    </font>
    <font>
      <sz val="13"/>
      <name val="Arial Narrow"/>
      <family val="2"/>
    </font>
    <font>
      <sz val="13"/>
      <name val="Calibri"/>
      <family val="2"/>
    </font>
    <font>
      <sz val="13"/>
      <color rgb="FF000000"/>
      <name val="Calibri"/>
      <family val="2"/>
    </font>
    <font>
      <sz val="10"/>
      <color rgb="FFFF0000"/>
      <name val="Calibri"/>
      <family val="2"/>
    </font>
    <font>
      <b/>
      <sz val="13"/>
      <color rgb="FF000000"/>
      <name val="Calibri"/>
      <family val="2"/>
    </font>
    <font>
      <b/>
      <sz val="13"/>
      <name val="Calibri"/>
      <family val="2"/>
    </font>
    <font>
      <sz val="7"/>
      <name val="Arial Narrow"/>
      <family val="2"/>
    </font>
    <font>
      <sz val="8"/>
      <color rgb="FF000000"/>
      <name val="Arial Narrow"/>
      <family val="2"/>
    </font>
    <font>
      <b/>
      <sz val="8"/>
      <name val="Arial Narrow"/>
      <family val="2"/>
    </font>
    <font>
      <b/>
      <sz val="13"/>
      <name val="Arial Narrow"/>
      <family val="2"/>
    </font>
    <font>
      <sz val="8"/>
      <color rgb="FFFF0000"/>
      <name val="Arial Narrow"/>
      <family val="2"/>
    </font>
    <font>
      <sz val="13"/>
      <color rgb="FF000000"/>
      <name val="Arial Narrow"/>
      <family val="2"/>
    </font>
    <font>
      <b/>
      <sz val="12"/>
      <color rgb="FF000000"/>
      <name val="Calibri"/>
      <family val="2"/>
    </font>
    <font>
      <sz val="10"/>
      <color rgb="FF000000"/>
      <name val="Calibri"/>
      <family val="2"/>
    </font>
    <font>
      <sz val="9"/>
      <name val="Arial Narrow"/>
      <family val="2"/>
    </font>
    <font>
      <sz val="12"/>
      <name val="Arial Narrow"/>
      <family val="2"/>
    </font>
    <font>
      <sz val="11"/>
      <name val="Arial Narrow"/>
      <family val="2"/>
    </font>
    <font>
      <sz val="10"/>
      <name val="Arial"/>
      <family val="2"/>
    </font>
    <font>
      <b/>
      <sz val="11"/>
      <color rgb="FFFF0000"/>
      <name val="Arial"/>
      <family val="2"/>
    </font>
    <font>
      <b/>
      <u val="singleAccounting"/>
      <sz val="12"/>
      <color rgb="FFFF0000"/>
      <name val="Arial"/>
      <family val="2"/>
    </font>
    <font>
      <b/>
      <i/>
      <sz val="10"/>
      <name val="Arial"/>
      <family val="2"/>
    </font>
    <font>
      <b/>
      <sz val="16"/>
      <color rgb="FF000000"/>
      <name val="Calibri"/>
      <family val="2"/>
    </font>
    <font>
      <b/>
      <sz val="7"/>
      <color rgb="FF000000"/>
      <name val="Calibri"/>
      <family val="2"/>
    </font>
    <font>
      <b/>
      <sz val="9"/>
      <name val="Calibri"/>
      <family val="2"/>
    </font>
    <font>
      <b/>
      <sz val="6"/>
      <color rgb="FF000000"/>
      <name val="Calibri"/>
      <family val="2"/>
    </font>
    <font>
      <b/>
      <sz val="8"/>
      <name val="Calibri"/>
      <family val="2"/>
    </font>
    <font>
      <sz val="9"/>
      <color rgb="FF000000"/>
      <name val="Calibri"/>
      <family val="2"/>
    </font>
    <font>
      <sz val="8"/>
      <color rgb="FF000000"/>
      <name val="Calibri"/>
      <family val="2"/>
    </font>
    <font>
      <sz val="11"/>
      <color rgb="FFFF0000"/>
      <name val="Calibri"/>
      <family val="2"/>
    </font>
    <font>
      <sz val="11"/>
      <color theme="1"/>
      <name val="Arial Narrow"/>
      <family val="2"/>
    </font>
    <font>
      <b/>
      <sz val="11"/>
      <color theme="1"/>
      <name val="Arial Narrow"/>
      <family val="2"/>
    </font>
    <font>
      <sz val="11"/>
      <color rgb="FFFF0000"/>
      <name val="Arial Narrow"/>
      <family val="2"/>
    </font>
    <font>
      <b/>
      <sz val="11"/>
      <color rgb="FFFF0000"/>
      <name val="Arial Narrow"/>
      <family val="2"/>
    </font>
    <font>
      <b/>
      <sz val="11"/>
      <color theme="4"/>
      <name val="Arial Narrow"/>
      <family val="2"/>
    </font>
    <font>
      <b/>
      <sz val="10"/>
      <color theme="1"/>
      <name val="Arial Narrow"/>
      <family val="2"/>
    </font>
    <font>
      <sz val="10"/>
      <color theme="1"/>
      <name val="Arial Narrow"/>
      <family val="2"/>
    </font>
    <font>
      <i/>
      <sz val="11"/>
      <color theme="1"/>
      <name val="Arial Narrow"/>
      <family val="2"/>
    </font>
    <font>
      <b/>
      <sz val="22"/>
      <color theme="1"/>
      <name val="Calibri"/>
      <family val="2"/>
      <scheme val="minor"/>
    </font>
    <font>
      <b/>
      <sz val="12"/>
      <color rgb="FFFF0000"/>
      <name val="Arial"/>
      <family val="2"/>
    </font>
    <font>
      <b/>
      <sz val="20"/>
      <color theme="1"/>
      <name val="Arial Narrow"/>
      <family val="2"/>
    </font>
    <font>
      <b/>
      <sz val="14"/>
      <color rgb="FFFF0000"/>
      <name val="Arial"/>
      <family val="2"/>
    </font>
    <font>
      <b/>
      <sz val="12"/>
      <color rgb="FFFF0000"/>
      <name val="Arial Narrow"/>
      <family val="2"/>
    </font>
    <font>
      <b/>
      <sz val="12"/>
      <color theme="1"/>
      <name val="Arial Narrow"/>
      <family val="2"/>
    </font>
    <font>
      <sz val="10"/>
      <color rgb="FF000000"/>
      <name val="Arial Narrow"/>
      <family val="2"/>
    </font>
    <font>
      <sz val="11"/>
      <color rgb="FF000000"/>
      <name val="Arial Narrow"/>
      <family val="2"/>
    </font>
  </fonts>
  <fills count="41">
    <fill>
      <patternFill patternType="none"/>
    </fill>
    <fill>
      <patternFill patternType="gray125"/>
    </fill>
    <fill>
      <patternFill patternType="solid">
        <fgColor indexed="9"/>
        <bgColor indexed="64"/>
      </patternFill>
    </fill>
    <fill>
      <patternFill patternType="gray125">
        <bgColor indexed="9"/>
      </patternFill>
    </fill>
    <fill>
      <patternFill patternType="solid">
        <fgColor theme="4"/>
      </patternFill>
    </fill>
    <fill>
      <patternFill patternType="solid">
        <fgColor theme="2" tint="-0.249977111117893"/>
        <bgColor indexed="64"/>
      </patternFill>
    </fill>
    <fill>
      <patternFill patternType="solid">
        <fgColor rgb="FF00B050"/>
        <bgColor indexed="64"/>
      </patternFill>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4" tint="0.79998168889431442"/>
        <bgColor indexed="64"/>
      </patternFill>
    </fill>
    <fill>
      <patternFill patternType="gray125">
        <fgColor indexed="22"/>
        <bgColor theme="6" tint="0.79998168889431442"/>
      </patternFill>
    </fill>
    <fill>
      <patternFill patternType="solid">
        <fgColor theme="9" tint="0.59999389629810485"/>
        <bgColor indexed="64"/>
      </patternFill>
    </fill>
    <fill>
      <patternFill patternType="solid">
        <fgColor rgb="FF92D050"/>
        <bgColor indexed="64"/>
      </patternFill>
    </fill>
    <fill>
      <patternFill patternType="gray125">
        <fgColor indexed="22"/>
        <bgColor theme="4" tint="0.79998168889431442"/>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
      <patternFill patternType="gray125">
        <bgColor theme="8" tint="0.79998168889431442"/>
      </patternFill>
    </fill>
    <fill>
      <patternFill patternType="lightTrellis">
        <fgColor indexed="22"/>
        <bgColor theme="8" tint="0.79998168889431442"/>
      </patternFill>
    </fill>
    <fill>
      <patternFill patternType="gray125">
        <fgColor indexed="22"/>
        <bgColor theme="8" tint="0.79998168889431442"/>
      </patternFill>
    </fill>
    <fill>
      <patternFill patternType="lightTrellis">
        <fgColor indexed="22"/>
        <bgColor theme="4" tint="0.79998168889431442"/>
      </patternFill>
    </fill>
    <fill>
      <patternFill patternType="solid">
        <fgColor theme="2"/>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rgb="FFBDD7EE"/>
        <bgColor rgb="FF000000"/>
      </patternFill>
    </fill>
    <fill>
      <patternFill patternType="solid">
        <fgColor rgb="FF9BC2E6"/>
        <bgColor rgb="FF000000"/>
      </patternFill>
    </fill>
    <fill>
      <patternFill patternType="solid">
        <fgColor rgb="FFFFF2CC"/>
        <bgColor rgb="FF000000"/>
      </patternFill>
    </fill>
    <fill>
      <patternFill patternType="solid">
        <fgColor rgb="FFFFFFFF"/>
        <bgColor rgb="FF000000"/>
      </patternFill>
    </fill>
    <fill>
      <patternFill patternType="solid">
        <fgColor rgb="FFDBDBDB"/>
        <bgColor rgb="FF000000"/>
      </patternFill>
    </fill>
    <fill>
      <patternFill patternType="solid">
        <fgColor theme="8" tint="0.59999389629810485"/>
        <bgColor indexed="64"/>
      </patternFill>
    </fill>
    <fill>
      <patternFill patternType="solid">
        <fgColor theme="7" tint="0.59999389629810485"/>
        <bgColor indexed="64"/>
      </patternFill>
    </fill>
    <fill>
      <patternFill patternType="solid">
        <fgColor rgb="FFD0CECE"/>
        <bgColor rgb="FF000000"/>
      </patternFill>
    </fill>
    <fill>
      <patternFill patternType="solid">
        <fgColor rgb="FFE2EFDA"/>
        <bgColor rgb="FF000000"/>
      </patternFill>
    </fill>
    <fill>
      <patternFill patternType="solid">
        <fgColor rgb="FFF8CBAD"/>
        <bgColor rgb="FF000000"/>
      </patternFill>
    </fill>
    <fill>
      <patternFill patternType="solid">
        <fgColor theme="6"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6" tint="0.399975585192419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medium">
        <color indexed="64"/>
      </left>
      <right style="medium">
        <color indexed="64"/>
      </right>
      <top style="thick">
        <color indexed="64"/>
      </top>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top style="thin">
        <color indexed="64"/>
      </top>
      <bottom style="double">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bottom style="double">
        <color indexed="64"/>
      </bottom>
      <diagonal/>
    </border>
    <border>
      <left/>
      <right/>
      <top style="double">
        <color indexed="64"/>
      </top>
      <bottom/>
      <diagonal/>
    </border>
    <border>
      <left/>
      <right/>
      <top/>
      <bottom style="thin">
        <color indexed="64"/>
      </bottom>
      <diagonal/>
    </border>
  </borders>
  <cellStyleXfs count="12">
    <xf numFmtId="0" fontId="0" fillId="0" borderId="0"/>
    <xf numFmtId="0" fontId="26" fillId="4" borderId="0" applyNumberFormat="0" applyBorder="0" applyAlignment="0" applyProtection="0"/>
    <xf numFmtId="167" fontId="3" fillId="0" borderId="0" applyFont="0" applyFill="0" applyBorder="0" applyAlignment="0" applyProtection="0"/>
    <xf numFmtId="5" fontId="5" fillId="0" borderId="0" applyFont="0" applyFill="0" applyBorder="0" applyAlignment="0" applyProtection="0"/>
    <xf numFmtId="165" fontId="3" fillId="0" borderId="0" applyFont="0" applyFill="0" applyBorder="0" applyAlignment="0" applyProtection="0"/>
    <xf numFmtId="0" fontId="8" fillId="0" borderId="0"/>
    <xf numFmtId="0" fontId="5" fillId="0" borderId="0"/>
    <xf numFmtId="9" fontId="21" fillId="0" borderId="0" applyFont="0" applyFill="0" applyBorder="0" applyAlignment="0" applyProtection="0"/>
    <xf numFmtId="0" fontId="1" fillId="0" borderId="0"/>
    <xf numFmtId="44" fontId="1" fillId="0" borderId="0" applyFont="0" applyFill="0" applyBorder="0" applyAlignment="0" applyProtection="0"/>
    <xf numFmtId="0" fontId="3" fillId="0" borderId="0"/>
    <xf numFmtId="43" fontId="78" fillId="0" borderId="0" applyFont="0" applyFill="0" applyBorder="0" applyAlignment="0" applyProtection="0"/>
  </cellStyleXfs>
  <cellXfs count="1254">
    <xf numFmtId="0" fontId="0" fillId="0" borderId="0" xfId="0"/>
    <xf numFmtId="49" fontId="7" fillId="2" borderId="1" xfId="0" applyNumberFormat="1" applyFont="1" applyFill="1" applyBorder="1" applyAlignment="1">
      <alignment horizontal="center"/>
    </xf>
    <xf numFmtId="0" fontId="7" fillId="0" borderId="2" xfId="0" applyFont="1" applyBorder="1" applyAlignment="1">
      <alignment horizontal="center" vertical="center" wrapText="1"/>
    </xf>
    <xf numFmtId="49" fontId="7" fillId="2" borderId="3" xfId="0" applyNumberFormat="1" applyFont="1" applyFill="1" applyBorder="1" applyAlignment="1">
      <alignment horizontal="center"/>
    </xf>
    <xf numFmtId="0" fontId="11" fillId="2" borderId="0" xfId="0" applyFont="1" applyFill="1"/>
    <xf numFmtId="0" fontId="10" fillId="0" borderId="0" xfId="0" applyFont="1" applyAlignment="1">
      <alignment horizontal="center"/>
    </xf>
    <xf numFmtId="0" fontId="7" fillId="2" borderId="4" xfId="0" applyFont="1" applyFill="1" applyBorder="1" applyAlignment="1">
      <alignment horizontal="left"/>
    </xf>
    <xf numFmtId="0" fontId="7" fillId="2" borderId="5" xfId="0" applyFont="1" applyFill="1" applyBorder="1" applyAlignment="1">
      <alignment horizontal="left"/>
    </xf>
    <xf numFmtId="0" fontId="7" fillId="2" borderId="6" xfId="0" applyFont="1" applyFill="1" applyBorder="1" applyAlignment="1">
      <alignment horizontal="center"/>
    </xf>
    <xf numFmtId="0" fontId="7" fillId="2" borderId="7" xfId="0" applyFont="1" applyFill="1" applyBorder="1" applyAlignment="1">
      <alignment horizontal="center"/>
    </xf>
    <xf numFmtId="49" fontId="7" fillId="2" borderId="8" xfId="0" applyNumberFormat="1" applyFont="1" applyFill="1" applyBorder="1" applyAlignment="1">
      <alignment horizontal="center"/>
    </xf>
    <xf numFmtId="49" fontId="7" fillId="2" borderId="9" xfId="0" applyNumberFormat="1" applyFont="1" applyFill="1" applyBorder="1" applyAlignment="1">
      <alignment horizontal="center"/>
    </xf>
    <xf numFmtId="0" fontId="7" fillId="2" borderId="10" xfId="0" applyFont="1" applyFill="1" applyBorder="1" applyAlignment="1">
      <alignment horizontal="left"/>
    </xf>
    <xf numFmtId="164" fontId="7" fillId="2" borderId="2" xfId="4" applyNumberFormat="1" applyFont="1" applyFill="1" applyBorder="1" applyAlignment="1">
      <alignment horizontal="right"/>
    </xf>
    <xf numFmtId="166" fontId="7" fillId="2" borderId="9" xfId="4" applyNumberFormat="1" applyFont="1" applyFill="1" applyBorder="1" applyAlignment="1">
      <alignment horizontal="right"/>
    </xf>
    <xf numFmtId="166" fontId="7" fillId="2" borderId="2" xfId="4" applyNumberFormat="1" applyFont="1" applyFill="1" applyBorder="1" applyAlignment="1">
      <alignment horizontal="right"/>
    </xf>
    <xf numFmtId="49" fontId="7" fillId="2" borderId="11" xfId="0" applyNumberFormat="1" applyFont="1" applyFill="1" applyBorder="1" applyAlignment="1">
      <alignment horizontal="center"/>
    </xf>
    <xf numFmtId="166" fontId="7" fillId="2" borderId="3" xfId="4" applyNumberFormat="1" applyFont="1" applyFill="1" applyBorder="1" applyAlignment="1">
      <alignment horizontal="right"/>
    </xf>
    <xf numFmtId="0" fontId="7" fillId="2" borderId="12" xfId="0" applyFont="1" applyFill="1" applyBorder="1" applyAlignment="1">
      <alignment horizontal="center"/>
    </xf>
    <xf numFmtId="0" fontId="3" fillId="2" borderId="0" xfId="0" applyFont="1" applyFill="1"/>
    <xf numFmtId="0" fontId="11" fillId="0" borderId="0" xfId="0" applyFont="1" applyAlignment="1">
      <alignment vertical="center"/>
    </xf>
    <xf numFmtId="0" fontId="3" fillId="0" borderId="0" xfId="0" applyFont="1"/>
    <xf numFmtId="49" fontId="3" fillId="2" borderId="0" xfId="0" applyNumberFormat="1" applyFont="1" applyFill="1" applyAlignment="1">
      <alignment horizontal="center"/>
    </xf>
    <xf numFmtId="0" fontId="3" fillId="2" borderId="0" xfId="0" applyFont="1" applyFill="1" applyAlignment="1">
      <alignment horizontal="center"/>
    </xf>
    <xf numFmtId="0" fontId="3" fillId="2" borderId="0" xfId="0" applyFont="1" applyFill="1" applyAlignment="1">
      <alignment vertical="center"/>
    </xf>
    <xf numFmtId="0" fontId="3" fillId="0" borderId="0" xfId="0" applyFont="1" applyAlignment="1">
      <alignment vertical="center"/>
    </xf>
    <xf numFmtId="165" fontId="3" fillId="2" borderId="9" xfId="4" applyFont="1" applyFill="1" applyBorder="1" applyAlignment="1">
      <alignment horizontal="center" vertical="center"/>
    </xf>
    <xf numFmtId="0" fontId="11" fillId="2" borderId="0" xfId="0" applyFont="1" applyFill="1" applyAlignment="1">
      <alignment vertical="center"/>
    </xf>
    <xf numFmtId="49" fontId="3" fillId="2" borderId="0" xfId="0" applyNumberFormat="1" applyFont="1" applyFill="1" applyAlignment="1">
      <alignment horizontal="center" vertical="center"/>
    </xf>
    <xf numFmtId="0" fontId="16" fillId="2" borderId="0" xfId="0" applyFont="1" applyFill="1" applyAlignment="1">
      <alignment vertical="center"/>
    </xf>
    <xf numFmtId="0" fontId="3" fillId="2" borderId="0" xfId="0" applyFont="1" applyFill="1" applyAlignment="1">
      <alignment horizontal="center" vertical="center"/>
    </xf>
    <xf numFmtId="0" fontId="7" fillId="2" borderId="4" xfId="0" applyFont="1" applyFill="1" applyBorder="1" applyAlignment="1">
      <alignment horizontal="left" vertical="center"/>
    </xf>
    <xf numFmtId="0" fontId="7" fillId="2" borderId="6" xfId="0" applyFont="1" applyFill="1" applyBorder="1" applyAlignment="1">
      <alignment horizontal="center" vertical="center"/>
    </xf>
    <xf numFmtId="49" fontId="7" fillId="2" borderId="1" xfId="0" applyNumberFormat="1" applyFont="1" applyFill="1" applyBorder="1" applyAlignment="1">
      <alignment horizontal="center" vertical="center"/>
    </xf>
    <xf numFmtId="164" fontId="3" fillId="2" borderId="0" xfId="4" applyNumberFormat="1" applyFont="1" applyFill="1" applyBorder="1" applyAlignment="1">
      <alignment horizontal="right"/>
    </xf>
    <xf numFmtId="0" fontId="9" fillId="2" borderId="0" xfId="0" applyFont="1" applyFill="1"/>
    <xf numFmtId="0" fontId="11" fillId="0" borderId="0" xfId="0" applyFont="1" applyAlignment="1">
      <alignment horizontal="center" vertical="center" wrapText="1"/>
    </xf>
    <xf numFmtId="49" fontId="15" fillId="0" borderId="0" xfId="0" applyNumberFormat="1" applyFont="1" applyAlignment="1">
      <alignment vertical="center" wrapText="1"/>
    </xf>
    <xf numFmtId="168" fontId="3" fillId="0" borderId="0" xfId="0" applyNumberFormat="1" applyFont="1" applyAlignment="1">
      <alignment vertical="center"/>
    </xf>
    <xf numFmtId="0" fontId="3" fillId="0" borderId="0" xfId="0" applyFont="1" applyAlignment="1">
      <alignment horizontal="center" vertical="center"/>
    </xf>
    <xf numFmtId="49" fontId="3" fillId="0" borderId="8" xfId="0" applyNumberFormat="1" applyFont="1" applyBorder="1" applyAlignment="1">
      <alignment horizontal="center" vertical="center"/>
    </xf>
    <xf numFmtId="164" fontId="13" fillId="0" borderId="1" xfId="4" applyNumberFormat="1" applyFont="1" applyBorder="1" applyAlignment="1">
      <alignment horizontal="center" vertical="center"/>
    </xf>
    <xf numFmtId="0" fontId="13" fillId="0" borderId="1" xfId="0" applyFont="1" applyBorder="1" applyAlignment="1">
      <alignment horizontal="left" vertical="center"/>
    </xf>
    <xf numFmtId="0" fontId="13" fillId="0" borderId="13" xfId="0" applyFont="1" applyBorder="1" applyAlignment="1">
      <alignment horizontal="left" vertical="center"/>
    </xf>
    <xf numFmtId="0" fontId="7" fillId="0" borderId="10" xfId="0" applyFont="1" applyBorder="1" applyAlignment="1">
      <alignment horizontal="center" vertical="center" wrapText="1"/>
    </xf>
    <xf numFmtId="0" fontId="7" fillId="0" borderId="4" xfId="0" applyFont="1" applyBorder="1" applyAlignment="1">
      <alignment horizontal="center" vertical="center" wrapText="1"/>
    </xf>
    <xf numFmtId="0" fontId="7" fillId="2" borderId="7" xfId="0" applyFont="1" applyFill="1" applyBorder="1" applyAlignment="1">
      <alignment horizontal="center" vertical="center"/>
    </xf>
    <xf numFmtId="49" fontId="7" fillId="2" borderId="8" xfId="0" applyNumberFormat="1" applyFont="1" applyFill="1" applyBorder="1" applyAlignment="1">
      <alignment horizontal="center" vertical="center"/>
    </xf>
    <xf numFmtId="0" fontId="7" fillId="2" borderId="5" xfId="0" applyFont="1" applyFill="1" applyBorder="1" applyAlignment="1">
      <alignment horizontal="left" vertical="center"/>
    </xf>
    <xf numFmtId="49" fontId="7" fillId="2" borderId="11" xfId="0" applyNumberFormat="1" applyFont="1" applyFill="1" applyBorder="1" applyAlignment="1">
      <alignment horizontal="center" vertical="center"/>
    </xf>
    <xf numFmtId="0" fontId="7" fillId="2" borderId="12" xfId="0" applyFont="1" applyFill="1" applyBorder="1" applyAlignment="1">
      <alignment horizontal="center" vertical="center"/>
    </xf>
    <xf numFmtId="49" fontId="7" fillId="2" borderId="14" xfId="0" applyNumberFormat="1" applyFont="1" applyFill="1" applyBorder="1" applyAlignment="1">
      <alignment horizontal="center" vertical="center"/>
    </xf>
    <xf numFmtId="49" fontId="7" fillId="2" borderId="15" xfId="0" applyNumberFormat="1" applyFont="1" applyFill="1" applyBorder="1" applyAlignment="1">
      <alignment horizontal="center"/>
    </xf>
    <xf numFmtId="49" fontId="7" fillId="2" borderId="16" xfId="0" applyNumberFormat="1" applyFont="1" applyFill="1" applyBorder="1" applyAlignment="1">
      <alignment horizontal="center"/>
    </xf>
    <xf numFmtId="0" fontId="14" fillId="5" borderId="18" xfId="1" applyFont="1" applyFill="1" applyBorder="1" applyAlignment="1">
      <alignment horizontal="center" vertical="center" textRotation="90" wrapText="1"/>
    </xf>
    <xf numFmtId="0" fontId="14" fillId="5" borderId="19" xfId="1" applyFont="1" applyFill="1" applyBorder="1" applyAlignment="1">
      <alignment horizontal="center" vertical="center" textRotation="90" wrapText="1"/>
    </xf>
    <xf numFmtId="0" fontId="14" fillId="5" borderId="20" xfId="1" applyFont="1" applyFill="1" applyBorder="1" applyAlignment="1">
      <alignment horizontal="center" vertical="center" textRotation="90" wrapText="1"/>
    </xf>
    <xf numFmtId="0" fontId="14" fillId="5" borderId="21" xfId="1" applyFont="1" applyFill="1" applyBorder="1" applyAlignment="1">
      <alignment horizontal="center" vertical="center" textRotation="90" wrapText="1"/>
    </xf>
    <xf numFmtId="0" fontId="12" fillId="5" borderId="22" xfId="1" applyFont="1" applyFill="1" applyBorder="1" applyAlignment="1">
      <alignment horizontal="center"/>
    </xf>
    <xf numFmtId="166" fontId="12" fillId="5" borderId="23" xfId="1" applyNumberFormat="1" applyFont="1" applyFill="1" applyBorder="1" applyAlignment="1">
      <alignment horizontal="center"/>
    </xf>
    <xf numFmtId="0" fontId="9" fillId="0" borderId="0" xfId="0" applyFont="1" applyAlignment="1">
      <alignment vertical="center"/>
    </xf>
    <xf numFmtId="165" fontId="16" fillId="2" borderId="0" xfId="0" applyNumberFormat="1" applyFont="1" applyFill="1" applyAlignment="1">
      <alignment vertical="center"/>
    </xf>
    <xf numFmtId="0" fontId="3" fillId="2" borderId="9" xfId="0" applyFont="1" applyFill="1" applyBorder="1" applyAlignment="1">
      <alignment horizontal="left" vertical="center" wrapText="1"/>
    </xf>
    <xf numFmtId="166" fontId="3" fillId="0" borderId="0" xfId="0" applyNumberFormat="1" applyFont="1"/>
    <xf numFmtId="168" fontId="3" fillId="0" borderId="0" xfId="0" applyNumberFormat="1" applyFont="1"/>
    <xf numFmtId="169" fontId="11" fillId="2" borderId="0" xfId="0" applyNumberFormat="1" applyFont="1" applyFill="1"/>
    <xf numFmtId="0" fontId="3" fillId="0" borderId="6" xfId="0" applyFont="1" applyBorder="1" applyAlignment="1">
      <alignment horizontal="center" vertical="center"/>
    </xf>
    <xf numFmtId="44" fontId="11" fillId="0" borderId="24" xfId="4" applyNumberFormat="1" applyFont="1" applyFill="1" applyBorder="1" applyAlignment="1">
      <alignment horizontal="center" vertical="center"/>
    </xf>
    <xf numFmtId="164" fontId="13" fillId="0" borderId="13" xfId="4" applyNumberFormat="1" applyFont="1" applyBorder="1" applyAlignment="1">
      <alignment horizontal="center" vertical="center"/>
    </xf>
    <xf numFmtId="0" fontId="13" fillId="0" borderId="11" xfId="0" applyFont="1" applyBorder="1" applyAlignment="1">
      <alignment horizontal="left" vertical="center"/>
    </xf>
    <xf numFmtId="170" fontId="3" fillId="0" borderId="8" xfId="0" applyNumberFormat="1" applyFont="1" applyBorder="1" applyAlignment="1">
      <alignment horizontal="center" vertical="center"/>
    </xf>
    <xf numFmtId="44" fontId="20" fillId="6" borderId="23" xfId="4" applyNumberFormat="1" applyFont="1" applyFill="1" applyBorder="1" applyAlignment="1">
      <alignment horizontal="center" vertical="center"/>
    </xf>
    <xf numFmtId="0" fontId="11" fillId="0" borderId="9" xfId="0" applyFont="1" applyBorder="1" applyAlignment="1">
      <alignment horizontal="left" vertical="center" wrapText="1"/>
    </xf>
    <xf numFmtId="0" fontId="11" fillId="2" borderId="9" xfId="0" applyFont="1" applyFill="1" applyBorder="1" applyAlignment="1">
      <alignment horizontal="left" vertical="center"/>
    </xf>
    <xf numFmtId="165" fontId="3" fillId="2" borderId="9" xfId="4" applyFont="1" applyFill="1" applyBorder="1" applyAlignment="1">
      <alignment horizontal="left" vertical="center"/>
    </xf>
    <xf numFmtId="0" fontId="11" fillId="2" borderId="2" xfId="0" applyFont="1" applyFill="1" applyBorder="1" applyAlignment="1">
      <alignment horizontal="left" vertical="center"/>
    </xf>
    <xf numFmtId="0" fontId="3" fillId="2" borderId="2" xfId="0" applyFont="1" applyFill="1" applyBorder="1" applyAlignment="1">
      <alignment horizontal="left" vertical="center" wrapText="1"/>
    </xf>
    <xf numFmtId="0" fontId="11"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3" xfId="0" applyFont="1" applyFill="1" applyBorder="1" applyAlignment="1">
      <alignment horizontal="left" vertical="center"/>
    </xf>
    <xf numFmtId="0" fontId="11" fillId="2" borderId="3" xfId="0" applyFont="1" applyFill="1" applyBorder="1" applyAlignment="1">
      <alignment horizontal="left" vertical="center" wrapText="1"/>
    </xf>
    <xf numFmtId="165" fontId="11" fillId="2" borderId="9" xfId="4" applyFont="1" applyFill="1" applyBorder="1" applyAlignment="1">
      <alignment horizontal="left" vertical="center"/>
    </xf>
    <xf numFmtId="0" fontId="3" fillId="2" borderId="2" xfId="0" applyFont="1" applyFill="1" applyBorder="1" applyAlignment="1">
      <alignment horizontal="left" vertical="center"/>
    </xf>
    <xf numFmtId="0" fontId="3" fillId="0" borderId="9" xfId="0" applyFont="1" applyBorder="1" applyAlignment="1">
      <alignment horizontal="left" vertical="center" wrapText="1"/>
    </xf>
    <xf numFmtId="0" fontId="3" fillId="2" borderId="9" xfId="0" applyFont="1" applyFill="1" applyBorder="1" applyAlignment="1">
      <alignment horizontal="left" vertical="center"/>
    </xf>
    <xf numFmtId="0" fontId="11" fillId="2" borderId="9" xfId="0" applyFont="1" applyFill="1" applyBorder="1" applyAlignment="1">
      <alignment horizontal="justify" vertical="center" wrapText="1"/>
    </xf>
    <xf numFmtId="0" fontId="11" fillId="2" borderId="9"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7" fillId="7" borderId="4" xfId="0" applyFont="1" applyFill="1" applyBorder="1" applyAlignment="1">
      <alignment horizontal="left" vertical="center"/>
    </xf>
    <xf numFmtId="0" fontId="11" fillId="6" borderId="27" xfId="0" applyFont="1" applyFill="1" applyBorder="1" applyAlignment="1">
      <alignment horizontal="center" vertical="center" wrapText="1"/>
    </xf>
    <xf numFmtId="0" fontId="3" fillId="7" borderId="0" xfId="0" applyFont="1" applyFill="1" applyAlignment="1">
      <alignment horizontal="center" vertical="center"/>
    </xf>
    <xf numFmtId="44" fontId="20" fillId="7" borderId="0" xfId="4" applyNumberFormat="1" applyFont="1" applyFill="1" applyBorder="1" applyAlignment="1">
      <alignment horizontal="center" vertical="center"/>
    </xf>
    <xf numFmtId="165" fontId="3" fillId="7" borderId="9" xfId="4" applyFont="1" applyFill="1" applyBorder="1" applyAlignment="1">
      <alignment horizontal="left" vertical="center"/>
    </xf>
    <xf numFmtId="49" fontId="11" fillId="2" borderId="0" xfId="0" applyNumberFormat="1" applyFont="1" applyFill="1" applyAlignment="1">
      <alignment horizontal="left" vertical="center"/>
    </xf>
    <xf numFmtId="0" fontId="10" fillId="0" borderId="0" xfId="0" applyFont="1" applyAlignment="1">
      <alignment vertical="center"/>
    </xf>
    <xf numFmtId="0" fontId="13" fillId="0" borderId="28" xfId="0" applyFont="1" applyBorder="1" applyAlignment="1">
      <alignment horizontal="left" vertical="center"/>
    </xf>
    <xf numFmtId="49" fontId="3" fillId="0" borderId="8" xfId="0" applyNumberFormat="1" applyFont="1" applyBorder="1" applyAlignment="1">
      <alignment horizontal="left" vertical="center"/>
    </xf>
    <xf numFmtId="164" fontId="13" fillId="0" borderId="15" xfId="4" applyNumberFormat="1" applyFont="1" applyBorder="1" applyAlignment="1">
      <alignment horizontal="center" vertical="center"/>
    </xf>
    <xf numFmtId="0" fontId="13" fillId="0" borderId="8" xfId="0" quotePrefix="1" applyFont="1" applyBorder="1" applyAlignment="1">
      <alignment horizontal="center" vertical="center"/>
    </xf>
    <xf numFmtId="0" fontId="13" fillId="0" borderId="15" xfId="0" applyFont="1" applyBorder="1" applyAlignment="1">
      <alignment horizontal="left" vertical="center"/>
    </xf>
    <xf numFmtId="0" fontId="13" fillId="0" borderId="8" xfId="0" applyFont="1" applyBorder="1" applyAlignment="1">
      <alignment horizontal="left" vertical="center"/>
    </xf>
    <xf numFmtId="0" fontId="13" fillId="8" borderId="13" xfId="0" applyFont="1" applyFill="1" applyBorder="1" applyAlignment="1">
      <alignment horizontal="left" vertical="center"/>
    </xf>
    <xf numFmtId="0" fontId="13" fillId="8" borderId="15" xfId="0" applyFont="1" applyFill="1" applyBorder="1" applyAlignment="1">
      <alignment horizontal="left" vertical="center"/>
    </xf>
    <xf numFmtId="170" fontId="3" fillId="8" borderId="8" xfId="0" applyNumberFormat="1" applyFont="1" applyFill="1" applyBorder="1" applyAlignment="1">
      <alignment horizontal="center" vertical="center"/>
    </xf>
    <xf numFmtId="164" fontId="13" fillId="8" borderId="1" xfId="4" applyNumberFormat="1" applyFont="1" applyFill="1" applyBorder="1" applyAlignment="1">
      <alignment horizontal="center" vertical="center"/>
    </xf>
    <xf numFmtId="164" fontId="13" fillId="8" borderId="13" xfId="4" applyNumberFormat="1" applyFont="1" applyFill="1" applyBorder="1" applyAlignment="1">
      <alignment horizontal="center" vertical="center"/>
    </xf>
    <xf numFmtId="49" fontId="3" fillId="8" borderId="8" xfId="0" applyNumberFormat="1" applyFont="1" applyFill="1" applyBorder="1" applyAlignment="1">
      <alignment horizontal="center" vertical="center"/>
    </xf>
    <xf numFmtId="9" fontId="11" fillId="6" borderId="25" xfId="0" applyNumberFormat="1" applyFont="1" applyFill="1" applyBorder="1" applyAlignment="1">
      <alignment horizontal="center" vertical="center" wrapText="1"/>
    </xf>
    <xf numFmtId="0" fontId="3" fillId="0" borderId="6" xfId="0" applyFont="1" applyBorder="1" applyAlignment="1">
      <alignment horizontal="left" vertical="center"/>
    </xf>
    <xf numFmtId="0" fontId="11" fillId="0" borderId="0" xfId="0" applyFont="1" applyAlignment="1">
      <alignment horizontal="center" vertical="center"/>
    </xf>
    <xf numFmtId="0" fontId="11" fillId="6" borderId="29" xfId="0" applyFont="1" applyFill="1" applyBorder="1" applyAlignment="1">
      <alignment horizontal="center" vertical="center" wrapText="1"/>
    </xf>
    <xf numFmtId="0" fontId="11" fillId="7" borderId="29" xfId="0" applyFont="1" applyFill="1" applyBorder="1" applyAlignment="1">
      <alignment horizontal="center" vertical="center" wrapText="1"/>
    </xf>
    <xf numFmtId="0" fontId="11" fillId="8" borderId="27" xfId="0" applyFont="1" applyFill="1" applyBorder="1" applyAlignment="1">
      <alignment horizontal="center" vertical="center" wrapText="1"/>
    </xf>
    <xf numFmtId="0" fontId="11" fillId="7" borderId="26" xfId="0" applyFont="1" applyFill="1" applyBorder="1" applyAlignment="1">
      <alignment horizontal="center" vertical="center" wrapText="1"/>
    </xf>
    <xf numFmtId="0" fontId="11" fillId="8" borderId="26" xfId="0" applyFont="1" applyFill="1" applyBorder="1" applyAlignment="1">
      <alignment horizontal="center" vertical="center" wrapText="1"/>
    </xf>
    <xf numFmtId="0" fontId="11" fillId="8" borderId="29" xfId="0" applyFont="1" applyFill="1" applyBorder="1" applyAlignment="1">
      <alignment horizontal="center" vertical="center" wrapText="1"/>
    </xf>
    <xf numFmtId="0" fontId="11" fillId="8" borderId="25" xfId="0" applyFont="1" applyFill="1" applyBorder="1" applyAlignment="1">
      <alignment horizontal="center" vertical="center" wrapText="1"/>
    </xf>
    <xf numFmtId="0" fontId="11" fillId="7" borderId="25" xfId="0" applyFont="1" applyFill="1" applyBorder="1" applyAlignment="1">
      <alignment horizontal="center" vertical="center" wrapText="1"/>
    </xf>
    <xf numFmtId="49" fontId="3" fillId="7" borderId="8" xfId="0" applyNumberFormat="1" applyFont="1" applyFill="1" applyBorder="1" applyAlignment="1">
      <alignment horizontal="center" vertical="center"/>
    </xf>
    <xf numFmtId="170" fontId="3" fillId="7" borderId="8" xfId="0" applyNumberFormat="1" applyFont="1" applyFill="1" applyBorder="1" applyAlignment="1">
      <alignment horizontal="center" vertical="center"/>
    </xf>
    <xf numFmtId="164" fontId="3" fillId="7" borderId="13" xfId="4" applyNumberFormat="1" applyFont="1" applyFill="1" applyBorder="1" applyAlignment="1">
      <alignment horizontal="center" vertical="center"/>
    </xf>
    <xf numFmtId="164" fontId="3" fillId="7" borderId="1" xfId="4" applyNumberFormat="1" applyFont="1" applyFill="1" applyBorder="1" applyAlignment="1">
      <alignment horizontal="center" vertical="center"/>
    </xf>
    <xf numFmtId="164" fontId="3" fillId="8" borderId="13" xfId="4" applyNumberFormat="1" applyFont="1" applyFill="1" applyBorder="1" applyAlignment="1">
      <alignment horizontal="center" vertical="center"/>
    </xf>
    <xf numFmtId="0" fontId="3" fillId="6" borderId="6" xfId="0" applyFont="1" applyFill="1" applyBorder="1" applyAlignment="1">
      <alignment horizontal="center" vertical="center"/>
    </xf>
    <xf numFmtId="49" fontId="3" fillId="6" borderId="8" xfId="0" applyNumberFormat="1" applyFont="1" applyFill="1" applyBorder="1" applyAlignment="1">
      <alignment horizontal="center" vertical="center"/>
    </xf>
    <xf numFmtId="170" fontId="11" fillId="6" borderId="8" xfId="0" applyNumberFormat="1" applyFont="1" applyFill="1" applyBorder="1" applyAlignment="1">
      <alignment horizontal="center" vertical="center"/>
    </xf>
    <xf numFmtId="170" fontId="11" fillId="7" borderId="8" xfId="0" applyNumberFormat="1" applyFont="1" applyFill="1" applyBorder="1" applyAlignment="1">
      <alignment horizontal="center" vertical="center"/>
    </xf>
    <xf numFmtId="170" fontId="11" fillId="7" borderId="15" xfId="0" applyNumberFormat="1" applyFont="1" applyFill="1" applyBorder="1" applyAlignment="1">
      <alignment horizontal="center" vertical="center"/>
    </xf>
    <xf numFmtId="0" fontId="3" fillId="0" borderId="8" xfId="0" quotePrefix="1" applyFont="1" applyBorder="1" applyAlignment="1">
      <alignment horizontal="center" vertical="center"/>
    </xf>
    <xf numFmtId="164" fontId="3" fillId="8" borderId="1" xfId="4" applyNumberFormat="1" applyFont="1" applyFill="1" applyBorder="1" applyAlignment="1">
      <alignment horizontal="center" vertical="center"/>
    </xf>
    <xf numFmtId="164" fontId="3" fillId="0" borderId="13" xfId="4" applyNumberFormat="1" applyFont="1" applyBorder="1" applyAlignment="1">
      <alignment horizontal="center" vertical="center"/>
    </xf>
    <xf numFmtId="164" fontId="3" fillId="0" borderId="15" xfId="4" applyNumberFormat="1" applyFont="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left" vertical="center"/>
    </xf>
    <xf numFmtId="170" fontId="11" fillId="6" borderId="19" xfId="0" applyNumberFormat="1" applyFont="1" applyFill="1" applyBorder="1" applyAlignment="1">
      <alignment horizontal="center" vertical="center"/>
    </xf>
    <xf numFmtId="0" fontId="13" fillId="0" borderId="0" xfId="0" applyFont="1" applyAlignment="1">
      <alignment horizontal="center" vertical="center"/>
    </xf>
    <xf numFmtId="0" fontId="3" fillId="8" borderId="0" xfId="0" applyFont="1" applyFill="1" applyAlignment="1">
      <alignment horizontal="center" vertical="center"/>
    </xf>
    <xf numFmtId="0" fontId="3" fillId="0" borderId="0" xfId="0" applyFont="1" applyAlignment="1">
      <alignment horizontal="left" vertical="center"/>
    </xf>
    <xf numFmtId="171" fontId="3" fillId="0" borderId="0" xfId="0" applyNumberFormat="1" applyFont="1" applyAlignment="1">
      <alignment horizontal="center" vertical="center"/>
    </xf>
    <xf numFmtId="171" fontId="11" fillId="8" borderId="0" xfId="0" applyNumberFormat="1" applyFont="1" applyFill="1" applyAlignment="1">
      <alignment horizontal="center" vertical="center"/>
    </xf>
    <xf numFmtId="171" fontId="11" fillId="0" borderId="0" xfId="0" applyNumberFormat="1" applyFont="1" applyAlignment="1">
      <alignment horizontal="center" vertical="center"/>
    </xf>
    <xf numFmtId="0" fontId="11" fillId="7" borderId="27" xfId="0" applyFont="1" applyFill="1" applyBorder="1" applyAlignment="1">
      <alignment horizontal="center" vertical="center" wrapText="1"/>
    </xf>
    <xf numFmtId="0" fontId="3" fillId="9" borderId="0" xfId="0" applyFont="1" applyFill="1" applyAlignment="1">
      <alignment horizontal="center" vertical="center"/>
    </xf>
    <xf numFmtId="171" fontId="3" fillId="9" borderId="0" xfId="0" applyNumberFormat="1" applyFont="1" applyFill="1" applyAlignment="1">
      <alignment horizontal="center" vertical="center"/>
    </xf>
    <xf numFmtId="165" fontId="22" fillId="0" borderId="0" xfId="4" applyFont="1" applyAlignment="1">
      <alignment horizontal="center" vertical="center"/>
    </xf>
    <xf numFmtId="165" fontId="4" fillId="0" borderId="0" xfId="4" applyFont="1" applyAlignment="1">
      <alignment horizontal="center" vertical="center"/>
    </xf>
    <xf numFmtId="164" fontId="3" fillId="0" borderId="0" xfId="0" applyNumberFormat="1" applyFont="1" applyAlignment="1">
      <alignment horizontal="center" vertical="center"/>
    </xf>
    <xf numFmtId="170" fontId="27" fillId="7" borderId="8" xfId="0" applyNumberFormat="1" applyFont="1" applyFill="1" applyBorder="1" applyAlignment="1">
      <alignment horizontal="center" vertical="center"/>
    </xf>
    <xf numFmtId="0" fontId="28" fillId="7" borderId="26" xfId="0" applyFont="1" applyFill="1" applyBorder="1" applyAlignment="1">
      <alignment horizontal="center" vertical="center" wrapText="1"/>
    </xf>
    <xf numFmtId="164" fontId="27" fillId="7" borderId="13" xfId="4" applyNumberFormat="1" applyFont="1" applyFill="1" applyBorder="1" applyAlignment="1">
      <alignment horizontal="center" vertical="center"/>
    </xf>
    <xf numFmtId="165" fontId="3" fillId="0" borderId="0" xfId="4" applyFont="1"/>
    <xf numFmtId="164" fontId="3" fillId="0" borderId="0" xfId="0" applyNumberFormat="1" applyFont="1"/>
    <xf numFmtId="0" fontId="29" fillId="0" borderId="30" xfId="0" applyFont="1" applyBorder="1" applyAlignment="1">
      <alignment vertical="center"/>
    </xf>
    <xf numFmtId="0" fontId="30" fillId="0" borderId="30" xfId="0" applyFont="1" applyBorder="1" applyAlignment="1">
      <alignment vertical="center"/>
    </xf>
    <xf numFmtId="165" fontId="3" fillId="10" borderId="0" xfId="4" applyFont="1" applyFill="1"/>
    <xf numFmtId="165" fontId="3" fillId="0" borderId="0" xfId="4" applyFont="1" applyFill="1"/>
    <xf numFmtId="165" fontId="27" fillId="0" borderId="0" xfId="4" applyFont="1"/>
    <xf numFmtId="0" fontId="7" fillId="11" borderId="2" xfId="0" applyFont="1" applyFill="1" applyBorder="1" applyAlignment="1">
      <alignment horizontal="center" vertical="center" wrapText="1"/>
    </xf>
    <xf numFmtId="0" fontId="7" fillId="11" borderId="4" xfId="0" applyFont="1" applyFill="1" applyBorder="1" applyAlignment="1">
      <alignment horizontal="left"/>
    </xf>
    <xf numFmtId="168" fontId="10" fillId="0" borderId="0" xfId="0" applyNumberFormat="1" applyFont="1" applyAlignment="1">
      <alignment horizontal="center"/>
    </xf>
    <xf numFmtId="173" fontId="9" fillId="2" borderId="0" xfId="0" applyNumberFormat="1" applyFont="1" applyFill="1"/>
    <xf numFmtId="173" fontId="11" fillId="2" borderId="0" xfId="0" applyNumberFormat="1" applyFont="1" applyFill="1"/>
    <xf numFmtId="0" fontId="11" fillId="12" borderId="31" xfId="0" applyFont="1" applyFill="1" applyBorder="1" applyAlignment="1">
      <alignment horizontal="center" vertical="center" textRotation="90" wrapText="1"/>
    </xf>
    <xf numFmtId="0" fontId="11" fillId="12" borderId="23" xfId="0" applyFont="1" applyFill="1" applyBorder="1" applyAlignment="1">
      <alignment horizontal="center" vertical="center" textRotation="90" wrapText="1"/>
    </xf>
    <xf numFmtId="44" fontId="3" fillId="0" borderId="0" xfId="0" applyNumberFormat="1" applyFont="1" applyAlignment="1">
      <alignment vertical="center"/>
    </xf>
    <xf numFmtId="44" fontId="3" fillId="2" borderId="0" xfId="0" applyNumberFormat="1" applyFont="1" applyFill="1" applyAlignment="1">
      <alignment vertical="center"/>
    </xf>
    <xf numFmtId="44" fontId="9" fillId="0" borderId="0" xfId="0" applyNumberFormat="1" applyFont="1" applyAlignment="1">
      <alignment vertical="center"/>
    </xf>
    <xf numFmtId="165" fontId="11" fillId="13" borderId="9" xfId="4" applyFont="1" applyFill="1" applyBorder="1" applyAlignment="1">
      <alignment horizontal="left" vertical="center"/>
    </xf>
    <xf numFmtId="0" fontId="11" fillId="13" borderId="3" xfId="0" applyFont="1" applyFill="1" applyBorder="1" applyAlignment="1">
      <alignment horizontal="left" vertical="center"/>
    </xf>
    <xf numFmtId="0" fontId="11" fillId="13" borderId="3" xfId="0" applyFont="1" applyFill="1" applyBorder="1" applyAlignment="1">
      <alignment horizontal="left" vertical="center" wrapText="1"/>
    </xf>
    <xf numFmtId="0" fontId="3" fillId="0" borderId="2" xfId="0" applyFont="1" applyBorder="1" applyAlignment="1">
      <alignment horizontal="left" vertical="center"/>
    </xf>
    <xf numFmtId="0" fontId="3" fillId="0" borderId="2" xfId="0" applyFont="1" applyBorder="1" applyAlignment="1">
      <alignment horizontal="left" vertical="center" wrapText="1"/>
    </xf>
    <xf numFmtId="165" fontId="3" fillId="0" borderId="9" xfId="4" applyFont="1" applyFill="1" applyBorder="1" applyAlignment="1">
      <alignment horizontal="left" vertical="center"/>
    </xf>
    <xf numFmtId="165" fontId="3" fillId="0" borderId="0" xfId="4" applyFont="1" applyAlignment="1">
      <alignment vertical="center"/>
    </xf>
    <xf numFmtId="0" fontId="3" fillId="14" borderId="0" xfId="0" applyFont="1" applyFill="1" applyAlignment="1">
      <alignment vertical="center"/>
    </xf>
    <xf numFmtId="49" fontId="7" fillId="2" borderId="28" xfId="0" applyNumberFormat="1" applyFont="1" applyFill="1" applyBorder="1" applyAlignment="1">
      <alignment horizontal="center"/>
    </xf>
    <xf numFmtId="0" fontId="7" fillId="0" borderId="3" xfId="0" applyFont="1" applyBorder="1" applyAlignment="1">
      <alignment horizontal="center" vertical="center" wrapText="1"/>
    </xf>
    <xf numFmtId="44" fontId="3" fillId="0" borderId="0" xfId="0" applyNumberFormat="1" applyFont="1"/>
    <xf numFmtId="165" fontId="3" fillId="0" borderId="0" xfId="0" applyNumberFormat="1" applyFont="1" applyAlignment="1">
      <alignment vertical="center"/>
    </xf>
    <xf numFmtId="165" fontId="11" fillId="0" borderId="0" xfId="0" applyNumberFormat="1" applyFont="1" applyAlignment="1">
      <alignment vertical="center"/>
    </xf>
    <xf numFmtId="44" fontId="11" fillId="0" borderId="0" xfId="0" applyNumberFormat="1" applyFont="1" applyAlignment="1">
      <alignment vertical="center"/>
    </xf>
    <xf numFmtId="174" fontId="11" fillId="0" borderId="0" xfId="0" applyNumberFormat="1" applyFont="1" applyAlignment="1">
      <alignment vertical="center"/>
    </xf>
    <xf numFmtId="165" fontId="10" fillId="0" borderId="0" xfId="4" applyFont="1" applyAlignment="1">
      <alignment horizontal="center"/>
    </xf>
    <xf numFmtId="44" fontId="3" fillId="8" borderId="0" xfId="0" applyNumberFormat="1" applyFont="1" applyFill="1"/>
    <xf numFmtId="166" fontId="7" fillId="0" borderId="2" xfId="4" applyNumberFormat="1" applyFont="1" applyFill="1" applyBorder="1" applyAlignment="1">
      <alignment horizontal="right"/>
    </xf>
    <xf numFmtId="166" fontId="7" fillId="0" borderId="3" xfId="4" applyNumberFormat="1" applyFont="1" applyFill="1" applyBorder="1" applyAlignment="1">
      <alignment horizontal="right"/>
    </xf>
    <xf numFmtId="0" fontId="0" fillId="0" borderId="0" xfId="0"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wrapText="1"/>
    </xf>
    <xf numFmtId="165" fontId="22" fillId="0" borderId="1" xfId="4" applyFont="1" applyBorder="1" applyAlignment="1">
      <alignment vertical="center"/>
    </xf>
    <xf numFmtId="165" fontId="23" fillId="0" borderId="33" xfId="4" applyFont="1" applyBorder="1" applyAlignment="1">
      <alignment horizontal="center" vertical="center"/>
    </xf>
    <xf numFmtId="2" fontId="0" fillId="0" borderId="0" xfId="0" applyNumberFormat="1"/>
    <xf numFmtId="172" fontId="0" fillId="0" borderId="0" xfId="0" applyNumberFormat="1"/>
    <xf numFmtId="0" fontId="31" fillId="0" borderId="2" xfId="0" applyFont="1" applyBorder="1" applyAlignment="1">
      <alignment horizontal="center" vertical="center" wrapText="1"/>
    </xf>
    <xf numFmtId="0" fontId="12" fillId="2" borderId="0" xfId="0" applyFont="1" applyFill="1" applyAlignment="1">
      <alignment vertical="center"/>
    </xf>
    <xf numFmtId="0" fontId="3" fillId="7" borderId="3" xfId="0" applyFont="1" applyFill="1" applyBorder="1" applyAlignment="1">
      <alignment horizontal="left" vertical="center" wrapText="1"/>
    </xf>
    <xf numFmtId="0" fontId="3" fillId="7" borderId="3" xfId="0" applyFont="1" applyFill="1" applyBorder="1" applyAlignment="1">
      <alignment horizontal="left" vertical="center"/>
    </xf>
    <xf numFmtId="166" fontId="31" fillId="0" borderId="9" xfId="4" applyNumberFormat="1" applyFont="1" applyFill="1" applyBorder="1" applyAlignment="1">
      <alignment horizontal="right"/>
    </xf>
    <xf numFmtId="49" fontId="7" fillId="7" borderId="9" xfId="0" applyNumberFormat="1" applyFont="1" applyFill="1" applyBorder="1" applyAlignment="1">
      <alignment horizontal="center"/>
    </xf>
    <xf numFmtId="0" fontId="7" fillId="7" borderId="10" xfId="0" applyFont="1" applyFill="1" applyBorder="1" applyAlignment="1">
      <alignment horizontal="left"/>
    </xf>
    <xf numFmtId="49" fontId="7" fillId="2" borderId="28" xfId="0" applyNumberFormat="1" applyFont="1" applyFill="1" applyBorder="1" applyAlignment="1">
      <alignment horizontal="center" vertical="center"/>
    </xf>
    <xf numFmtId="166" fontId="7" fillId="0" borderId="3" xfId="4" applyNumberFormat="1" applyFont="1" applyFill="1" applyBorder="1" applyAlignment="1">
      <alignment horizontal="right" vertical="center"/>
    </xf>
    <xf numFmtId="49" fontId="7" fillId="2" borderId="24" xfId="0" applyNumberFormat="1" applyFont="1" applyFill="1" applyBorder="1" applyAlignment="1">
      <alignment horizontal="center"/>
    </xf>
    <xf numFmtId="0" fontId="23" fillId="15" borderId="23" xfId="0" applyFont="1" applyFill="1" applyBorder="1" applyAlignment="1">
      <alignment horizontal="center" vertical="center" wrapText="1"/>
    </xf>
    <xf numFmtId="0" fontId="11" fillId="15" borderId="23" xfId="0" applyFont="1" applyFill="1" applyBorder="1" applyAlignment="1">
      <alignment horizontal="center" vertical="center" textRotation="90" wrapText="1"/>
    </xf>
    <xf numFmtId="0" fontId="11" fillId="12" borderId="23" xfId="0" applyFont="1" applyFill="1" applyBorder="1" applyAlignment="1">
      <alignment horizontal="center" vertical="center" wrapText="1"/>
    </xf>
    <xf numFmtId="165" fontId="11" fillId="16" borderId="9" xfId="4" applyFont="1" applyFill="1" applyBorder="1" applyAlignment="1">
      <alignment horizontal="center" vertical="center"/>
    </xf>
    <xf numFmtId="0" fontId="11" fillId="18" borderId="9" xfId="0" applyFont="1" applyFill="1" applyBorder="1" applyAlignment="1">
      <alignment horizontal="left" vertical="center" wrapText="1"/>
    </xf>
    <xf numFmtId="0" fontId="11" fillId="18" borderId="9" xfId="0" applyFont="1" applyFill="1" applyBorder="1" applyAlignment="1">
      <alignment horizontal="justify" vertical="center" wrapText="1"/>
    </xf>
    <xf numFmtId="165" fontId="11" fillId="18" borderId="9" xfId="4" applyFont="1" applyFill="1" applyBorder="1" applyAlignment="1">
      <alignment horizontal="center" vertical="center"/>
    </xf>
    <xf numFmtId="0" fontId="11" fillId="18" borderId="2" xfId="0" applyFont="1" applyFill="1" applyBorder="1" applyAlignment="1">
      <alignment horizontal="left" vertical="center"/>
    </xf>
    <xf numFmtId="0" fontId="11" fillId="18" borderId="2" xfId="0" applyFont="1" applyFill="1" applyBorder="1" applyAlignment="1">
      <alignment horizontal="left" vertical="center" wrapText="1"/>
    </xf>
    <xf numFmtId="165" fontId="11" fillId="18" borderId="9" xfId="4" applyFont="1" applyFill="1" applyBorder="1" applyAlignment="1">
      <alignment horizontal="left" vertical="center"/>
    </xf>
    <xf numFmtId="165" fontId="3" fillId="18" borderId="9" xfId="4" applyFont="1" applyFill="1" applyBorder="1" applyAlignment="1">
      <alignment horizontal="left" vertical="center"/>
    </xf>
    <xf numFmtId="165" fontId="3" fillId="18" borderId="9" xfId="4" applyFont="1" applyFill="1" applyBorder="1" applyAlignment="1">
      <alignment horizontal="center" vertical="center"/>
    </xf>
    <xf numFmtId="0" fontId="11" fillId="18" borderId="9" xfId="0" applyFont="1" applyFill="1" applyBorder="1" applyAlignment="1">
      <alignment horizontal="left" vertical="center"/>
    </xf>
    <xf numFmtId="0" fontId="11" fillId="18" borderId="3" xfId="0" applyFont="1" applyFill="1" applyBorder="1" applyAlignment="1">
      <alignment horizontal="left" vertical="center"/>
    </xf>
    <xf numFmtId="0" fontId="11" fillId="18" borderId="3" xfId="0" applyFont="1" applyFill="1" applyBorder="1" applyAlignment="1">
      <alignment horizontal="left" vertical="center" wrapText="1"/>
    </xf>
    <xf numFmtId="0" fontId="11" fillId="17" borderId="17" xfId="0" applyFont="1" applyFill="1" applyBorder="1" applyAlignment="1">
      <alignment horizontal="left" vertical="center" wrapText="1"/>
    </xf>
    <xf numFmtId="0" fontId="11" fillId="17" borderId="17" xfId="0" applyFont="1" applyFill="1" applyBorder="1" applyAlignment="1">
      <alignment horizontal="justify" vertical="center" wrapText="1"/>
    </xf>
    <xf numFmtId="0" fontId="11" fillId="16" borderId="17" xfId="0" applyFont="1" applyFill="1" applyBorder="1" applyAlignment="1">
      <alignment horizontal="left" vertical="center" wrapText="1"/>
    </xf>
    <xf numFmtId="0" fontId="11" fillId="16" borderId="17" xfId="0" applyFont="1" applyFill="1" applyBorder="1" applyAlignment="1">
      <alignment horizontal="justify" vertical="center" wrapText="1"/>
    </xf>
    <xf numFmtId="0" fontId="11" fillId="16" borderId="2" xfId="0" applyFont="1" applyFill="1" applyBorder="1" applyAlignment="1">
      <alignment horizontal="left" vertical="center"/>
    </xf>
    <xf numFmtId="0" fontId="11" fillId="16" borderId="2" xfId="0" applyFont="1" applyFill="1" applyBorder="1" applyAlignment="1">
      <alignment horizontal="left" vertical="center" wrapText="1"/>
    </xf>
    <xf numFmtId="165" fontId="11" fillId="16" borderId="9" xfId="4" applyFont="1" applyFill="1" applyBorder="1" applyAlignment="1">
      <alignment horizontal="left" vertical="center"/>
    </xf>
    <xf numFmtId="0" fontId="11" fillId="16" borderId="3" xfId="0" applyFont="1" applyFill="1" applyBorder="1" applyAlignment="1">
      <alignment horizontal="left" vertical="center"/>
    </xf>
    <xf numFmtId="0" fontId="11" fillId="16" borderId="3" xfId="0" applyFont="1" applyFill="1" applyBorder="1" applyAlignment="1">
      <alignment horizontal="left" vertical="center" wrapText="1"/>
    </xf>
    <xf numFmtId="0" fontId="29" fillId="16" borderId="2" xfId="0" applyFont="1" applyFill="1" applyBorder="1" applyAlignment="1">
      <alignment vertical="center"/>
    </xf>
    <xf numFmtId="0" fontId="11" fillId="11" borderId="18" xfId="1" applyFont="1" applyFill="1" applyBorder="1" applyAlignment="1">
      <alignment horizontal="center" vertical="center" textRotation="90" wrapText="1"/>
    </xf>
    <xf numFmtId="0" fontId="11" fillId="11" borderId="19" xfId="1" applyFont="1" applyFill="1" applyBorder="1" applyAlignment="1">
      <alignment horizontal="center" vertical="center" textRotation="90" wrapText="1"/>
    </xf>
    <xf numFmtId="0" fontId="11" fillId="11" borderId="43" xfId="1" applyFont="1" applyFill="1" applyBorder="1" applyAlignment="1">
      <alignment horizontal="center" vertical="center" textRotation="90" wrapText="1"/>
    </xf>
    <xf numFmtId="0" fontId="11" fillId="11" borderId="20" xfId="1" applyFont="1" applyFill="1" applyBorder="1" applyAlignment="1">
      <alignment horizontal="center" vertical="center" textRotation="90" wrapText="1"/>
    </xf>
    <xf numFmtId="0" fontId="7" fillId="0" borderId="10" xfId="0" applyFont="1" applyBorder="1" applyAlignment="1">
      <alignment horizontal="left" vertical="center"/>
    </xf>
    <xf numFmtId="0" fontId="14" fillId="11" borderId="18" xfId="1" applyFont="1" applyFill="1" applyBorder="1" applyAlignment="1">
      <alignment horizontal="center" vertical="center" textRotation="90" wrapText="1"/>
    </xf>
    <xf numFmtId="0" fontId="14" fillId="11" borderId="19" xfId="1" applyFont="1" applyFill="1" applyBorder="1" applyAlignment="1">
      <alignment horizontal="center" vertical="center" textRotation="90" wrapText="1"/>
    </xf>
    <xf numFmtId="0" fontId="14" fillId="11" borderId="21" xfId="1" applyFont="1" applyFill="1" applyBorder="1" applyAlignment="1">
      <alignment horizontal="center" vertical="center" textRotation="90" wrapText="1"/>
    </xf>
    <xf numFmtId="0" fontId="14" fillId="11" borderId="20" xfId="1" applyFont="1" applyFill="1" applyBorder="1" applyAlignment="1">
      <alignment horizontal="center" vertical="center" textRotation="90" wrapText="1"/>
    </xf>
    <xf numFmtId="166" fontId="17" fillId="16" borderId="23" xfId="1" applyNumberFormat="1" applyFont="1" applyFill="1" applyBorder="1" applyAlignment="1">
      <alignment horizontal="center"/>
    </xf>
    <xf numFmtId="0" fontId="18" fillId="16" borderId="22" xfId="1" applyFont="1" applyFill="1" applyBorder="1" applyAlignment="1">
      <alignment horizontal="center" vertical="center"/>
    </xf>
    <xf numFmtId="166" fontId="18" fillId="16" borderId="23" xfId="1" applyNumberFormat="1" applyFont="1" applyFill="1" applyBorder="1" applyAlignment="1">
      <alignment horizontal="center" vertical="center"/>
    </xf>
    <xf numFmtId="0" fontId="18" fillId="16" borderId="22" xfId="1" applyFont="1" applyFill="1" applyBorder="1" applyAlignment="1">
      <alignment horizontal="center"/>
    </xf>
    <xf numFmtId="166" fontId="18" fillId="16" borderId="23" xfId="1" applyNumberFormat="1" applyFont="1" applyFill="1" applyBorder="1" applyAlignment="1">
      <alignment horizontal="center"/>
    </xf>
    <xf numFmtId="0" fontId="11" fillId="11" borderId="31" xfId="0" applyFont="1" applyFill="1" applyBorder="1" applyAlignment="1">
      <alignment horizontal="center" vertical="center" wrapText="1"/>
    </xf>
    <xf numFmtId="44" fontId="20" fillId="16" borderId="23" xfId="4" applyNumberFormat="1" applyFont="1" applyFill="1" applyBorder="1" applyAlignment="1">
      <alignment horizontal="center" vertical="center"/>
    </xf>
    <xf numFmtId="0" fontId="3" fillId="0" borderId="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left" vertical="center"/>
    </xf>
    <xf numFmtId="165" fontId="3" fillId="0" borderId="8" xfId="4" applyFont="1" applyFill="1" applyBorder="1" applyAlignment="1">
      <alignment horizontal="center" vertical="center"/>
    </xf>
    <xf numFmtId="165" fontId="3" fillId="0" borderId="15" xfId="4" applyFont="1" applyFill="1" applyBorder="1" applyAlignment="1">
      <alignment horizontal="center" vertical="center"/>
    </xf>
    <xf numFmtId="165" fontId="3" fillId="0" borderId="40" xfId="4" applyFont="1" applyFill="1" applyBorder="1" applyAlignment="1">
      <alignment horizontal="center" vertical="center"/>
    </xf>
    <xf numFmtId="165" fontId="3" fillId="0" borderId="13" xfId="4" applyFont="1" applyFill="1" applyBorder="1" applyAlignment="1">
      <alignment horizontal="center" vertical="center"/>
    </xf>
    <xf numFmtId="165" fontId="3" fillId="0" borderId="24" xfId="4" applyFont="1" applyFill="1" applyBorder="1" applyAlignment="1">
      <alignment horizontal="center" vertical="center"/>
    </xf>
    <xf numFmtId="0" fontId="3" fillId="0" borderId="48" xfId="0" applyFont="1" applyBorder="1" applyAlignment="1">
      <alignment vertical="center"/>
    </xf>
    <xf numFmtId="172" fontId="0" fillId="0" borderId="46" xfId="0" applyNumberFormat="1" applyBorder="1" applyAlignment="1">
      <alignment horizontal="center" vertical="center"/>
    </xf>
    <xf numFmtId="9" fontId="3" fillId="0" borderId="46" xfId="7" applyFont="1" applyFill="1" applyBorder="1" applyAlignment="1">
      <alignment horizontal="center" vertical="center"/>
    </xf>
    <xf numFmtId="172" fontId="0" fillId="0" borderId="47" xfId="0" applyNumberFormat="1" applyBorder="1" applyAlignment="1">
      <alignment vertical="center"/>
    </xf>
    <xf numFmtId="0" fontId="3" fillId="0" borderId="6" xfId="0" applyFont="1" applyBorder="1" applyAlignment="1">
      <alignment vertical="center"/>
    </xf>
    <xf numFmtId="9" fontId="3" fillId="0" borderId="1" xfId="7" applyFont="1" applyFill="1" applyBorder="1" applyAlignment="1">
      <alignment horizontal="center" vertical="center"/>
    </xf>
    <xf numFmtId="9" fontId="0" fillId="0" borderId="1" xfId="7" applyFont="1" applyFill="1" applyBorder="1" applyAlignment="1">
      <alignment horizontal="center" vertical="center"/>
    </xf>
    <xf numFmtId="0" fontId="11" fillId="0" borderId="39" xfId="0" applyFont="1" applyBorder="1" applyAlignment="1">
      <alignment horizontal="center" vertical="center" wrapText="1"/>
    </xf>
    <xf numFmtId="172" fontId="11" fillId="0" borderId="33" xfId="0" applyNumberFormat="1" applyFont="1" applyBorder="1" applyAlignment="1">
      <alignment vertical="center"/>
    </xf>
    <xf numFmtId="0" fontId="0" fillId="0" borderId="33" xfId="0" applyBorder="1" applyAlignment="1">
      <alignment horizontal="center" vertical="center"/>
    </xf>
    <xf numFmtId="164" fontId="9" fillId="16" borderId="22" xfId="1" applyNumberFormat="1" applyFont="1" applyFill="1" applyBorder="1" applyAlignment="1">
      <alignment horizontal="center" vertical="center"/>
    </xf>
    <xf numFmtId="0" fontId="11" fillId="20" borderId="23" xfId="0" applyFont="1" applyFill="1" applyBorder="1" applyAlignment="1">
      <alignment vertical="center" wrapText="1"/>
    </xf>
    <xf numFmtId="0" fontId="11" fillId="20" borderId="23" xfId="0" applyFont="1" applyFill="1" applyBorder="1" applyAlignment="1">
      <alignment horizontal="center" vertical="center" wrapText="1"/>
    </xf>
    <xf numFmtId="0" fontId="11" fillId="17" borderId="9" xfId="0" applyFont="1" applyFill="1" applyBorder="1" applyAlignment="1">
      <alignment horizontal="left" vertical="center"/>
    </xf>
    <xf numFmtId="0" fontId="11" fillId="17" borderId="9" xfId="0" applyFont="1" applyFill="1" applyBorder="1" applyAlignment="1">
      <alignment horizontal="left" vertical="center" wrapText="1"/>
    </xf>
    <xf numFmtId="0" fontId="11" fillId="17" borderId="2" xfId="0" applyFont="1" applyFill="1" applyBorder="1" applyAlignment="1">
      <alignment horizontal="left" vertical="center"/>
    </xf>
    <xf numFmtId="0" fontId="11" fillId="17" borderId="2" xfId="0" applyFont="1" applyFill="1" applyBorder="1" applyAlignment="1">
      <alignment horizontal="left" vertical="center" wrapText="1"/>
    </xf>
    <xf numFmtId="0" fontId="11" fillId="17" borderId="3" xfId="0" applyFont="1" applyFill="1" applyBorder="1" applyAlignment="1">
      <alignment horizontal="left" vertical="center"/>
    </xf>
    <xf numFmtId="0" fontId="11" fillId="17" borderId="3" xfId="0" applyFont="1" applyFill="1" applyBorder="1" applyAlignment="1">
      <alignment horizontal="left" vertical="center" wrapText="1"/>
    </xf>
    <xf numFmtId="165" fontId="7" fillId="2" borderId="2" xfId="4" applyFont="1" applyFill="1" applyBorder="1" applyAlignment="1">
      <alignment horizontal="right" vertical="center"/>
    </xf>
    <xf numFmtId="165" fontId="7" fillId="7" borderId="2" xfId="4" applyFont="1" applyFill="1" applyBorder="1" applyAlignment="1">
      <alignment horizontal="right" vertical="center"/>
    </xf>
    <xf numFmtId="165" fontId="7" fillId="2" borderId="3" xfId="4" applyFont="1" applyFill="1" applyBorder="1" applyAlignment="1">
      <alignment horizontal="right" vertical="center"/>
    </xf>
    <xf numFmtId="165" fontId="17" fillId="16" borderId="23" xfId="4" applyFont="1" applyFill="1" applyBorder="1" applyAlignment="1">
      <alignment horizontal="right"/>
    </xf>
    <xf numFmtId="165" fontId="3" fillId="2" borderId="0" xfId="4" applyFont="1" applyFill="1" applyBorder="1" applyAlignment="1">
      <alignment horizontal="right" vertical="center"/>
    </xf>
    <xf numFmtId="165" fontId="11" fillId="2" borderId="0" xfId="4" applyFont="1" applyFill="1" applyAlignment="1">
      <alignment vertical="center"/>
    </xf>
    <xf numFmtId="165" fontId="11" fillId="7" borderId="9" xfId="4" applyFont="1" applyFill="1" applyBorder="1" applyAlignment="1">
      <alignment horizontal="left" vertical="center"/>
    </xf>
    <xf numFmtId="165" fontId="22" fillId="0" borderId="11" xfId="4" applyFont="1" applyBorder="1" applyAlignment="1">
      <alignment vertical="center"/>
    </xf>
    <xf numFmtId="0" fontId="11" fillId="0" borderId="23" xfId="0" applyFont="1" applyBorder="1"/>
    <xf numFmtId="0" fontId="7" fillId="2" borderId="4" xfId="0" applyFont="1" applyFill="1" applyBorder="1" applyAlignment="1">
      <alignment horizontal="left" wrapText="1"/>
    </xf>
    <xf numFmtId="0" fontId="18" fillId="8" borderId="22" xfId="1" applyFont="1" applyFill="1" applyBorder="1" applyAlignment="1">
      <alignment horizontal="center" vertical="center"/>
    </xf>
    <xf numFmtId="0" fontId="11" fillId="15" borderId="45" xfId="0" applyFont="1" applyFill="1" applyBorder="1" applyAlignment="1">
      <alignment horizontal="center" vertical="center" textRotation="90" wrapText="1"/>
    </xf>
    <xf numFmtId="0" fontId="11" fillId="15" borderId="29" xfId="0" applyFont="1" applyFill="1" applyBorder="1" applyAlignment="1">
      <alignment horizontal="center" vertical="center"/>
    </xf>
    <xf numFmtId="165" fontId="3" fillId="2" borderId="0" xfId="0" applyNumberFormat="1" applyFont="1" applyFill="1" applyAlignment="1">
      <alignment vertical="center"/>
    </xf>
    <xf numFmtId="165" fontId="27" fillId="2" borderId="9" xfId="4" applyFont="1" applyFill="1" applyBorder="1" applyAlignment="1">
      <alignment horizontal="left" vertical="center"/>
    </xf>
    <xf numFmtId="0" fontId="11" fillId="15" borderId="30" xfId="0" applyFont="1" applyFill="1" applyBorder="1" applyAlignment="1">
      <alignment horizontal="center" vertical="center"/>
    </xf>
    <xf numFmtId="165" fontId="23" fillId="21" borderId="23" xfId="4" applyFont="1" applyFill="1" applyBorder="1" applyAlignment="1">
      <alignment vertical="center" wrapText="1"/>
    </xf>
    <xf numFmtId="0" fontId="22" fillId="2" borderId="3" xfId="0" applyFont="1" applyFill="1" applyBorder="1" applyAlignment="1">
      <alignment horizontal="left" vertical="center"/>
    </xf>
    <xf numFmtId="0" fontId="7" fillId="0" borderId="56" xfId="0" applyFont="1" applyBorder="1" applyAlignment="1">
      <alignment horizontal="center" vertical="center" wrapText="1"/>
    </xf>
    <xf numFmtId="166" fontId="7" fillId="0" borderId="5" xfId="4" applyNumberFormat="1" applyFont="1" applyFill="1" applyBorder="1" applyAlignment="1">
      <alignment horizontal="right" vertical="center"/>
    </xf>
    <xf numFmtId="0" fontId="7" fillId="2" borderId="1" xfId="0" applyFont="1" applyFill="1" applyBorder="1" applyAlignment="1">
      <alignment horizontal="left" vertical="center"/>
    </xf>
    <xf numFmtId="0" fontId="18" fillId="16" borderId="45" xfId="1" applyFont="1" applyFill="1" applyBorder="1" applyAlignment="1">
      <alignment horizontal="center" vertical="center"/>
    </xf>
    <xf numFmtId="166" fontId="7" fillId="0" borderId="1" xfId="4" applyNumberFormat="1" applyFont="1" applyFill="1" applyBorder="1" applyAlignment="1">
      <alignment horizontal="right" vertical="center"/>
    </xf>
    <xf numFmtId="166" fontId="18" fillId="16" borderId="25" xfId="1" applyNumberFormat="1" applyFont="1" applyFill="1" applyBorder="1" applyAlignment="1">
      <alignment horizontal="center" vertical="center"/>
    </xf>
    <xf numFmtId="0" fontId="3" fillId="0" borderId="1" xfId="0" applyFont="1" applyBorder="1"/>
    <xf numFmtId="0" fontId="0" fillId="0" borderId="1" xfId="0" applyBorder="1"/>
    <xf numFmtId="165" fontId="0" fillId="0" borderId="1" xfId="4" applyFont="1" applyBorder="1"/>
    <xf numFmtId="0" fontId="0" fillId="0" borderId="1" xfId="0" applyBorder="1" applyAlignment="1">
      <alignment horizontal="left"/>
    </xf>
    <xf numFmtId="0" fontId="11" fillId="0" borderId="1" xfId="0" applyFont="1" applyBorder="1" applyAlignment="1">
      <alignment horizontal="center" vertical="center"/>
    </xf>
    <xf numFmtId="49" fontId="11" fillId="0" borderId="1" xfId="0" applyNumberFormat="1" applyFont="1" applyBorder="1" applyAlignment="1">
      <alignment horizontal="center" vertical="center"/>
    </xf>
    <xf numFmtId="165" fontId="11" fillId="0" borderId="1" xfId="4" applyFont="1" applyFill="1" applyBorder="1" applyAlignment="1">
      <alignment horizontal="center" vertical="center"/>
    </xf>
    <xf numFmtId="49" fontId="32" fillId="0" borderId="8" xfId="0" applyNumberFormat="1" applyFont="1" applyBorder="1" applyAlignment="1">
      <alignment horizontal="left" vertical="center"/>
    </xf>
    <xf numFmtId="166" fontId="31" fillId="23" borderId="3" xfId="4" applyNumberFormat="1" applyFont="1" applyFill="1" applyBorder="1" applyAlignment="1">
      <alignment horizontal="right"/>
    </xf>
    <xf numFmtId="165" fontId="11" fillId="0" borderId="9" xfId="4" applyFont="1" applyFill="1" applyBorder="1" applyAlignment="1">
      <alignment horizontal="left" vertical="center"/>
    </xf>
    <xf numFmtId="44" fontId="35" fillId="0" borderId="23" xfId="0" applyNumberFormat="1" applyFont="1" applyBorder="1"/>
    <xf numFmtId="44" fontId="3" fillId="0" borderId="0" xfId="0" applyNumberFormat="1" applyFont="1" applyAlignment="1">
      <alignment horizontal="center" vertical="center"/>
    </xf>
    <xf numFmtId="0" fontId="3" fillId="8" borderId="3" xfId="0" applyFont="1" applyFill="1" applyBorder="1" applyAlignment="1">
      <alignment horizontal="left" vertical="center"/>
    </xf>
    <xf numFmtId="0" fontId="11" fillId="12" borderId="23" xfId="0" applyFont="1" applyFill="1" applyBorder="1" applyAlignment="1">
      <alignment horizontal="center" vertical="center"/>
    </xf>
    <xf numFmtId="49" fontId="7" fillId="0" borderId="15" xfId="0" applyNumberFormat="1" applyFont="1" applyBorder="1" applyAlignment="1">
      <alignment horizontal="center"/>
    </xf>
    <xf numFmtId="0" fontId="7" fillId="0" borderId="6" xfId="0" applyFont="1" applyBorder="1" applyAlignment="1">
      <alignment horizontal="center"/>
    </xf>
    <xf numFmtId="49" fontId="7" fillId="0" borderId="1" xfId="0" applyNumberFormat="1" applyFont="1" applyBorder="1" applyAlignment="1">
      <alignment horizontal="center"/>
    </xf>
    <xf numFmtId="0" fontId="7" fillId="0" borderId="4" xfId="0" applyFont="1" applyBorder="1" applyAlignment="1">
      <alignment horizontal="left"/>
    </xf>
    <xf numFmtId="0" fontId="31" fillId="0" borderId="4" xfId="0" applyFont="1" applyBorder="1" applyAlignment="1">
      <alignment horizontal="left"/>
    </xf>
    <xf numFmtId="166" fontId="31" fillId="0" borderId="2" xfId="4" applyNumberFormat="1" applyFont="1" applyFill="1" applyBorder="1" applyAlignment="1">
      <alignment horizontal="right"/>
    </xf>
    <xf numFmtId="0" fontId="7" fillId="0" borderId="5" xfId="0" applyFont="1" applyBorder="1" applyAlignment="1">
      <alignment horizontal="left"/>
    </xf>
    <xf numFmtId="0" fontId="22" fillId="2" borderId="0" xfId="0" applyFont="1" applyFill="1" applyAlignment="1">
      <alignment vertical="center"/>
    </xf>
    <xf numFmtId="8" fontId="3" fillId="0" borderId="0" xfId="0" applyNumberFormat="1" applyFont="1" applyAlignment="1">
      <alignment horizontal="center" vertical="center"/>
    </xf>
    <xf numFmtId="165" fontId="11" fillId="24" borderId="9" xfId="4" applyFont="1" applyFill="1" applyBorder="1" applyAlignment="1">
      <alignment horizontal="left" vertical="center"/>
    </xf>
    <xf numFmtId="165" fontId="3" fillId="24" borderId="9" xfId="4" applyFont="1" applyFill="1" applyBorder="1" applyAlignment="1">
      <alignment horizontal="center" vertical="center"/>
    </xf>
    <xf numFmtId="0" fontId="13" fillId="2" borderId="1" xfId="0" applyFont="1" applyFill="1" applyBorder="1" applyAlignment="1">
      <alignment horizontal="left" vertical="center"/>
    </xf>
    <xf numFmtId="166" fontId="7" fillId="0" borderId="59" xfId="4" applyNumberFormat="1" applyFont="1" applyFill="1" applyBorder="1" applyAlignment="1">
      <alignment horizontal="right" vertical="center"/>
    </xf>
    <xf numFmtId="165" fontId="23" fillId="2" borderId="9" xfId="4" applyFont="1" applyFill="1" applyBorder="1" applyAlignment="1">
      <alignment horizontal="left" vertical="center"/>
    </xf>
    <xf numFmtId="165" fontId="23" fillId="17" borderId="9" xfId="4" applyFont="1" applyFill="1" applyBorder="1" applyAlignment="1">
      <alignment horizontal="center" vertical="center"/>
    </xf>
    <xf numFmtId="165" fontId="22" fillId="17" borderId="9" xfId="4" applyFont="1" applyFill="1" applyBorder="1" applyAlignment="1">
      <alignment horizontal="center" vertical="center"/>
    </xf>
    <xf numFmtId="165" fontId="23" fillId="0" borderId="9" xfId="4" applyFont="1" applyFill="1" applyBorder="1" applyAlignment="1">
      <alignment horizontal="center" vertical="center"/>
    </xf>
    <xf numFmtId="165" fontId="22" fillId="2" borderId="9" xfId="4" applyFont="1" applyFill="1" applyBorder="1" applyAlignment="1">
      <alignment horizontal="center" vertical="center"/>
    </xf>
    <xf numFmtId="165" fontId="23" fillId="2" borderId="9" xfId="4" applyFont="1" applyFill="1" applyBorder="1" applyAlignment="1">
      <alignment horizontal="center" vertical="center"/>
    </xf>
    <xf numFmtId="165" fontId="22" fillId="0" borderId="9" xfId="4" applyFont="1" applyFill="1" applyBorder="1" applyAlignment="1">
      <alignment horizontal="left" vertical="center"/>
    </xf>
    <xf numFmtId="165" fontId="22" fillId="2" borderId="9" xfId="4" applyFont="1" applyFill="1" applyBorder="1" applyAlignment="1">
      <alignment horizontal="left" vertical="center"/>
    </xf>
    <xf numFmtId="165" fontId="23" fillId="17" borderId="9" xfId="4" applyFont="1" applyFill="1" applyBorder="1" applyAlignment="1">
      <alignment horizontal="left" vertical="center"/>
    </xf>
    <xf numFmtId="165" fontId="22" fillId="17" borderId="9" xfId="4" applyFont="1" applyFill="1" applyBorder="1" applyAlignment="1">
      <alignment horizontal="left" vertical="center"/>
    </xf>
    <xf numFmtId="165" fontId="23" fillId="0" borderId="9" xfId="4" applyFont="1" applyFill="1" applyBorder="1" applyAlignment="1">
      <alignment horizontal="left" vertical="center"/>
    </xf>
    <xf numFmtId="165" fontId="22" fillId="2" borderId="2" xfId="4" applyFont="1" applyFill="1" applyBorder="1" applyAlignment="1">
      <alignment horizontal="left" vertical="center"/>
    </xf>
    <xf numFmtId="165" fontId="22" fillId="2" borderId="2" xfId="4" applyFont="1" applyFill="1" applyBorder="1" applyAlignment="1">
      <alignment horizontal="center" vertical="center"/>
    </xf>
    <xf numFmtId="0" fontId="30" fillId="0" borderId="30" xfId="0" applyFont="1" applyBorder="1" applyAlignment="1">
      <alignment vertical="center" wrapText="1"/>
    </xf>
    <xf numFmtId="0" fontId="3" fillId="2" borderId="3" xfId="0" applyFont="1" applyFill="1" applyBorder="1" applyAlignment="1">
      <alignment horizontal="left" vertical="top" wrapText="1"/>
    </xf>
    <xf numFmtId="0" fontId="11" fillId="22" borderId="23" xfId="0" applyFont="1" applyFill="1" applyBorder="1" applyAlignment="1">
      <alignment vertical="center" wrapText="1"/>
    </xf>
    <xf numFmtId="0" fontId="11" fillId="22" borderId="23" xfId="0" applyFont="1" applyFill="1" applyBorder="1" applyAlignment="1">
      <alignment horizontal="center" vertical="center" wrapText="1"/>
    </xf>
    <xf numFmtId="0" fontId="22" fillId="2" borderId="3" xfId="0" applyFont="1" applyFill="1" applyBorder="1" applyAlignment="1">
      <alignment horizontal="left" vertical="center" wrapText="1"/>
    </xf>
    <xf numFmtId="0" fontId="23" fillId="16" borderId="22" xfId="1" applyFont="1" applyFill="1" applyBorder="1" applyAlignment="1">
      <alignment horizontal="center"/>
    </xf>
    <xf numFmtId="0" fontId="11" fillId="2" borderId="23" xfId="0" applyFont="1" applyFill="1" applyBorder="1" applyAlignment="1">
      <alignment horizontal="center" wrapText="1"/>
    </xf>
    <xf numFmtId="175" fontId="12" fillId="25" borderId="23" xfId="0" applyNumberFormat="1" applyFont="1" applyFill="1" applyBorder="1"/>
    <xf numFmtId="165" fontId="7" fillId="0" borderId="9" xfId="4" applyFont="1" applyFill="1" applyBorder="1" applyAlignment="1">
      <alignment horizontal="right" vertical="center"/>
    </xf>
    <xf numFmtId="165" fontId="7" fillId="0" borderId="2" xfId="4" applyFont="1" applyFill="1" applyBorder="1" applyAlignment="1">
      <alignment horizontal="right" vertical="center"/>
    </xf>
    <xf numFmtId="0" fontId="11" fillId="0" borderId="0" xfId="0" applyFont="1"/>
    <xf numFmtId="0" fontId="2" fillId="0" borderId="0" xfId="0" applyFont="1"/>
    <xf numFmtId="0" fontId="22" fillId="0" borderId="0" xfId="0" applyFont="1"/>
    <xf numFmtId="0" fontId="11" fillId="0" borderId="0" xfId="0" applyFont="1" applyAlignment="1">
      <alignment horizontal="left"/>
    </xf>
    <xf numFmtId="0" fontId="7" fillId="2" borderId="5" xfId="0" applyFont="1" applyFill="1" applyBorder="1" applyAlignment="1">
      <alignment horizontal="left" wrapText="1"/>
    </xf>
    <xf numFmtId="44" fontId="11" fillId="0" borderId="23" xfId="0" applyNumberFormat="1" applyFont="1" applyBorder="1"/>
    <xf numFmtId="165" fontId="11" fillId="0" borderId="6" xfId="4" applyFont="1" applyBorder="1"/>
    <xf numFmtId="0" fontId="3" fillId="2" borderId="5" xfId="0" applyFont="1" applyFill="1" applyBorder="1" applyAlignment="1">
      <alignment horizontal="left" wrapText="1"/>
    </xf>
    <xf numFmtId="165" fontId="11" fillId="0" borderId="0" xfId="0" applyNumberFormat="1" applyFont="1"/>
    <xf numFmtId="165" fontId="3" fillId="0" borderId="1" xfId="4" applyFont="1" applyBorder="1"/>
    <xf numFmtId="165" fontId="35" fillId="0" borderId="1" xfId="0" applyNumberFormat="1" applyFont="1" applyBorder="1"/>
    <xf numFmtId="44" fontId="35" fillId="0" borderId="1" xfId="0" applyNumberFormat="1" applyFont="1" applyBorder="1"/>
    <xf numFmtId="0" fontId="35" fillId="0" borderId="23" xfId="0" applyFont="1" applyBorder="1"/>
    <xf numFmtId="165" fontId="3" fillId="0" borderId="0" xfId="0" applyNumberFormat="1" applyFont="1" applyAlignment="1">
      <alignment horizontal="center" vertical="center"/>
    </xf>
    <xf numFmtId="166" fontId="31" fillId="0" borderId="3" xfId="4" applyNumberFormat="1" applyFont="1" applyFill="1" applyBorder="1" applyAlignment="1">
      <alignment horizontal="right"/>
    </xf>
    <xf numFmtId="165" fontId="36" fillId="15" borderId="23" xfId="4" applyFont="1" applyFill="1" applyBorder="1" applyAlignment="1">
      <alignment vertical="center" wrapText="1"/>
    </xf>
    <xf numFmtId="165" fontId="11" fillId="0" borderId="8" xfId="4" applyFont="1" applyFill="1" applyBorder="1" applyAlignment="1">
      <alignment horizontal="center" vertical="center"/>
    </xf>
    <xf numFmtId="165" fontId="11" fillId="0" borderId="40" xfId="4" applyFont="1" applyFill="1" applyBorder="1" applyAlignment="1">
      <alignment horizontal="center" vertical="center"/>
    </xf>
    <xf numFmtId="165" fontId="11" fillId="26" borderId="8" xfId="4" applyFont="1" applyFill="1" applyBorder="1" applyAlignment="1">
      <alignment horizontal="center" vertical="center"/>
    </xf>
    <xf numFmtId="165" fontId="11" fillId="26" borderId="40" xfId="4" applyFont="1" applyFill="1" applyBorder="1" applyAlignment="1">
      <alignment horizontal="center" vertical="center"/>
    </xf>
    <xf numFmtId="165" fontId="11" fillId="26" borderId="13" xfId="4" applyFont="1" applyFill="1" applyBorder="1" applyAlignment="1">
      <alignment horizontal="center" vertical="center"/>
    </xf>
    <xf numFmtId="165" fontId="11" fillId="26" borderId="24" xfId="4" applyFont="1" applyFill="1" applyBorder="1" applyAlignment="1">
      <alignment horizontal="center" vertical="center"/>
    </xf>
    <xf numFmtId="44" fontId="20" fillId="11" borderId="23" xfId="4" applyNumberFormat="1" applyFont="1" applyFill="1" applyBorder="1" applyAlignment="1">
      <alignment horizontal="center" vertical="center"/>
    </xf>
    <xf numFmtId="49" fontId="37" fillId="0" borderId="8" xfId="0" applyNumberFormat="1" applyFont="1" applyBorder="1" applyAlignment="1">
      <alignment horizontal="center" vertical="center"/>
    </xf>
    <xf numFmtId="165" fontId="11" fillId="11" borderId="19" xfId="4" applyFont="1" applyFill="1" applyBorder="1" applyAlignment="1">
      <alignment horizontal="center" vertical="center"/>
    </xf>
    <xf numFmtId="172" fontId="0" fillId="0" borderId="8" xfId="0" applyNumberFormat="1" applyBorder="1" applyAlignment="1">
      <alignment horizontal="center" vertical="center"/>
    </xf>
    <xf numFmtId="172" fontId="0" fillId="0" borderId="41" xfId="0" applyNumberFormat="1" applyBorder="1" applyAlignment="1">
      <alignment vertical="center"/>
    </xf>
    <xf numFmtId="172" fontId="0" fillId="0" borderId="40" xfId="0" applyNumberFormat="1" applyBorder="1" applyAlignment="1">
      <alignment vertical="center"/>
    </xf>
    <xf numFmtId="0" fontId="11" fillId="0" borderId="25" xfId="0" applyFont="1" applyBorder="1" applyAlignment="1">
      <alignment horizontal="center" vertical="center"/>
    </xf>
    <xf numFmtId="0" fontId="11" fillId="0" borderId="58" xfId="0" applyFont="1" applyBorder="1" applyAlignment="1">
      <alignment horizontal="center" vertical="center"/>
    </xf>
    <xf numFmtId="0" fontId="11" fillId="0" borderId="8" xfId="0" applyFont="1" applyBorder="1" applyAlignment="1">
      <alignment horizontal="center" vertical="center" wrapText="1"/>
    </xf>
    <xf numFmtId="0" fontId="11" fillId="0" borderId="34" xfId="0" applyFont="1" applyBorder="1" applyAlignment="1">
      <alignment horizontal="center" vertical="center"/>
    </xf>
    <xf numFmtId="0" fontId="11" fillId="0" borderId="8" xfId="0" applyFont="1" applyBorder="1" applyAlignment="1">
      <alignment horizontal="center" vertical="center"/>
    </xf>
    <xf numFmtId="0" fontId="23" fillId="0" borderId="0" xfId="0" applyFont="1"/>
    <xf numFmtId="0" fontId="34" fillId="0" borderId="0" xfId="0" applyFont="1"/>
    <xf numFmtId="0" fontId="11" fillId="0" borderId="0" xfId="0" applyFont="1" applyAlignment="1">
      <alignment wrapText="1"/>
    </xf>
    <xf numFmtId="0" fontId="13" fillId="2" borderId="4" xfId="0" applyFont="1" applyFill="1" applyBorder="1" applyAlignment="1">
      <alignment horizontal="center" wrapText="1"/>
    </xf>
    <xf numFmtId="166" fontId="13" fillId="0" borderId="2" xfId="4" applyNumberFormat="1" applyFont="1" applyFill="1" applyBorder="1" applyAlignment="1">
      <alignment horizontal="right"/>
    </xf>
    <xf numFmtId="0" fontId="11" fillId="22" borderId="0" xfId="0" applyFont="1" applyFill="1" applyAlignment="1">
      <alignment vertical="center" wrapText="1"/>
    </xf>
    <xf numFmtId="165" fontId="36" fillId="15" borderId="0" xfId="4" applyFont="1" applyFill="1" applyBorder="1" applyAlignment="1">
      <alignment vertical="center" wrapText="1"/>
    </xf>
    <xf numFmtId="175" fontId="11" fillId="2" borderId="0" xfId="0" applyNumberFormat="1" applyFont="1" applyFill="1"/>
    <xf numFmtId="0" fontId="23" fillId="22" borderId="0" xfId="0" applyFont="1" applyFill="1" applyAlignment="1">
      <alignment horizontal="center" vertical="center" wrapText="1"/>
    </xf>
    <xf numFmtId="165" fontId="23" fillId="15" borderId="0" xfId="4" applyFont="1" applyFill="1" applyBorder="1" applyAlignment="1">
      <alignment vertical="center" wrapText="1"/>
    </xf>
    <xf numFmtId="0" fontId="38" fillId="18" borderId="9" xfId="0" applyFont="1" applyFill="1" applyBorder="1" applyAlignment="1">
      <alignment horizontal="center" vertical="center" wrapText="1"/>
    </xf>
    <xf numFmtId="49" fontId="42" fillId="0" borderId="0" xfId="0" applyNumberFormat="1" applyFont="1" applyAlignment="1">
      <alignment horizontal="center" vertical="center" wrapText="1"/>
    </xf>
    <xf numFmtId="49" fontId="43" fillId="0" borderId="0" xfId="0" applyNumberFormat="1" applyFont="1" applyAlignment="1">
      <alignment vertical="center" wrapText="1"/>
    </xf>
    <xf numFmtId="0" fontId="44" fillId="0" borderId="0" xfId="0" applyFont="1" applyAlignment="1">
      <alignment wrapText="1"/>
    </xf>
    <xf numFmtId="49" fontId="45" fillId="0" borderId="0" xfId="0" applyNumberFormat="1" applyFont="1" applyAlignment="1">
      <alignment vertical="center" wrapText="1"/>
    </xf>
    <xf numFmtId="49" fontId="42" fillId="0" borderId="0" xfId="0" applyNumberFormat="1" applyFont="1" applyAlignment="1">
      <alignment vertical="center" wrapText="1"/>
    </xf>
    <xf numFmtId="0" fontId="46" fillId="11" borderId="31" xfId="0" applyFont="1" applyFill="1" applyBorder="1" applyAlignment="1">
      <alignment horizontal="center" vertical="center" wrapText="1"/>
    </xf>
    <xf numFmtId="0" fontId="46" fillId="11" borderId="23" xfId="0" applyFont="1" applyFill="1" applyBorder="1" applyAlignment="1">
      <alignment horizontal="center" vertical="center" wrapText="1"/>
    </xf>
    <xf numFmtId="0" fontId="46" fillId="0" borderId="0" xfId="0" applyFont="1" applyAlignment="1">
      <alignment horizontal="center" vertical="center" wrapText="1"/>
    </xf>
    <xf numFmtId="0" fontId="44" fillId="0" borderId="7" xfId="0" applyFont="1" applyBorder="1" applyAlignment="1">
      <alignment horizontal="center" vertical="center" wrapText="1"/>
    </xf>
    <xf numFmtId="0" fontId="44" fillId="0" borderId="8" xfId="0" applyFont="1" applyBorder="1" applyAlignment="1">
      <alignment vertical="center" wrapText="1"/>
    </xf>
    <xf numFmtId="168" fontId="44" fillId="0" borderId="40" xfId="0" applyNumberFormat="1" applyFont="1" applyBorder="1" applyAlignment="1">
      <alignment vertical="center" wrapText="1"/>
    </xf>
    <xf numFmtId="0" fontId="44" fillId="0" borderId="0" xfId="0" applyFont="1" applyAlignment="1">
      <alignment vertical="center" wrapText="1"/>
    </xf>
    <xf numFmtId="0" fontId="44" fillId="0" borderId="6" xfId="0" applyFont="1" applyBorder="1" applyAlignment="1">
      <alignment horizontal="center" vertical="center" wrapText="1"/>
    </xf>
    <xf numFmtId="0" fontId="44" fillId="0" borderId="1" xfId="0" applyFont="1" applyBorder="1" applyAlignment="1">
      <alignment vertical="center" wrapText="1"/>
    </xf>
    <xf numFmtId="168" fontId="44" fillId="0" borderId="24" xfId="0" applyNumberFormat="1" applyFont="1" applyBorder="1" applyAlignment="1">
      <alignment vertical="center" wrapText="1"/>
    </xf>
    <xf numFmtId="0" fontId="44" fillId="0" borderId="12" xfId="0" applyFont="1" applyBorder="1" applyAlignment="1">
      <alignment horizontal="center" vertical="center" wrapText="1"/>
    </xf>
    <xf numFmtId="0" fontId="44" fillId="0" borderId="11" xfId="0" applyFont="1" applyBorder="1" applyAlignment="1">
      <alignment vertical="center" wrapText="1"/>
    </xf>
    <xf numFmtId="168" fontId="44" fillId="0" borderId="42" xfId="0" applyNumberFormat="1" applyFont="1" applyBorder="1" applyAlignment="1">
      <alignment vertical="center" wrapText="1"/>
    </xf>
    <xf numFmtId="168" fontId="47" fillId="16" borderId="23" xfId="0" applyNumberFormat="1" applyFont="1" applyFill="1" applyBorder="1" applyAlignment="1">
      <alignment vertical="center" wrapText="1"/>
    </xf>
    <xf numFmtId="0" fontId="44" fillId="0" borderId="0" xfId="0" applyFont="1" applyAlignment="1">
      <alignment horizontal="center" vertical="center" wrapText="1"/>
    </xf>
    <xf numFmtId="168" fontId="44" fillId="0" borderId="0" xfId="0" applyNumberFormat="1" applyFont="1" applyAlignment="1">
      <alignment vertical="center" wrapText="1"/>
    </xf>
    <xf numFmtId="168" fontId="44" fillId="0" borderId="26" xfId="0" applyNumberFormat="1" applyFont="1" applyBorder="1" applyAlignment="1">
      <alignment vertical="center" wrapText="1"/>
    </xf>
    <xf numFmtId="165" fontId="22" fillId="7" borderId="9" xfId="4" applyFont="1" applyFill="1" applyBorder="1" applyAlignment="1">
      <alignment horizontal="left" vertical="center"/>
    </xf>
    <xf numFmtId="0" fontId="11" fillId="15" borderId="9" xfId="0" applyFont="1" applyFill="1" applyBorder="1" applyAlignment="1">
      <alignment horizontal="center" vertical="center"/>
    </xf>
    <xf numFmtId="49" fontId="40" fillId="7" borderId="26" xfId="0" applyNumberFormat="1" applyFont="1" applyFill="1" applyBorder="1" applyAlignment="1">
      <alignment horizontal="center" vertical="center" wrapText="1"/>
    </xf>
    <xf numFmtId="49" fontId="40" fillId="7" borderId="57" xfId="0" applyNumberFormat="1" applyFont="1" applyFill="1" applyBorder="1" applyAlignment="1">
      <alignment vertical="center" wrapText="1"/>
    </xf>
    <xf numFmtId="0" fontId="40" fillId="7" borderId="0" xfId="0" applyFont="1" applyFill="1" applyAlignment="1">
      <alignment vertical="center" wrapText="1"/>
    </xf>
    <xf numFmtId="0" fontId="39" fillId="7" borderId="0" xfId="0" applyFont="1" applyFill="1" applyAlignment="1">
      <alignment horizontal="center" vertical="center" wrapText="1"/>
    </xf>
    <xf numFmtId="49" fontId="39" fillId="7" borderId="27" xfId="0" applyNumberFormat="1" applyFont="1" applyFill="1" applyBorder="1" applyAlignment="1">
      <alignment horizontal="center" vertical="center" wrapText="1"/>
    </xf>
    <xf numFmtId="49" fontId="39" fillId="7" borderId="27" xfId="0" applyNumberFormat="1" applyFont="1" applyFill="1" applyBorder="1" applyAlignment="1">
      <alignment vertical="center" wrapText="1"/>
    </xf>
    <xf numFmtId="49" fontId="39" fillId="7" borderId="26" xfId="0" applyNumberFormat="1" applyFont="1" applyFill="1" applyBorder="1" applyAlignment="1">
      <alignment horizontal="center" vertical="center" wrapText="1"/>
    </xf>
    <xf numFmtId="49" fontId="40" fillId="7" borderId="26" xfId="0" applyNumberFormat="1" applyFont="1" applyFill="1" applyBorder="1" applyAlignment="1">
      <alignment vertical="center" wrapText="1"/>
    </xf>
    <xf numFmtId="49" fontId="40" fillId="7" borderId="27" xfId="0" applyNumberFormat="1" applyFont="1" applyFill="1" applyBorder="1" applyAlignment="1">
      <alignment horizontal="center" vertical="center" wrapText="1"/>
    </xf>
    <xf numFmtId="49" fontId="40" fillId="7" borderId="25" xfId="0" quotePrefix="1" applyNumberFormat="1" applyFont="1" applyFill="1" applyBorder="1" applyAlignment="1">
      <alignment horizontal="center" vertical="center" wrapText="1"/>
    </xf>
    <xf numFmtId="49" fontId="40" fillId="7" borderId="25" xfId="0" applyNumberFormat="1" applyFont="1" applyFill="1" applyBorder="1" applyAlignment="1">
      <alignment vertical="center" wrapText="1"/>
    </xf>
    <xf numFmtId="49" fontId="39" fillId="7" borderId="57" xfId="0" applyNumberFormat="1" applyFont="1" applyFill="1" applyBorder="1" applyAlignment="1">
      <alignment vertical="center" wrapText="1"/>
    </xf>
    <xf numFmtId="49" fontId="40" fillId="7" borderId="25" xfId="0" applyNumberFormat="1" applyFont="1" applyFill="1" applyBorder="1" applyAlignment="1">
      <alignment horizontal="center" vertical="center" wrapText="1"/>
    </xf>
    <xf numFmtId="49" fontId="40" fillId="7" borderId="58" xfId="0" applyNumberFormat="1" applyFont="1" applyFill="1" applyBorder="1" applyAlignment="1">
      <alignment vertical="center" wrapText="1"/>
    </xf>
    <xf numFmtId="49" fontId="40" fillId="7" borderId="0" xfId="0" applyNumberFormat="1" applyFont="1" applyFill="1" applyAlignment="1">
      <alignment horizontal="center" vertical="center" wrapText="1"/>
    </xf>
    <xf numFmtId="49" fontId="40" fillId="7" borderId="0" xfId="0" applyNumberFormat="1" applyFont="1" applyFill="1" applyAlignment="1">
      <alignment vertical="center" wrapText="1"/>
    </xf>
    <xf numFmtId="49" fontId="39" fillId="7" borderId="30" xfId="0" applyNumberFormat="1" applyFont="1" applyFill="1" applyBorder="1" applyAlignment="1">
      <alignment vertical="center"/>
    </xf>
    <xf numFmtId="49" fontId="41" fillId="7" borderId="0" xfId="0" applyNumberFormat="1" applyFont="1" applyFill="1" applyAlignment="1">
      <alignment vertical="center" wrapText="1"/>
    </xf>
    <xf numFmtId="0" fontId="39" fillId="7" borderId="0" xfId="0" applyFont="1" applyFill="1" applyAlignment="1">
      <alignment vertical="center" wrapText="1"/>
    </xf>
    <xf numFmtId="49" fontId="40" fillId="7" borderId="0" xfId="0" applyNumberFormat="1" applyFont="1" applyFill="1" applyAlignment="1">
      <alignment horizontal="right" vertical="center" wrapText="1"/>
    </xf>
    <xf numFmtId="49" fontId="40" fillId="7" borderId="0" xfId="0" applyNumberFormat="1" applyFont="1" applyFill="1" applyAlignment="1">
      <alignment horizontal="left" vertical="center" wrapText="1" indent="1"/>
    </xf>
    <xf numFmtId="49" fontId="40" fillId="7" borderId="0" xfId="0" applyNumberFormat="1" applyFont="1" applyFill="1" applyAlignment="1">
      <alignment horizontal="left" vertical="center" wrapText="1"/>
    </xf>
    <xf numFmtId="0" fontId="39" fillId="16" borderId="31" xfId="0" applyFont="1" applyFill="1" applyBorder="1" applyAlignment="1">
      <alignment horizontal="center" vertical="center" wrapText="1"/>
    </xf>
    <xf numFmtId="0" fontId="39" fillId="16" borderId="23" xfId="0" applyFont="1" applyFill="1" applyBorder="1" applyAlignment="1">
      <alignment horizontal="center" vertical="center" wrapText="1"/>
    </xf>
    <xf numFmtId="0" fontId="39" fillId="16" borderId="22" xfId="0" applyFont="1" applyFill="1" applyBorder="1" applyAlignment="1">
      <alignment horizontal="center" vertical="center" wrapText="1"/>
    </xf>
    <xf numFmtId="49" fontId="39" fillId="7" borderId="37" xfId="0" applyNumberFormat="1" applyFont="1" applyFill="1" applyBorder="1" applyAlignment="1">
      <alignment vertical="center" wrapText="1"/>
    </xf>
    <xf numFmtId="0" fontId="3" fillId="0" borderId="60" xfId="0" applyFont="1" applyBorder="1" applyAlignment="1">
      <alignment horizontal="center" vertical="center"/>
    </xf>
    <xf numFmtId="165" fontId="3" fillId="13" borderId="8" xfId="4" applyFont="1" applyFill="1" applyBorder="1" applyAlignment="1">
      <alignment horizontal="center" vertical="center"/>
    </xf>
    <xf numFmtId="0" fontId="49" fillId="0" borderId="0" xfId="0" applyFont="1"/>
    <xf numFmtId="0" fontId="50" fillId="0" borderId="0" xfId="0" applyFont="1" applyAlignment="1">
      <alignment horizontal="center"/>
    </xf>
    <xf numFmtId="0" fontId="51" fillId="0" borderId="0" xfId="0" applyFont="1" applyAlignment="1">
      <alignment horizontal="center"/>
    </xf>
    <xf numFmtId="0" fontId="49" fillId="0" borderId="0" xfId="0" applyFont="1" applyAlignment="1">
      <alignment horizontal="center"/>
    </xf>
    <xf numFmtId="0" fontId="51" fillId="0" borderId="0" xfId="0" applyFont="1" applyAlignment="1">
      <alignment horizontal="center" vertical="center"/>
    </xf>
    <xf numFmtId="0" fontId="51" fillId="28" borderId="33" xfId="0" applyFont="1" applyFill="1" applyBorder="1" applyAlignment="1">
      <alignment vertical="center"/>
    </xf>
    <xf numFmtId="0" fontId="58" fillId="0" borderId="0" xfId="0" applyFont="1" applyAlignment="1">
      <alignment horizontal="left"/>
    </xf>
    <xf numFmtId="49" fontId="59" fillId="0" borderId="7" xfId="0" applyNumberFormat="1" applyFont="1" applyBorder="1" applyAlignment="1">
      <alignment horizontal="center" vertical="center" wrapText="1"/>
    </xf>
    <xf numFmtId="0" fontId="60" fillId="0" borderId="15" xfId="0" applyFont="1" applyBorder="1" applyAlignment="1">
      <alignment vertical="center" wrapText="1"/>
    </xf>
    <xf numFmtId="44" fontId="61" fillId="0" borderId="8" xfId="4" applyNumberFormat="1" applyFont="1" applyFill="1" applyBorder="1" applyAlignment="1">
      <alignment vertical="center"/>
    </xf>
    <xf numFmtId="44" fontId="62" fillId="0" borderId="8" xfId="4" applyNumberFormat="1" applyFont="1" applyFill="1" applyBorder="1" applyAlignment="1">
      <alignment vertical="center"/>
    </xf>
    <xf numFmtId="44" fontId="63" fillId="0" borderId="8" xfId="4" applyNumberFormat="1" applyFont="1" applyFill="1" applyBorder="1"/>
    <xf numFmtId="44" fontId="62" fillId="0" borderId="8" xfId="4" applyNumberFormat="1" applyFont="1" applyFill="1" applyBorder="1"/>
    <xf numFmtId="44" fontId="63" fillId="29" borderId="8" xfId="4" applyNumberFormat="1" applyFont="1" applyFill="1" applyBorder="1" applyAlignment="1">
      <alignment vertical="center"/>
    </xf>
    <xf numFmtId="44" fontId="63" fillId="0" borderId="8" xfId="4" applyNumberFormat="1" applyFont="1" applyFill="1" applyBorder="1" applyAlignment="1">
      <alignment vertical="center"/>
    </xf>
    <xf numFmtId="44" fontId="63" fillId="0" borderId="1" xfId="4" applyNumberFormat="1" applyFont="1" applyFill="1" applyBorder="1" applyAlignment="1">
      <alignment vertical="center"/>
    </xf>
    <xf numFmtId="0" fontId="49" fillId="0" borderId="46" xfId="0" applyFont="1" applyBorder="1"/>
    <xf numFmtId="44" fontId="49" fillId="0" borderId="0" xfId="0" applyNumberFormat="1" applyFont="1"/>
    <xf numFmtId="0" fontId="49" fillId="30" borderId="0" xfId="0" applyFont="1" applyFill="1"/>
    <xf numFmtId="49" fontId="59" fillId="30" borderId="7" xfId="0" applyNumberFormat="1" applyFont="1" applyFill="1" applyBorder="1" applyAlignment="1">
      <alignment horizontal="center" vertical="center" wrapText="1"/>
    </xf>
    <xf numFmtId="44" fontId="61" fillId="0" borderId="13" xfId="4" applyNumberFormat="1" applyFont="1" applyFill="1" applyBorder="1" applyAlignment="1">
      <alignment vertical="center"/>
    </xf>
    <xf numFmtId="44" fontId="62" fillId="0" borderId="1" xfId="4" applyNumberFormat="1" applyFont="1" applyFill="1" applyBorder="1" applyAlignment="1">
      <alignment vertical="center"/>
    </xf>
    <xf numFmtId="44" fontId="61" fillId="0" borderId="1" xfId="4" applyNumberFormat="1" applyFont="1" applyFill="1" applyBorder="1" applyAlignment="1">
      <alignment horizontal="center" wrapText="1"/>
    </xf>
    <xf numFmtId="0" fontId="49" fillId="0" borderId="1" xfId="0" applyFont="1" applyBorder="1" applyAlignment="1">
      <alignment vertical="center"/>
    </xf>
    <xf numFmtId="0" fontId="49" fillId="0" borderId="0" xfId="0" applyFont="1" applyAlignment="1">
      <alignment vertical="center"/>
    </xf>
    <xf numFmtId="44" fontId="61" fillId="0" borderId="16" xfId="4" applyNumberFormat="1" applyFont="1" applyFill="1" applyBorder="1" applyAlignment="1">
      <alignment vertical="center"/>
    </xf>
    <xf numFmtId="44" fontId="63" fillId="0" borderId="11" xfId="4" applyNumberFormat="1" applyFont="1" applyFill="1" applyBorder="1" applyAlignment="1">
      <alignment vertical="center"/>
    </xf>
    <xf numFmtId="44" fontId="61" fillId="0" borderId="1" xfId="4" applyNumberFormat="1" applyFont="1" applyFill="1" applyBorder="1" applyAlignment="1">
      <alignment horizontal="center" vertical="center"/>
    </xf>
    <xf numFmtId="0" fontId="49" fillId="0" borderId="11" xfId="0" applyFont="1" applyBorder="1" applyAlignment="1">
      <alignment vertical="center"/>
    </xf>
    <xf numFmtId="44" fontId="63" fillId="30" borderId="11" xfId="4" applyNumberFormat="1" applyFont="1" applyFill="1" applyBorder="1" applyAlignment="1">
      <alignment vertical="center"/>
    </xf>
    <xf numFmtId="44" fontId="61" fillId="0" borderId="1" xfId="4" applyNumberFormat="1" applyFont="1" applyFill="1" applyBorder="1" applyAlignment="1">
      <alignment horizontal="center"/>
    </xf>
    <xf numFmtId="44" fontId="49" fillId="0" borderId="1" xfId="4" applyNumberFormat="1" applyFont="1" applyFill="1" applyBorder="1"/>
    <xf numFmtId="0" fontId="64" fillId="0" borderId="1" xfId="0" applyFont="1" applyBorder="1" applyAlignment="1">
      <alignment horizontal="center" vertical="center" wrapText="1"/>
    </xf>
    <xf numFmtId="44" fontId="65" fillId="28" borderId="19" xfId="4" applyNumberFormat="1" applyFont="1" applyFill="1" applyBorder="1" applyAlignment="1">
      <alignment vertical="center"/>
    </xf>
    <xf numFmtId="44" fontId="65" fillId="0" borderId="19" xfId="4" applyNumberFormat="1" applyFont="1" applyFill="1" applyBorder="1" applyAlignment="1">
      <alignment vertical="center"/>
    </xf>
    <xf numFmtId="44" fontId="66" fillId="0" borderId="19" xfId="4" applyNumberFormat="1" applyFont="1" applyFill="1" applyBorder="1" applyAlignment="1">
      <alignment vertical="center"/>
    </xf>
    <xf numFmtId="164" fontId="59" fillId="0" borderId="19" xfId="0" applyNumberFormat="1" applyFont="1" applyBorder="1" applyAlignment="1">
      <alignment vertical="center"/>
    </xf>
    <xf numFmtId="164" fontId="59" fillId="0" borderId="0" xfId="0" applyNumberFormat="1" applyFont="1" applyAlignment="1">
      <alignment vertical="center"/>
    </xf>
    <xf numFmtId="0" fontId="58" fillId="29" borderId="50" xfId="0" applyFont="1" applyFill="1" applyBorder="1"/>
    <xf numFmtId="0" fontId="58" fillId="0" borderId="50" xfId="0" applyFont="1" applyBorder="1"/>
    <xf numFmtId="0" fontId="58" fillId="29" borderId="38" xfId="0" applyFont="1" applyFill="1" applyBorder="1"/>
    <xf numFmtId="0" fontId="58" fillId="0" borderId="38" xfId="0" applyFont="1" applyBorder="1"/>
    <xf numFmtId="0" fontId="58" fillId="29" borderId="53" xfId="0" applyFont="1" applyFill="1" applyBorder="1"/>
    <xf numFmtId="0" fontId="58" fillId="0" borderId="0" xfId="0" applyFont="1"/>
    <xf numFmtId="0" fontId="58" fillId="0" borderId="1" xfId="0" applyFont="1" applyBorder="1" applyAlignment="1">
      <alignment horizontal="center"/>
    </xf>
    <xf numFmtId="44" fontId="61" fillId="30" borderId="1" xfId="4" applyNumberFormat="1" applyFont="1" applyFill="1" applyBorder="1" applyAlignment="1">
      <alignment horizontal="center"/>
    </xf>
    <xf numFmtId="44" fontId="61" fillId="29" borderId="1" xfId="4" applyNumberFormat="1" applyFont="1" applyFill="1" applyBorder="1" applyAlignment="1">
      <alignment horizontal="center"/>
    </xf>
    <xf numFmtId="164" fontId="49" fillId="0" borderId="1" xfId="0" applyNumberFormat="1" applyFont="1" applyBorder="1"/>
    <xf numFmtId="0" fontId="62" fillId="0" borderId="1" xfId="0" applyFont="1" applyBorder="1"/>
    <xf numFmtId="164" fontId="49" fillId="0" borderId="8" xfId="0" applyNumberFormat="1" applyFont="1" applyBorder="1"/>
    <xf numFmtId="164" fontId="49" fillId="0" borderId="0" xfId="0" applyNumberFormat="1" applyFont="1"/>
    <xf numFmtId="0" fontId="60" fillId="0" borderId="13" xfId="0" applyFont="1" applyBorder="1" applyAlignment="1">
      <alignment vertical="center" wrapText="1"/>
    </xf>
    <xf numFmtId="44" fontId="61" fillId="0" borderId="11" xfId="4" applyNumberFormat="1" applyFont="1" applyFill="1" applyBorder="1" applyAlignment="1">
      <alignment horizontal="center"/>
    </xf>
    <xf numFmtId="44" fontId="61" fillId="0" borderId="13" xfId="4" applyNumberFormat="1" applyFont="1" applyFill="1" applyBorder="1" applyAlignment="1">
      <alignment horizontal="center"/>
    </xf>
    <xf numFmtId="0" fontId="60" fillId="0" borderId="1" xfId="0" applyFont="1" applyBorder="1" applyAlignment="1">
      <alignment vertical="center" wrapText="1"/>
    </xf>
    <xf numFmtId="0" fontId="60" fillId="0" borderId="15" xfId="0" applyFont="1" applyBorder="1" applyAlignment="1">
      <alignment horizontal="left" vertical="center" wrapText="1"/>
    </xf>
    <xf numFmtId="44" fontId="61" fillId="0" borderId="13" xfId="4" applyNumberFormat="1" applyFont="1" applyFill="1" applyBorder="1" applyAlignment="1">
      <alignment horizontal="center" vertical="center"/>
    </xf>
    <xf numFmtId="49" fontId="59" fillId="27" borderId="7" xfId="0" applyNumberFormat="1" applyFont="1" applyFill="1" applyBorder="1" applyAlignment="1">
      <alignment horizontal="center" vertical="center" wrapText="1"/>
    </xf>
    <xf numFmtId="0" fontId="67" fillId="0" borderId="13" xfId="0" applyFont="1" applyBorder="1" applyAlignment="1">
      <alignment vertical="center" wrapText="1"/>
    </xf>
    <xf numFmtId="0" fontId="68" fillId="0" borderId="13" xfId="0" applyFont="1" applyBorder="1" applyAlignment="1">
      <alignment vertical="center" wrapText="1"/>
    </xf>
    <xf numFmtId="0" fontId="67" fillId="0" borderId="8" xfId="0" applyFont="1" applyBorder="1" applyAlignment="1">
      <alignment vertical="center" wrapText="1"/>
    </xf>
    <xf numFmtId="49" fontId="69" fillId="28" borderId="1" xfId="0" applyNumberFormat="1" applyFont="1" applyFill="1" applyBorder="1" applyAlignment="1">
      <alignment horizontal="center" vertical="center" wrapText="1"/>
    </xf>
    <xf numFmtId="0" fontId="69" fillId="28" borderId="1" xfId="0" applyFont="1" applyFill="1" applyBorder="1" applyAlignment="1">
      <alignment vertical="center" wrapText="1"/>
    </xf>
    <xf numFmtId="44" fontId="70" fillId="28" borderId="1" xfId="4" applyNumberFormat="1" applyFont="1" applyFill="1" applyBorder="1" applyAlignment="1">
      <alignment horizontal="center"/>
    </xf>
    <xf numFmtId="44" fontId="70" fillId="0" borderId="1" xfId="4" applyNumberFormat="1" applyFont="1" applyFill="1" applyBorder="1" applyAlignment="1">
      <alignment horizontal="center"/>
    </xf>
    <xf numFmtId="0" fontId="60" fillId="28" borderId="1" xfId="0" applyFont="1" applyFill="1" applyBorder="1" applyAlignment="1">
      <alignment vertical="center" wrapText="1"/>
    </xf>
    <xf numFmtId="44" fontId="44" fillId="28" borderId="1" xfId="4" applyNumberFormat="1" applyFont="1" applyFill="1" applyBorder="1" applyAlignment="1">
      <alignment horizontal="center"/>
    </xf>
    <xf numFmtId="44" fontId="44" fillId="0" borderId="1" xfId="4" applyNumberFormat="1" applyFont="1" applyFill="1" applyBorder="1" applyAlignment="1">
      <alignment horizontal="center"/>
    </xf>
    <xf numFmtId="44" fontId="44" fillId="0" borderId="13" xfId="4" applyNumberFormat="1" applyFont="1" applyFill="1" applyBorder="1" applyAlignment="1">
      <alignment horizontal="center"/>
    </xf>
    <xf numFmtId="0" fontId="60" fillId="30" borderId="8" xfId="0" applyFont="1" applyFill="1" applyBorder="1" applyAlignment="1">
      <alignment vertical="center" wrapText="1"/>
    </xf>
    <xf numFmtId="0" fontId="60" fillId="30" borderId="13" xfId="0" applyFont="1" applyFill="1" applyBorder="1" applyAlignment="1">
      <alignment vertical="center" wrapText="1"/>
    </xf>
    <xf numFmtId="44" fontId="61" fillId="30" borderId="1" xfId="4" applyNumberFormat="1" applyFont="1" applyFill="1" applyBorder="1" applyAlignment="1">
      <alignment vertical="center"/>
    </xf>
    <xf numFmtId="44" fontId="61" fillId="0" borderId="1" xfId="4" applyNumberFormat="1" applyFont="1" applyFill="1" applyBorder="1" applyAlignment="1">
      <alignment vertical="center"/>
    </xf>
    <xf numFmtId="0" fontId="67" fillId="30" borderId="1" xfId="0" applyFont="1" applyFill="1" applyBorder="1" applyAlignment="1">
      <alignment vertical="center" wrapText="1"/>
    </xf>
    <xf numFmtId="0" fontId="60" fillId="30" borderId="15" xfId="0" applyFont="1" applyFill="1" applyBorder="1" applyAlignment="1">
      <alignment vertical="center" wrapText="1"/>
    </xf>
    <xf numFmtId="0" fontId="60" fillId="30" borderId="1" xfId="0" applyFont="1" applyFill="1" applyBorder="1" applyAlignment="1">
      <alignment vertical="center" wrapText="1"/>
    </xf>
    <xf numFmtId="0" fontId="49" fillId="0" borderId="1" xfId="0" applyFont="1" applyBorder="1"/>
    <xf numFmtId="164" fontId="61" fillId="0" borderId="1" xfId="0" applyNumberFormat="1" applyFont="1" applyBorder="1" applyAlignment="1">
      <alignment vertical="center"/>
    </xf>
    <xf numFmtId="171" fontId="49" fillId="0" borderId="1" xfId="0" applyNumberFormat="1" applyFont="1" applyBorder="1" applyAlignment="1">
      <alignment vertical="center"/>
    </xf>
    <xf numFmtId="171" fontId="49" fillId="0" borderId="0" xfId="0" applyNumberFormat="1" applyFont="1" applyAlignment="1">
      <alignment vertical="center"/>
    </xf>
    <xf numFmtId="164" fontId="61" fillId="0" borderId="8" xfId="0" applyNumberFormat="1" applyFont="1" applyBorder="1" applyAlignment="1">
      <alignment vertical="center"/>
    </xf>
    <xf numFmtId="44" fontId="63" fillId="30" borderId="1" xfId="4" applyNumberFormat="1" applyFont="1" applyFill="1" applyBorder="1" applyAlignment="1">
      <alignment vertical="center"/>
    </xf>
    <xf numFmtId="44" fontId="61" fillId="0" borderId="8" xfId="4" applyNumberFormat="1" applyFont="1" applyFill="1" applyBorder="1" applyAlignment="1">
      <alignment horizontal="center" vertical="center"/>
    </xf>
    <xf numFmtId="44" fontId="72" fillId="0" borderId="8" xfId="4" applyNumberFormat="1" applyFont="1" applyFill="1" applyBorder="1" applyAlignment="1">
      <alignment vertical="center"/>
    </xf>
    <xf numFmtId="44" fontId="65" fillId="28" borderId="52" xfId="4" applyNumberFormat="1" applyFont="1" applyFill="1" applyBorder="1" applyAlignment="1">
      <alignment vertical="center"/>
    </xf>
    <xf numFmtId="164" fontId="51" fillId="0" borderId="52" xfId="0" applyNumberFormat="1" applyFont="1" applyBorder="1" applyAlignment="1">
      <alignment vertical="center"/>
    </xf>
    <xf numFmtId="164" fontId="51" fillId="0" borderId="0" xfId="0" applyNumberFormat="1" applyFont="1" applyAlignment="1">
      <alignment vertical="center"/>
    </xf>
    <xf numFmtId="0" fontId="73" fillId="28" borderId="46" xfId="0" applyFont="1" applyFill="1" applyBorder="1"/>
    <xf numFmtId="0" fontId="42" fillId="28" borderId="1" xfId="0" applyFont="1" applyFill="1" applyBorder="1" applyAlignment="1">
      <alignment vertical="center"/>
    </xf>
    <xf numFmtId="44" fontId="65" fillId="28" borderId="1" xfId="0" applyNumberFormat="1" applyFont="1" applyFill="1" applyBorder="1"/>
    <xf numFmtId="44" fontId="65" fillId="0" borderId="1" xfId="0" applyNumberFormat="1" applyFont="1" applyBorder="1"/>
    <xf numFmtId="0" fontId="73" fillId="0" borderId="1" xfId="0" applyFont="1" applyBorder="1"/>
    <xf numFmtId="0" fontId="73" fillId="0" borderId="0" xfId="0" applyFont="1"/>
    <xf numFmtId="0" fontId="49" fillId="0" borderId="0" xfId="0" applyFont="1" applyAlignment="1">
      <alignment horizontal="center" wrapText="1"/>
    </xf>
    <xf numFmtId="0" fontId="49" fillId="0" borderId="0" xfId="0" applyFont="1" applyAlignment="1">
      <alignment horizontal="left" wrapText="1"/>
    </xf>
    <xf numFmtId="0" fontId="49" fillId="29" borderId="1" xfId="0" applyFont="1" applyFill="1" applyBorder="1"/>
    <xf numFmtId="0" fontId="74" fillId="29" borderId="1" xfId="0" applyFont="1" applyFill="1" applyBorder="1"/>
    <xf numFmtId="171" fontId="49" fillId="29" borderId="1" xfId="0" applyNumberFormat="1" applyFont="1" applyFill="1" applyBorder="1"/>
    <xf numFmtId="49" fontId="59" fillId="30" borderId="1" xfId="0" applyNumberFormat="1" applyFont="1" applyFill="1" applyBorder="1" applyAlignment="1">
      <alignment horizontal="center" vertical="center" wrapText="1"/>
    </xf>
    <xf numFmtId="44" fontId="61" fillId="29" borderId="1" xfId="4" applyNumberFormat="1" applyFont="1" applyFill="1" applyBorder="1" applyAlignment="1">
      <alignment vertical="center"/>
    </xf>
    <xf numFmtId="49" fontId="59" fillId="0" borderId="1" xfId="0" applyNumberFormat="1" applyFont="1" applyBorder="1" applyAlignment="1">
      <alignment horizontal="center" vertical="center" wrapText="1"/>
    </xf>
    <xf numFmtId="0" fontId="60" fillId="0" borderId="16" xfId="0" applyFont="1" applyBorder="1" applyAlignment="1">
      <alignment vertical="center" wrapText="1"/>
    </xf>
    <xf numFmtId="164" fontId="61" fillId="30" borderId="8" xfId="0" applyNumberFormat="1" applyFont="1" applyFill="1" applyBorder="1" applyAlignment="1">
      <alignment vertical="center"/>
    </xf>
    <xf numFmtId="0" fontId="75" fillId="30" borderId="15" xfId="0" applyFont="1" applyFill="1" applyBorder="1" applyAlignment="1">
      <alignment horizontal="center" vertical="center" wrapText="1"/>
    </xf>
    <xf numFmtId="0" fontId="75" fillId="30" borderId="13" xfId="0" applyFont="1" applyFill="1" applyBorder="1" applyAlignment="1">
      <alignment vertical="center" wrapText="1"/>
    </xf>
    <xf numFmtId="0" fontId="75" fillId="0" borderId="13" xfId="0" applyFont="1" applyBorder="1" applyAlignment="1">
      <alignment vertical="center" wrapText="1"/>
    </xf>
    <xf numFmtId="0" fontId="49" fillId="30" borderId="1" xfId="0" applyFont="1" applyFill="1" applyBorder="1" applyAlignment="1">
      <alignment vertical="center"/>
    </xf>
    <xf numFmtId="0" fontId="49" fillId="30" borderId="0" xfId="0" applyFont="1" applyFill="1" applyAlignment="1">
      <alignment vertical="center"/>
    </xf>
    <xf numFmtId="0" fontId="44" fillId="30" borderId="13" xfId="0" applyFont="1" applyFill="1" applyBorder="1" applyAlignment="1">
      <alignment horizontal="center" vertical="center" wrapText="1"/>
    </xf>
    <xf numFmtId="164" fontId="76" fillId="30" borderId="8" xfId="0" applyNumberFormat="1" applyFont="1" applyFill="1" applyBorder="1" applyAlignment="1">
      <alignment horizontal="center" vertical="center"/>
    </xf>
    <xf numFmtId="164" fontId="76" fillId="0" borderId="8" xfId="0" applyNumberFormat="1" applyFont="1" applyBorder="1" applyAlignment="1">
      <alignment horizontal="center" vertical="center"/>
    </xf>
    <xf numFmtId="44" fontId="76" fillId="0" borderId="1" xfId="4" applyNumberFormat="1" applyFont="1" applyFill="1" applyBorder="1" applyAlignment="1">
      <alignment horizontal="center" vertical="center"/>
    </xf>
    <xf numFmtId="44" fontId="70" fillId="0" borderId="1" xfId="4" applyNumberFormat="1" applyFont="1" applyFill="1" applyBorder="1" applyAlignment="1">
      <alignment vertical="center"/>
    </xf>
    <xf numFmtId="44" fontId="70" fillId="31" borderId="1" xfId="4" applyNumberFormat="1" applyFont="1" applyFill="1" applyBorder="1" applyAlignment="1">
      <alignment vertical="center"/>
    </xf>
    <xf numFmtId="44" fontId="70" fillId="27" borderId="1" xfId="4" applyNumberFormat="1" applyFont="1" applyFill="1" applyBorder="1" applyAlignment="1">
      <alignment vertical="center"/>
    </xf>
    <xf numFmtId="0" fontId="77" fillId="0" borderId="0" xfId="0" applyFont="1" applyAlignment="1">
      <alignment vertical="center"/>
    </xf>
    <xf numFmtId="49" fontId="46" fillId="0" borderId="0" xfId="0" applyNumberFormat="1" applyFont="1" applyAlignment="1">
      <alignment horizontal="center" vertical="center" wrapText="1"/>
    </xf>
    <xf numFmtId="44" fontId="49" fillId="0" borderId="0" xfId="4" applyNumberFormat="1" applyFont="1" applyFill="1" applyBorder="1"/>
    <xf numFmtId="0" fontId="53" fillId="0" borderId="0" xfId="0" applyFont="1" applyAlignment="1">
      <alignment horizontal="center"/>
    </xf>
    <xf numFmtId="0" fontId="3" fillId="13" borderId="6" xfId="0" applyFont="1" applyFill="1" applyBorder="1" applyAlignment="1">
      <alignment horizontal="center" vertical="center"/>
    </xf>
    <xf numFmtId="49" fontId="3" fillId="13" borderId="8" xfId="0" applyNumberFormat="1" applyFont="1" applyFill="1" applyBorder="1" applyAlignment="1">
      <alignment horizontal="center" vertical="center"/>
    </xf>
    <xf numFmtId="165" fontId="3" fillId="13" borderId="24" xfId="4" applyFont="1" applyFill="1" applyBorder="1" applyAlignment="1">
      <alignment horizontal="center" vertical="center"/>
    </xf>
    <xf numFmtId="0" fontId="3" fillId="13" borderId="0" xfId="0" applyFont="1" applyFill="1" applyAlignment="1">
      <alignment horizontal="center" vertical="center"/>
    </xf>
    <xf numFmtId="2" fontId="3" fillId="0" borderId="8" xfId="0" applyNumberFormat="1" applyFont="1" applyBorder="1" applyAlignment="1">
      <alignment horizontal="center" vertical="center"/>
    </xf>
    <xf numFmtId="2" fontId="11" fillId="0" borderId="1" xfId="4" applyNumberFormat="1" applyFont="1" applyFill="1" applyBorder="1" applyAlignment="1">
      <alignment horizontal="center" vertical="center"/>
    </xf>
    <xf numFmtId="2" fontId="3" fillId="0" borderId="0" xfId="0" applyNumberFormat="1" applyFont="1" applyAlignment="1">
      <alignment horizontal="center" vertical="center"/>
    </xf>
    <xf numFmtId="0" fontId="3" fillId="0" borderId="8" xfId="0" applyFont="1" applyBorder="1" applyAlignment="1">
      <alignment horizontal="center" vertical="center"/>
    </xf>
    <xf numFmtId="2" fontId="3" fillId="0" borderId="1" xfId="0" applyNumberFormat="1" applyFont="1" applyBorder="1" applyAlignment="1">
      <alignment horizontal="center" vertical="center"/>
    </xf>
    <xf numFmtId="165" fontId="11" fillId="11" borderId="61" xfId="4" applyFont="1" applyFill="1" applyBorder="1" applyAlignment="1">
      <alignment horizontal="center" vertical="center"/>
    </xf>
    <xf numFmtId="165" fontId="11" fillId="11" borderId="64" xfId="4" applyFont="1" applyFill="1" applyBorder="1" applyAlignment="1">
      <alignment horizontal="center" vertical="center"/>
    </xf>
    <xf numFmtId="44" fontId="11" fillId="0" borderId="63" xfId="0" applyNumberFormat="1" applyFont="1" applyBorder="1" applyAlignment="1">
      <alignment horizontal="center" vertical="center"/>
    </xf>
    <xf numFmtId="44" fontId="79" fillId="0" borderId="0" xfId="0" applyNumberFormat="1" applyFont="1" applyAlignment="1">
      <alignment horizontal="center" vertical="center"/>
    </xf>
    <xf numFmtId="44" fontId="11" fillId="0" borderId="0" xfId="0" applyNumberFormat="1" applyFont="1" applyAlignment="1">
      <alignment horizontal="left" vertical="center"/>
    </xf>
    <xf numFmtId="165" fontId="7" fillId="32" borderId="9" xfId="4" applyFont="1" applyFill="1" applyBorder="1" applyAlignment="1">
      <alignment horizontal="right" vertical="center"/>
    </xf>
    <xf numFmtId="166" fontId="7" fillId="32" borderId="9" xfId="4" applyNumberFormat="1" applyFont="1" applyFill="1" applyBorder="1" applyAlignment="1">
      <alignment horizontal="right"/>
    </xf>
    <xf numFmtId="44" fontId="80" fillId="11" borderId="23" xfId="4" applyNumberFormat="1" applyFont="1" applyFill="1" applyBorder="1" applyAlignment="1">
      <alignment horizontal="center" vertical="center"/>
    </xf>
    <xf numFmtId="0" fontId="11" fillId="0" borderId="0" xfId="0" applyFont="1" applyAlignment="1">
      <alignment horizontal="left" vertical="center"/>
    </xf>
    <xf numFmtId="43" fontId="11" fillId="0" borderId="0" xfId="11" applyFont="1" applyAlignment="1">
      <alignment horizontal="center" vertical="center"/>
    </xf>
    <xf numFmtId="44" fontId="79" fillId="0" borderId="63" xfId="0" applyNumberFormat="1" applyFont="1" applyBorder="1" applyAlignment="1">
      <alignment horizontal="center" vertical="center"/>
    </xf>
    <xf numFmtId="165" fontId="3" fillId="32" borderId="9" xfId="4" applyFont="1" applyFill="1" applyBorder="1" applyAlignment="1">
      <alignment horizontal="left" vertical="center"/>
    </xf>
    <xf numFmtId="165" fontId="3" fillId="32" borderId="9" xfId="4" applyFont="1" applyFill="1" applyBorder="1" applyAlignment="1">
      <alignment horizontal="center" vertical="center"/>
    </xf>
    <xf numFmtId="0" fontId="7" fillId="32" borderId="10" xfId="0" applyFont="1" applyFill="1" applyBorder="1" applyAlignment="1">
      <alignment horizontal="left" vertical="center"/>
    </xf>
    <xf numFmtId="0" fontId="7" fillId="32" borderId="7" xfId="0" applyFont="1" applyFill="1" applyBorder="1" applyAlignment="1">
      <alignment horizontal="center" vertical="center"/>
    </xf>
    <xf numFmtId="49" fontId="7" fillId="32" borderId="8" xfId="0" applyNumberFormat="1" applyFont="1" applyFill="1" applyBorder="1" applyAlignment="1">
      <alignment horizontal="center" vertical="center"/>
    </xf>
    <xf numFmtId="49" fontId="7" fillId="32" borderId="1" xfId="0" applyNumberFormat="1" applyFont="1" applyFill="1" applyBorder="1" applyAlignment="1">
      <alignment horizontal="center" vertical="center"/>
    </xf>
    <xf numFmtId="0" fontId="7" fillId="32" borderId="10" xfId="0" applyFont="1" applyFill="1" applyBorder="1" applyAlignment="1">
      <alignment horizontal="center" vertical="center" wrapText="1"/>
    </xf>
    <xf numFmtId="0" fontId="3" fillId="32" borderId="0" xfId="0" applyFont="1" applyFill="1" applyAlignment="1">
      <alignment vertical="center"/>
    </xf>
    <xf numFmtId="0" fontId="7" fillId="32" borderId="6" xfId="0" applyFont="1" applyFill="1" applyBorder="1" applyAlignment="1">
      <alignment horizontal="center"/>
    </xf>
    <xf numFmtId="49" fontId="7" fillId="32" borderId="1" xfId="0" applyNumberFormat="1" applyFont="1" applyFill="1" applyBorder="1" applyAlignment="1">
      <alignment horizontal="center"/>
    </xf>
    <xf numFmtId="49" fontId="7" fillId="32" borderId="15" xfId="0" applyNumberFormat="1" applyFont="1" applyFill="1" applyBorder="1" applyAlignment="1">
      <alignment horizontal="center"/>
    </xf>
    <xf numFmtId="0" fontId="7" fillId="32" borderId="2" xfId="0" applyFont="1" applyFill="1" applyBorder="1" applyAlignment="1">
      <alignment horizontal="center" vertical="center" wrapText="1"/>
    </xf>
    <xf numFmtId="0" fontId="7" fillId="32" borderId="4" xfId="0" applyFont="1" applyFill="1" applyBorder="1" applyAlignment="1">
      <alignment horizontal="left"/>
    </xf>
    <xf numFmtId="164" fontId="7" fillId="32" borderId="2" xfId="4" applyNumberFormat="1" applyFont="1" applyFill="1" applyBorder="1" applyAlignment="1">
      <alignment horizontal="right"/>
    </xf>
    <xf numFmtId="0" fontId="3" fillId="32" borderId="0" xfId="0" applyFont="1" applyFill="1"/>
    <xf numFmtId="0" fontId="7" fillId="32" borderId="7" xfId="0" applyFont="1" applyFill="1" applyBorder="1" applyAlignment="1">
      <alignment horizontal="center"/>
    </xf>
    <xf numFmtId="49" fontId="7" fillId="32" borderId="8" xfId="0" applyNumberFormat="1" applyFont="1" applyFill="1" applyBorder="1" applyAlignment="1">
      <alignment horizontal="center"/>
    </xf>
    <xf numFmtId="49" fontId="7" fillId="32" borderId="17" xfId="0" applyNumberFormat="1" applyFont="1" applyFill="1" applyBorder="1" applyAlignment="1">
      <alignment horizontal="center"/>
    </xf>
    <xf numFmtId="0" fontId="7" fillId="32" borderId="10" xfId="0" applyFont="1" applyFill="1" applyBorder="1" applyAlignment="1">
      <alignment horizontal="left"/>
    </xf>
    <xf numFmtId="0" fontId="3" fillId="32" borderId="9" xfId="0" applyFont="1" applyFill="1" applyBorder="1" applyAlignment="1">
      <alignment horizontal="left" vertical="center"/>
    </xf>
    <xf numFmtId="0" fontId="3" fillId="32" borderId="9" xfId="0" applyFont="1" applyFill="1" applyBorder="1" applyAlignment="1">
      <alignment horizontal="left" vertical="center" wrapText="1"/>
    </xf>
    <xf numFmtId="165" fontId="3" fillId="32" borderId="0" xfId="0" applyNumberFormat="1" applyFont="1" applyFill="1" applyAlignment="1">
      <alignment vertical="center"/>
    </xf>
    <xf numFmtId="0" fontId="3" fillId="32" borderId="2" xfId="0" applyFont="1" applyFill="1" applyBorder="1" applyAlignment="1">
      <alignment horizontal="left" vertical="center"/>
    </xf>
    <xf numFmtId="0" fontId="3" fillId="32" borderId="2" xfId="0" applyFont="1" applyFill="1" applyBorder="1" applyAlignment="1">
      <alignment horizontal="left" vertical="center" wrapText="1"/>
    </xf>
    <xf numFmtId="44" fontId="79" fillId="0" borderId="59" xfId="0" applyNumberFormat="1" applyFont="1" applyBorder="1" applyAlignment="1">
      <alignment horizontal="center" vertical="center"/>
    </xf>
    <xf numFmtId="0" fontId="3" fillId="0" borderId="1" xfId="0" applyFont="1" applyBorder="1" applyAlignment="1">
      <alignment horizontal="center" vertical="center"/>
    </xf>
    <xf numFmtId="2" fontId="81" fillId="0" borderId="8" xfId="0" applyNumberFormat="1" applyFont="1" applyBorder="1" applyAlignment="1">
      <alignment horizontal="center" vertical="center"/>
    </xf>
    <xf numFmtId="44" fontId="79" fillId="0" borderId="8" xfId="0" applyNumberFormat="1" applyFont="1" applyBorder="1" applyAlignment="1">
      <alignment horizontal="center" vertical="center"/>
    </xf>
    <xf numFmtId="0" fontId="11" fillId="0" borderId="18" xfId="0" applyFont="1" applyBorder="1" applyAlignment="1">
      <alignment vertical="center"/>
    </xf>
    <xf numFmtId="0" fontId="11" fillId="0" borderId="19" xfId="0" applyFont="1" applyBorder="1" applyAlignment="1">
      <alignment vertical="center"/>
    </xf>
    <xf numFmtId="0" fontId="3" fillId="0" borderId="0" xfId="0" quotePrefix="1" applyFont="1" applyAlignment="1">
      <alignment horizontal="center" vertical="center"/>
    </xf>
    <xf numFmtId="165" fontId="28" fillId="0" borderId="63" xfId="4" applyFont="1" applyBorder="1" applyAlignment="1">
      <alignment horizontal="center" vertical="center"/>
    </xf>
    <xf numFmtId="0" fontId="7" fillId="32" borderId="6" xfId="0" applyFont="1" applyFill="1" applyBorder="1" applyAlignment="1">
      <alignment horizontal="center" vertical="center"/>
    </xf>
    <xf numFmtId="0" fontId="7" fillId="32" borderId="4" xfId="0" applyFont="1" applyFill="1" applyBorder="1" applyAlignment="1">
      <alignment horizontal="center" vertical="center" wrapText="1"/>
    </xf>
    <xf numFmtId="0" fontId="7" fillId="32" borderId="4" xfId="0" applyFont="1" applyFill="1" applyBorder="1" applyAlignment="1">
      <alignment horizontal="left" vertical="center"/>
    </xf>
    <xf numFmtId="165" fontId="7" fillId="32" borderId="2" xfId="4" applyFont="1" applyFill="1" applyBorder="1" applyAlignment="1">
      <alignment horizontal="right" vertical="center"/>
    </xf>
    <xf numFmtId="0" fontId="31" fillId="32" borderId="2" xfId="0" applyFont="1" applyFill="1" applyBorder="1" applyAlignment="1">
      <alignment horizontal="center" vertical="center" wrapText="1"/>
    </xf>
    <xf numFmtId="0" fontId="31" fillId="32" borderId="4" xfId="0" applyFont="1" applyFill="1" applyBorder="1" applyAlignment="1">
      <alignment horizontal="left"/>
    </xf>
    <xf numFmtId="166" fontId="31" fillId="32" borderId="2" xfId="4" applyNumberFormat="1" applyFont="1" applyFill="1" applyBorder="1" applyAlignment="1">
      <alignment horizontal="right"/>
    </xf>
    <xf numFmtId="44" fontId="79" fillId="13" borderId="63" xfId="0" applyNumberFormat="1" applyFont="1" applyFill="1" applyBorder="1" applyAlignment="1">
      <alignment horizontal="center" vertical="center"/>
    </xf>
    <xf numFmtId="44" fontId="79" fillId="33" borderId="63" xfId="0" applyNumberFormat="1" applyFont="1" applyFill="1" applyBorder="1" applyAlignment="1">
      <alignment horizontal="center" vertical="center"/>
    </xf>
    <xf numFmtId="44" fontId="3" fillId="32" borderId="0" xfId="0" applyNumberFormat="1" applyFont="1" applyFill="1" applyAlignment="1">
      <alignment vertical="center"/>
    </xf>
    <xf numFmtId="165" fontId="11" fillId="32" borderId="9" xfId="4" applyFont="1" applyFill="1" applyBorder="1" applyAlignment="1">
      <alignment horizontal="left" vertical="center"/>
    </xf>
    <xf numFmtId="166" fontId="7" fillId="32" borderId="2" xfId="4" applyNumberFormat="1" applyFont="1" applyFill="1" applyBorder="1" applyAlignment="1">
      <alignment horizontal="right"/>
    </xf>
    <xf numFmtId="0" fontId="83" fillId="27" borderId="65" xfId="0" applyFont="1" applyFill="1" applyBorder="1" applyAlignment="1">
      <alignment horizontal="center" vertical="center" wrapText="1"/>
    </xf>
    <xf numFmtId="0" fontId="57" fillId="27" borderId="52" xfId="0" applyFont="1" applyFill="1" applyBorder="1" applyAlignment="1">
      <alignment horizontal="center" vertical="center" wrapText="1"/>
    </xf>
    <xf numFmtId="0" fontId="84" fillId="27" borderId="52" xfId="0" applyFont="1" applyFill="1" applyBorder="1" applyAlignment="1">
      <alignment horizontal="center" vertical="center" wrapText="1"/>
    </xf>
    <xf numFmtId="0" fontId="57" fillId="27" borderId="66" xfId="0" applyFont="1" applyFill="1" applyBorder="1" applyAlignment="1">
      <alignment horizontal="center" vertical="center" wrapText="1"/>
    </xf>
    <xf numFmtId="0" fontId="57" fillId="35" borderId="66" xfId="0" applyFont="1" applyFill="1" applyBorder="1" applyAlignment="1">
      <alignment horizontal="center" vertical="center" wrapText="1"/>
    </xf>
    <xf numFmtId="0" fontId="85" fillId="0" borderId="8" xfId="0" applyFont="1" applyBorder="1" applyAlignment="1">
      <alignment horizontal="center" vertical="center" wrapText="1"/>
    </xf>
    <xf numFmtId="0" fontId="57" fillId="0" borderId="8" xfId="0" applyFont="1" applyBorder="1" applyAlignment="1">
      <alignment vertical="center" wrapText="1"/>
    </xf>
    <xf numFmtId="44" fontId="84" fillId="0" borderId="8" xfId="4" applyNumberFormat="1" applyFont="1" applyFill="1" applyBorder="1" applyAlignment="1">
      <alignment wrapText="1"/>
    </xf>
    <xf numFmtId="44" fontId="84" fillId="0" borderId="8" xfId="4" applyNumberFormat="1" applyFont="1" applyFill="1" applyBorder="1" applyAlignment="1"/>
    <xf numFmtId="44" fontId="84" fillId="0" borderId="67" xfId="4" applyNumberFormat="1" applyFont="1" applyFill="1" applyBorder="1" applyAlignment="1">
      <alignment horizontal="right" wrapText="1"/>
    </xf>
    <xf numFmtId="44" fontId="86" fillId="30" borderId="8" xfId="4" applyNumberFormat="1" applyFont="1" applyFill="1" applyBorder="1" applyAlignment="1"/>
    <xf numFmtId="44" fontId="86" fillId="0" borderId="8" xfId="4" applyNumberFormat="1" applyFont="1" applyFill="1" applyBorder="1" applyAlignment="1"/>
    <xf numFmtId="44" fontId="86" fillId="0" borderId="15" xfId="4" applyNumberFormat="1" applyFont="1" applyFill="1" applyBorder="1" applyAlignment="1"/>
    <xf numFmtId="44" fontId="49" fillId="0" borderId="8" xfId="0" applyNumberFormat="1" applyFont="1" applyBorder="1"/>
    <xf numFmtId="0" fontId="85" fillId="0" borderId="1" xfId="0" applyFont="1" applyBorder="1" applyAlignment="1">
      <alignment horizontal="center" vertical="center" wrapText="1"/>
    </xf>
    <xf numFmtId="0" fontId="57" fillId="0" borderId="1" xfId="0" applyFont="1" applyBorder="1" applyAlignment="1">
      <alignment vertical="center" wrapText="1"/>
    </xf>
    <xf numFmtId="44" fontId="84" fillId="0" borderId="1" xfId="4" applyNumberFormat="1" applyFont="1" applyFill="1" applyBorder="1" applyAlignment="1">
      <alignment wrapText="1"/>
    </xf>
    <xf numFmtId="44" fontId="84" fillId="0" borderId="1" xfId="4" applyNumberFormat="1" applyFont="1" applyFill="1" applyBorder="1" applyAlignment="1"/>
    <xf numFmtId="44" fontId="84" fillId="0" borderId="68" xfId="4" applyNumberFormat="1" applyFont="1" applyFill="1" applyBorder="1" applyAlignment="1">
      <alignment horizontal="right" wrapText="1"/>
    </xf>
    <xf numFmtId="44" fontId="86" fillId="30" borderId="1" xfId="4" applyNumberFormat="1" applyFont="1" applyFill="1" applyBorder="1" applyAlignment="1"/>
    <xf numFmtId="44" fontId="86" fillId="0" borderId="1" xfId="4" applyNumberFormat="1" applyFont="1" applyFill="1" applyBorder="1" applyAlignment="1"/>
    <xf numFmtId="44" fontId="86" fillId="0" borderId="13" xfId="4" applyNumberFormat="1" applyFont="1" applyFill="1" applyBorder="1" applyAlignment="1"/>
    <xf numFmtId="44" fontId="49" fillId="0" borderId="1" xfId="0" applyNumberFormat="1" applyFont="1" applyBorder="1"/>
    <xf numFmtId="0" fontId="57" fillId="0" borderId="1" xfId="0" applyFont="1" applyBorder="1" applyAlignment="1">
      <alignment horizontal="left" vertical="center" wrapText="1"/>
    </xf>
    <xf numFmtId="44" fontId="84" fillId="0" borderId="1" xfId="4" applyNumberFormat="1" applyFont="1" applyFill="1" applyBorder="1" applyAlignment="1">
      <alignment horizontal="center" wrapText="1"/>
    </xf>
    <xf numFmtId="0" fontId="85" fillId="0" borderId="1" xfId="0" applyFont="1" applyBorder="1" applyAlignment="1">
      <alignment horizontal="center" wrapText="1"/>
    </xf>
    <xf numFmtId="0" fontId="57" fillId="0" borderId="1" xfId="0" applyFont="1" applyBorder="1" applyAlignment="1">
      <alignment wrapText="1"/>
    </xf>
    <xf numFmtId="44" fontId="56" fillId="0" borderId="1" xfId="4" applyNumberFormat="1" applyFont="1" applyFill="1" applyBorder="1" applyAlignment="1">
      <alignment wrapText="1"/>
    </xf>
    <xf numFmtId="44" fontId="56" fillId="0" borderId="1" xfId="4" applyNumberFormat="1" applyFont="1" applyFill="1" applyBorder="1" applyAlignment="1"/>
    <xf numFmtId="44" fontId="56" fillId="0" borderId="68" xfId="4" applyNumberFormat="1" applyFont="1" applyFill="1" applyBorder="1" applyAlignment="1">
      <alignment horizontal="right" wrapText="1"/>
    </xf>
    <xf numFmtId="44" fontId="56" fillId="30" borderId="1" xfId="4" applyNumberFormat="1" applyFont="1" applyFill="1" applyBorder="1" applyAlignment="1"/>
    <xf numFmtId="44" fontId="56" fillId="0" borderId="13" xfId="4" applyNumberFormat="1" applyFont="1" applyFill="1" applyBorder="1" applyAlignment="1"/>
    <xf numFmtId="44" fontId="73" fillId="36" borderId="1" xfId="0" applyNumberFormat="1" applyFont="1" applyFill="1" applyBorder="1"/>
    <xf numFmtId="0" fontId="88" fillId="0" borderId="0" xfId="0" applyFont="1" applyAlignment="1">
      <alignment wrapText="1"/>
    </xf>
    <xf numFmtId="14" fontId="88" fillId="0" borderId="0" xfId="0" applyNumberFormat="1" applyFont="1" applyAlignment="1">
      <alignment wrapText="1"/>
    </xf>
    <xf numFmtId="0" fontId="89" fillId="0" borderId="0" xfId="0" applyFont="1"/>
    <xf numFmtId="44" fontId="88" fillId="0" borderId="0" xfId="4" applyNumberFormat="1" applyFont="1" applyFill="1" applyBorder="1" applyAlignment="1">
      <alignment horizontal="right" wrapText="1"/>
    </xf>
    <xf numFmtId="0" fontId="88" fillId="0" borderId="0" xfId="0" applyFont="1"/>
    <xf numFmtId="9" fontId="49" fillId="0" borderId="1" xfId="0" applyNumberFormat="1" applyFont="1" applyBorder="1"/>
    <xf numFmtId="8" fontId="73" fillId="0" borderId="1" xfId="0" applyNumberFormat="1" applyFont="1" applyBorder="1"/>
    <xf numFmtId="43" fontId="3" fillId="0" borderId="1" xfId="11" applyFont="1" applyBorder="1" applyAlignment="1">
      <alignment horizontal="center" vertical="center"/>
    </xf>
    <xf numFmtId="9" fontId="3" fillId="0" borderId="0" xfId="0" applyNumberFormat="1" applyFont="1" applyAlignment="1">
      <alignment horizontal="center" vertical="center"/>
    </xf>
    <xf numFmtId="44" fontId="3" fillId="0" borderId="1" xfId="0" applyNumberFormat="1" applyFont="1" applyBorder="1" applyAlignment="1">
      <alignment horizontal="center" vertical="center"/>
    </xf>
    <xf numFmtId="165" fontId="32" fillId="32" borderId="9" xfId="4" applyFont="1" applyFill="1" applyBorder="1" applyAlignment="1">
      <alignment horizontal="left" vertical="center"/>
    </xf>
    <xf numFmtId="165" fontId="27" fillId="32" borderId="9" xfId="4" applyFont="1" applyFill="1" applyBorder="1" applyAlignment="1">
      <alignment horizontal="center" vertical="center"/>
    </xf>
    <xf numFmtId="0" fontId="3" fillId="32" borderId="3" xfId="0" applyFont="1" applyFill="1" applyBorder="1" applyAlignment="1">
      <alignment horizontal="left" vertical="center"/>
    </xf>
    <xf numFmtId="0" fontId="3" fillId="32" borderId="3" xfId="0" applyFont="1" applyFill="1" applyBorder="1" applyAlignment="1">
      <alignment horizontal="left" vertical="center" wrapText="1"/>
    </xf>
    <xf numFmtId="165" fontId="3" fillId="32" borderId="2" xfId="4" applyFont="1" applyFill="1" applyBorder="1" applyAlignment="1">
      <alignment horizontal="left" vertical="center"/>
    </xf>
    <xf numFmtId="165" fontId="3" fillId="32" borderId="2" xfId="4" applyFont="1" applyFill="1" applyBorder="1" applyAlignment="1">
      <alignment horizontal="center" vertical="center"/>
    </xf>
    <xf numFmtId="165" fontId="27" fillId="32" borderId="9" xfId="4" applyFont="1" applyFill="1" applyBorder="1" applyAlignment="1">
      <alignment horizontal="left" vertical="center"/>
    </xf>
    <xf numFmtId="0" fontId="3" fillId="32" borderId="4" xfId="0" applyFont="1" applyFill="1" applyBorder="1" applyAlignment="1">
      <alignment horizontal="left" vertical="center"/>
    </xf>
    <xf numFmtId="0" fontId="7" fillId="32" borderId="4" xfId="0" applyFont="1" applyFill="1" applyBorder="1" applyAlignment="1">
      <alignment horizontal="left" wrapText="1"/>
    </xf>
    <xf numFmtId="0" fontId="13" fillId="32" borderId="4" xfId="0" applyFont="1" applyFill="1" applyBorder="1" applyAlignment="1">
      <alignment horizontal="left" vertical="center" wrapText="1"/>
    </xf>
    <xf numFmtId="0" fontId="7" fillId="32" borderId="4" xfId="0" applyFont="1" applyFill="1" applyBorder="1" applyAlignment="1">
      <alignment horizontal="center" wrapText="1"/>
    </xf>
    <xf numFmtId="0" fontId="7" fillId="32" borderId="5" xfId="0" applyFont="1" applyFill="1" applyBorder="1" applyAlignment="1">
      <alignment horizontal="left"/>
    </xf>
    <xf numFmtId="166" fontId="7" fillId="32" borderId="3" xfId="4" applyNumberFormat="1" applyFont="1" applyFill="1" applyBorder="1" applyAlignment="1">
      <alignment horizontal="right"/>
    </xf>
    <xf numFmtId="0" fontId="11" fillId="12" borderId="57" xfId="0" applyFont="1" applyFill="1" applyBorder="1" applyAlignment="1">
      <alignment horizontal="center" vertical="center"/>
    </xf>
    <xf numFmtId="0" fontId="90" fillId="7" borderId="0" xfId="0" applyFont="1" applyFill="1" applyAlignment="1">
      <alignment horizontal="center"/>
    </xf>
    <xf numFmtId="0" fontId="90" fillId="7" borderId="0" xfId="0" applyFont="1" applyFill="1"/>
    <xf numFmtId="0" fontId="91" fillId="7" borderId="63" xfId="0" applyFont="1" applyFill="1" applyBorder="1"/>
    <xf numFmtId="0" fontId="91" fillId="7" borderId="63" xfId="0" applyFont="1" applyFill="1" applyBorder="1" applyAlignment="1">
      <alignment horizontal="center" vertical="center" wrapText="1"/>
    </xf>
    <xf numFmtId="0" fontId="90" fillId="7" borderId="0" xfId="0" applyFont="1" applyFill="1" applyAlignment="1">
      <alignment horizontal="center" vertical="center"/>
    </xf>
    <xf numFmtId="43" fontId="93" fillId="7" borderId="0" xfId="11" applyFont="1" applyFill="1"/>
    <xf numFmtId="0" fontId="90" fillId="7" borderId="69" xfId="0" applyFont="1" applyFill="1" applyBorder="1" applyAlignment="1">
      <alignment horizontal="left"/>
    </xf>
    <xf numFmtId="0" fontId="90" fillId="7" borderId="69" xfId="0" applyFont="1" applyFill="1" applyBorder="1" applyAlignment="1">
      <alignment horizontal="center"/>
    </xf>
    <xf numFmtId="43" fontId="90" fillId="7" borderId="0" xfId="11" applyFont="1" applyFill="1" applyBorder="1" applyAlignment="1">
      <alignment horizontal="center"/>
    </xf>
    <xf numFmtId="43" fontId="77" fillId="7" borderId="0" xfId="11" applyFont="1" applyFill="1"/>
    <xf numFmtId="0" fontId="91" fillId="7" borderId="0" xfId="0" applyFont="1" applyFill="1" applyAlignment="1">
      <alignment horizontal="left" vertical="center" wrapText="1"/>
    </xf>
    <xf numFmtId="0" fontId="90" fillId="7" borderId="0" xfId="0" applyFont="1" applyFill="1" applyAlignment="1">
      <alignment horizontal="left"/>
    </xf>
    <xf numFmtId="43" fontId="90" fillId="7" borderId="0" xfId="11" applyFont="1" applyFill="1" applyAlignment="1">
      <alignment horizontal="center"/>
    </xf>
    <xf numFmtId="0" fontId="91" fillId="7" borderId="69" xfId="0" applyFont="1" applyFill="1" applyBorder="1" applyAlignment="1">
      <alignment horizontal="left" vertical="center"/>
    </xf>
    <xf numFmtId="0" fontId="91" fillId="7" borderId="0" xfId="0" applyFont="1" applyFill="1" applyAlignment="1">
      <alignment horizontal="left" vertical="center"/>
    </xf>
    <xf numFmtId="0" fontId="91" fillId="7" borderId="63" xfId="0" applyFont="1" applyFill="1" applyBorder="1" applyAlignment="1">
      <alignment horizontal="left" vertical="center"/>
    </xf>
    <xf numFmtId="0" fontId="90" fillId="7" borderId="63" xfId="0" applyFont="1" applyFill="1" applyBorder="1" applyAlignment="1">
      <alignment horizontal="left"/>
    </xf>
    <xf numFmtId="0" fontId="90" fillId="7" borderId="63" xfId="0" applyFont="1" applyFill="1" applyBorder="1" applyAlignment="1">
      <alignment horizontal="center"/>
    </xf>
    <xf numFmtId="43" fontId="77" fillId="7" borderId="0" xfId="11" applyFont="1" applyFill="1" applyBorder="1"/>
    <xf numFmtId="2" fontId="93" fillId="7" borderId="63" xfId="11" applyNumberFormat="1" applyFont="1" applyFill="1" applyBorder="1" applyAlignment="1">
      <alignment horizontal="right"/>
    </xf>
    <xf numFmtId="0" fontId="91" fillId="7" borderId="63" xfId="0" applyFont="1" applyFill="1" applyBorder="1" applyAlignment="1">
      <alignment horizontal="center" vertical="center"/>
    </xf>
    <xf numFmtId="0" fontId="90" fillId="7" borderId="69" xfId="0" applyFont="1" applyFill="1" applyBorder="1"/>
    <xf numFmtId="43" fontId="90" fillId="7" borderId="0" xfId="11" applyFont="1" applyFill="1" applyBorder="1" applyAlignment="1">
      <alignment horizontal="center" vertical="center"/>
    </xf>
    <xf numFmtId="43" fontId="90" fillId="7" borderId="0" xfId="0" applyNumberFormat="1" applyFont="1" applyFill="1" applyAlignment="1">
      <alignment horizontal="center"/>
    </xf>
    <xf numFmtId="0" fontId="91" fillId="7" borderId="63" xfId="0" applyFont="1" applyFill="1" applyBorder="1" applyAlignment="1">
      <alignment vertical="center"/>
    </xf>
    <xf numFmtId="0" fontId="94" fillId="7" borderId="0" xfId="0" applyFont="1" applyFill="1" applyAlignment="1">
      <alignment horizontal="center"/>
    </xf>
    <xf numFmtId="44" fontId="11" fillId="2" borderId="0" xfId="0" applyNumberFormat="1" applyFont="1" applyFill="1" applyAlignment="1">
      <alignment vertical="center"/>
    </xf>
    <xf numFmtId="0" fontId="91" fillId="7" borderId="63" xfId="0" applyFont="1" applyFill="1" applyBorder="1" applyAlignment="1">
      <alignment horizontal="left" vertical="center" wrapText="1"/>
    </xf>
    <xf numFmtId="43" fontId="90" fillId="7" borderId="63" xfId="11" applyFont="1" applyFill="1" applyBorder="1" applyAlignment="1">
      <alignment horizontal="center"/>
    </xf>
    <xf numFmtId="0" fontId="90" fillId="7" borderId="63" xfId="0" applyFont="1" applyFill="1" applyBorder="1"/>
    <xf numFmtId="43" fontId="77" fillId="7" borderId="63" xfId="11" applyFont="1" applyFill="1" applyBorder="1"/>
    <xf numFmtId="43" fontId="90" fillId="7" borderId="69" xfId="11" applyFont="1" applyFill="1" applyBorder="1" applyAlignment="1">
      <alignment horizontal="center"/>
    </xf>
    <xf numFmtId="43" fontId="90" fillId="7" borderId="69" xfId="0" applyNumberFormat="1" applyFont="1" applyFill="1" applyBorder="1" applyAlignment="1">
      <alignment horizontal="center"/>
    </xf>
    <xf numFmtId="43" fontId="77" fillId="7" borderId="69" xfId="11" applyFont="1" applyFill="1" applyBorder="1"/>
    <xf numFmtId="0" fontId="90" fillId="7" borderId="0" xfId="0" applyFont="1" applyFill="1" applyAlignment="1">
      <alignment horizontal="center" wrapText="1"/>
    </xf>
    <xf numFmtId="43" fontId="90" fillId="7" borderId="0" xfId="11" applyFont="1" applyFill="1"/>
    <xf numFmtId="43" fontId="90" fillId="7" borderId="69" xfId="11" applyFont="1" applyFill="1" applyBorder="1"/>
    <xf numFmtId="43" fontId="90" fillId="7" borderId="0" xfId="11" applyFont="1" applyFill="1" applyBorder="1" applyAlignment="1">
      <alignment vertical="center"/>
    </xf>
    <xf numFmtId="43" fontId="90" fillId="7" borderId="69" xfId="11" applyFont="1" applyFill="1" applyBorder="1" applyAlignment="1">
      <alignment vertical="center"/>
    </xf>
    <xf numFmtId="43" fontId="93" fillId="7" borderId="63" xfId="11" applyFont="1" applyFill="1" applyBorder="1" applyAlignment="1">
      <alignment horizontal="right"/>
    </xf>
    <xf numFmtId="43" fontId="90" fillId="7" borderId="0" xfId="0" applyNumberFormat="1" applyFont="1" applyFill="1"/>
    <xf numFmtId="0" fontId="10" fillId="0" borderId="0" xfId="0" applyFont="1" applyAlignment="1">
      <alignment horizontal="center" vertical="center"/>
    </xf>
    <xf numFmtId="0" fontId="14" fillId="11" borderId="27" xfId="1" applyFont="1" applyFill="1" applyBorder="1" applyAlignment="1" applyProtection="1">
      <alignment horizontal="center" vertical="center" textRotation="90" wrapText="1"/>
      <protection locked="0" hidden="1"/>
    </xf>
    <xf numFmtId="0" fontId="14" fillId="11" borderId="25" xfId="1" applyFont="1" applyFill="1" applyBorder="1" applyAlignment="1" applyProtection="1">
      <alignment horizontal="center" vertical="center" textRotation="90" wrapText="1"/>
      <protection locked="0" hidden="1"/>
    </xf>
    <xf numFmtId="0" fontId="7" fillId="33" borderId="6" xfId="0" applyFont="1" applyFill="1" applyBorder="1" applyAlignment="1">
      <alignment horizontal="center"/>
    </xf>
    <xf numFmtId="49" fontId="7" fillId="33" borderId="1" xfId="0" applyNumberFormat="1" applyFont="1" applyFill="1" applyBorder="1" applyAlignment="1">
      <alignment horizontal="center"/>
    </xf>
    <xf numFmtId="49" fontId="7" fillId="33" borderId="15" xfId="0" applyNumberFormat="1" applyFont="1" applyFill="1" applyBorder="1" applyAlignment="1">
      <alignment horizontal="center"/>
    </xf>
    <xf numFmtId="0" fontId="7" fillId="33" borderId="2" xfId="0" applyFont="1" applyFill="1" applyBorder="1" applyAlignment="1">
      <alignment horizontal="center" vertical="center" wrapText="1"/>
    </xf>
    <xf numFmtId="0" fontId="7" fillId="33" borderId="4" xfId="0" applyFont="1" applyFill="1" applyBorder="1" applyAlignment="1">
      <alignment horizontal="left"/>
    </xf>
    <xf numFmtId="166" fontId="7" fillId="33" borderId="2" xfId="4" applyNumberFormat="1" applyFont="1" applyFill="1" applyBorder="1" applyAlignment="1">
      <alignment horizontal="right"/>
    </xf>
    <xf numFmtId="0" fontId="3" fillId="33" borderId="0" xfId="0" applyFont="1" applyFill="1"/>
    <xf numFmtId="166" fontId="11" fillId="2" borderId="0" xfId="0" applyNumberFormat="1" applyFont="1" applyFill="1"/>
    <xf numFmtId="44" fontId="14" fillId="0" borderId="0" xfId="0" applyNumberFormat="1" applyFont="1" applyAlignment="1">
      <alignment vertical="center"/>
    </xf>
    <xf numFmtId="0" fontId="3" fillId="13" borderId="0" xfId="0" applyFont="1" applyFill="1" applyAlignment="1">
      <alignment vertical="center"/>
    </xf>
    <xf numFmtId="165" fontId="7" fillId="13" borderId="9" xfId="4" applyFont="1" applyFill="1" applyBorder="1" applyAlignment="1">
      <alignment horizontal="right" vertical="center"/>
    </xf>
    <xf numFmtId="166" fontId="7" fillId="13" borderId="9" xfId="4" applyNumberFormat="1" applyFont="1" applyFill="1" applyBorder="1" applyAlignment="1">
      <alignment horizontal="right"/>
    </xf>
    <xf numFmtId="166" fontId="7" fillId="0" borderId="9" xfId="4" applyNumberFormat="1" applyFont="1" applyFill="1" applyBorder="1" applyAlignment="1">
      <alignment horizontal="right"/>
    </xf>
    <xf numFmtId="164" fontId="7" fillId="32" borderId="9" xfId="4" applyNumberFormat="1" applyFont="1" applyFill="1" applyBorder="1" applyAlignment="1">
      <alignment horizontal="right"/>
    </xf>
    <xf numFmtId="166" fontId="31" fillId="32" borderId="9" xfId="4" applyNumberFormat="1" applyFont="1" applyFill="1" applyBorder="1" applyAlignment="1">
      <alignment horizontal="right"/>
    </xf>
    <xf numFmtId="166" fontId="7" fillId="33" borderId="9" xfId="4" applyNumberFormat="1" applyFont="1" applyFill="1" applyBorder="1" applyAlignment="1">
      <alignment horizontal="right"/>
    </xf>
    <xf numFmtId="166" fontId="7" fillId="32" borderId="26" xfId="4" applyNumberFormat="1" applyFont="1" applyFill="1" applyBorder="1" applyAlignment="1">
      <alignment horizontal="right"/>
    </xf>
    <xf numFmtId="166" fontId="7" fillId="0" borderId="26" xfId="4" applyNumberFormat="1" applyFont="1" applyFill="1" applyBorder="1" applyAlignment="1">
      <alignment horizontal="right"/>
    </xf>
    <xf numFmtId="166" fontId="31" fillId="0" borderId="26" xfId="4" applyNumberFormat="1" applyFont="1" applyFill="1" applyBorder="1" applyAlignment="1">
      <alignment horizontal="right"/>
    </xf>
    <xf numFmtId="166" fontId="31" fillId="23" borderId="26" xfId="4" applyNumberFormat="1" applyFont="1" applyFill="1" applyBorder="1" applyAlignment="1">
      <alignment horizontal="right"/>
    </xf>
    <xf numFmtId="166" fontId="9" fillId="32" borderId="9" xfId="4" applyNumberFormat="1" applyFont="1" applyFill="1" applyBorder="1" applyAlignment="1">
      <alignment horizontal="right"/>
    </xf>
    <xf numFmtId="165" fontId="7" fillId="2" borderId="9" xfId="4" applyFont="1" applyFill="1" applyBorder="1" applyAlignment="1">
      <alignment horizontal="right" vertical="center"/>
    </xf>
    <xf numFmtId="165" fontId="7" fillId="7" borderId="9" xfId="4" applyFont="1" applyFill="1" applyBorder="1" applyAlignment="1">
      <alignment horizontal="right" vertical="center"/>
    </xf>
    <xf numFmtId="165" fontId="7" fillId="2" borderId="26" xfId="4" applyFont="1" applyFill="1" applyBorder="1" applyAlignment="1">
      <alignment horizontal="right" vertical="center"/>
    </xf>
    <xf numFmtId="166" fontId="17" fillId="13" borderId="23" xfId="1" applyNumberFormat="1" applyFont="1" applyFill="1" applyBorder="1" applyAlignment="1">
      <alignment horizontal="center"/>
    </xf>
    <xf numFmtId="0" fontId="7" fillId="32" borderId="71" xfId="0" applyFont="1" applyFill="1" applyBorder="1" applyAlignment="1">
      <alignment horizontal="left" vertical="center"/>
    </xf>
    <xf numFmtId="165" fontId="7" fillId="32" borderId="1" xfId="4" applyFont="1" applyFill="1" applyBorder="1" applyAlignment="1">
      <alignment horizontal="right" vertical="center"/>
    </xf>
    <xf numFmtId="0" fontId="0" fillId="7" borderId="0" xfId="0" applyFill="1"/>
    <xf numFmtId="0" fontId="95" fillId="7" borderId="21" xfId="0" applyFont="1" applyFill="1" applyBorder="1" applyAlignment="1">
      <alignment horizontal="left" vertical="center" wrapText="1"/>
    </xf>
    <xf numFmtId="0" fontId="95" fillId="7" borderId="23" xfId="0" applyFont="1" applyFill="1" applyBorder="1" applyAlignment="1">
      <alignment horizontal="center" vertical="center" wrapText="1"/>
    </xf>
    <xf numFmtId="49" fontId="95" fillId="7" borderId="23" xfId="0" applyNumberFormat="1" applyFont="1" applyFill="1" applyBorder="1" applyAlignment="1">
      <alignment horizontal="center" vertical="center" wrapText="1"/>
    </xf>
    <xf numFmtId="0" fontId="95" fillId="7" borderId="23" xfId="0" applyFont="1" applyFill="1" applyBorder="1" applyAlignment="1">
      <alignment horizontal="left" vertical="center" wrapText="1"/>
    </xf>
    <xf numFmtId="44" fontId="95" fillId="7" borderId="23" xfId="0" applyNumberFormat="1" applyFont="1" applyFill="1" applyBorder="1" applyAlignment="1">
      <alignment horizontal="center" vertical="center" wrapText="1"/>
    </xf>
    <xf numFmtId="0" fontId="96" fillId="7" borderId="8" xfId="0" applyFont="1" applyFill="1" applyBorder="1" applyAlignment="1">
      <alignment horizontal="left" vertical="center" wrapText="1"/>
    </xf>
    <xf numFmtId="49" fontId="90" fillId="7" borderId="8" xfId="0" applyNumberFormat="1" applyFont="1" applyFill="1" applyBorder="1" applyAlignment="1">
      <alignment horizontal="center" vertical="center" wrapText="1"/>
    </xf>
    <xf numFmtId="0" fontId="90" fillId="7" borderId="8" xfId="0" applyFont="1" applyFill="1" applyBorder="1" applyAlignment="1">
      <alignment horizontal="left" vertical="center" wrapText="1"/>
    </xf>
    <xf numFmtId="44" fontId="90" fillId="7" borderId="8" xfId="0" applyNumberFormat="1" applyFont="1" applyFill="1" applyBorder="1" applyAlignment="1">
      <alignment horizontal="center" vertical="center" wrapText="1"/>
    </xf>
    <xf numFmtId="49" fontId="90" fillId="7" borderId="1" xfId="0" applyNumberFormat="1" applyFont="1" applyFill="1" applyBorder="1" applyAlignment="1">
      <alignment horizontal="center" vertical="center" wrapText="1"/>
    </xf>
    <xf numFmtId="44" fontId="90" fillId="7" borderId="1" xfId="0" applyNumberFormat="1" applyFont="1" applyFill="1" applyBorder="1" applyAlignment="1">
      <alignment horizontal="center" vertical="center" wrapText="1"/>
    </xf>
    <xf numFmtId="44" fontId="0" fillId="7" borderId="0" xfId="0" applyNumberFormat="1" applyFill="1"/>
    <xf numFmtId="0" fontId="90" fillId="7" borderId="8" xfId="0" applyFont="1" applyFill="1" applyBorder="1" applyAlignment="1">
      <alignment vertical="center" wrapText="1"/>
    </xf>
    <xf numFmtId="49" fontId="90" fillId="7" borderId="8" xfId="0" applyNumberFormat="1" applyFont="1" applyFill="1" applyBorder="1" applyAlignment="1">
      <alignment horizontal="center" vertical="center"/>
    </xf>
    <xf numFmtId="0" fontId="90" fillId="7" borderId="8" xfId="0" applyFont="1" applyFill="1" applyBorder="1" applyAlignment="1">
      <alignment horizontal="center" vertical="center"/>
    </xf>
    <xf numFmtId="44" fontId="90" fillId="7" borderId="8" xfId="0" applyNumberFormat="1" applyFont="1" applyFill="1" applyBorder="1" applyAlignment="1">
      <alignment vertical="center"/>
    </xf>
    <xf numFmtId="0" fontId="90" fillId="7" borderId="1" xfId="0" applyFont="1" applyFill="1" applyBorder="1" applyAlignment="1">
      <alignment horizontal="center" vertical="center" wrapText="1"/>
    </xf>
    <xf numFmtId="0" fontId="96" fillId="7" borderId="8" xfId="0" applyFont="1" applyFill="1" applyBorder="1" applyAlignment="1">
      <alignment horizontal="center" vertical="center" wrapText="1"/>
    </xf>
    <xf numFmtId="49" fontId="96" fillId="7" borderId="8" xfId="0" applyNumberFormat="1" applyFont="1" applyFill="1" applyBorder="1" applyAlignment="1">
      <alignment horizontal="center" vertical="center" wrapText="1"/>
    </xf>
    <xf numFmtId="44" fontId="90" fillId="7" borderId="1" xfId="0" applyNumberFormat="1" applyFont="1" applyFill="1" applyBorder="1" applyAlignment="1">
      <alignment vertical="center" wrapText="1"/>
    </xf>
    <xf numFmtId="0" fontId="95" fillId="7" borderId="18" xfId="0" applyFont="1" applyFill="1" applyBorder="1" applyAlignment="1">
      <alignment horizontal="center" vertical="center" wrapText="1"/>
    </xf>
    <xf numFmtId="0" fontId="95" fillId="7" borderId="19" xfId="0" applyFont="1" applyFill="1" applyBorder="1" applyAlignment="1">
      <alignment horizontal="center" vertical="center" wrapText="1"/>
    </xf>
    <xf numFmtId="0" fontId="90" fillId="7" borderId="8" xfId="0" applyFont="1" applyFill="1" applyBorder="1" applyAlignment="1">
      <alignment horizontal="center" vertical="center" wrapText="1"/>
    </xf>
    <xf numFmtId="49" fontId="95" fillId="7" borderId="19" xfId="0" applyNumberFormat="1" applyFont="1" applyFill="1" applyBorder="1" applyAlignment="1">
      <alignment horizontal="center" vertical="center" wrapText="1"/>
    </xf>
    <xf numFmtId="44" fontId="95" fillId="7" borderId="20" xfId="0" applyNumberFormat="1" applyFont="1" applyFill="1" applyBorder="1" applyAlignment="1">
      <alignment horizontal="center" vertical="center" wrapText="1"/>
    </xf>
    <xf numFmtId="0" fontId="96" fillId="7" borderId="46" xfId="0" applyFont="1" applyFill="1" applyBorder="1" applyAlignment="1">
      <alignment horizontal="center" vertical="center" wrapText="1"/>
    </xf>
    <xf numFmtId="49" fontId="96" fillId="7" borderId="46" xfId="0" applyNumberFormat="1" applyFont="1" applyFill="1" applyBorder="1" applyAlignment="1">
      <alignment horizontal="center" vertical="center" wrapText="1"/>
    </xf>
    <xf numFmtId="0" fontId="96" fillId="7" borderId="46" xfId="0" applyFont="1" applyFill="1" applyBorder="1" applyAlignment="1">
      <alignment horizontal="left" vertical="center" wrapText="1"/>
    </xf>
    <xf numFmtId="44" fontId="96" fillId="7" borderId="46" xfId="0" applyNumberFormat="1" applyFont="1" applyFill="1" applyBorder="1" applyAlignment="1">
      <alignment horizontal="center" vertical="center" wrapText="1"/>
    </xf>
    <xf numFmtId="44" fontId="96" fillId="7" borderId="8" xfId="0" applyNumberFormat="1" applyFont="1" applyFill="1" applyBorder="1" applyAlignment="1">
      <alignment horizontal="center" vertical="center" wrapText="1"/>
    </xf>
    <xf numFmtId="0" fontId="96" fillId="7" borderId="1" xfId="0" applyFont="1" applyFill="1" applyBorder="1" applyAlignment="1">
      <alignment horizontal="center" vertical="center" wrapText="1"/>
    </xf>
    <xf numFmtId="49" fontId="96" fillId="7" borderId="1" xfId="0" applyNumberFormat="1" applyFont="1" applyFill="1" applyBorder="1" applyAlignment="1">
      <alignment horizontal="center" vertical="center" wrapText="1"/>
    </xf>
    <xf numFmtId="0" fontId="96" fillId="7" borderId="1" xfId="0" applyFont="1" applyFill="1" applyBorder="1" applyAlignment="1">
      <alignment horizontal="left" vertical="center" wrapText="1"/>
    </xf>
    <xf numFmtId="44" fontId="96" fillId="7" borderId="1" xfId="0" applyNumberFormat="1" applyFont="1" applyFill="1" applyBorder="1" applyAlignment="1">
      <alignment horizontal="center" vertical="center" wrapText="1"/>
    </xf>
    <xf numFmtId="0" fontId="96" fillId="7" borderId="15" xfId="0" applyFont="1" applyFill="1" applyBorder="1" applyAlignment="1">
      <alignment horizontal="left" vertical="center" wrapText="1"/>
    </xf>
    <xf numFmtId="0" fontId="90" fillId="7" borderId="15" xfId="0" applyFont="1" applyFill="1" applyBorder="1" applyAlignment="1">
      <alignment horizontal="center" vertical="center" wrapText="1"/>
    </xf>
    <xf numFmtId="0" fontId="95" fillId="7" borderId="35" xfId="0" applyFont="1" applyFill="1" applyBorder="1" applyAlignment="1">
      <alignment horizontal="center" vertical="center" wrapText="1"/>
    </xf>
    <xf numFmtId="49" fontId="95" fillId="7" borderId="61" xfId="0" applyNumberFormat="1" applyFont="1" applyFill="1" applyBorder="1" applyAlignment="1">
      <alignment horizontal="center" vertical="center" wrapText="1"/>
    </xf>
    <xf numFmtId="0" fontId="95" fillId="7" borderId="61" xfId="0" applyFont="1" applyFill="1" applyBorder="1" applyAlignment="1">
      <alignment horizontal="center" vertical="center" wrapText="1"/>
    </xf>
    <xf numFmtId="0" fontId="95" fillId="7" borderId="43" xfId="0" applyFont="1" applyFill="1" applyBorder="1" applyAlignment="1">
      <alignment horizontal="left" vertical="center" wrapText="1"/>
    </xf>
    <xf numFmtId="44" fontId="95" fillId="7" borderId="64" xfId="0" applyNumberFormat="1" applyFont="1" applyFill="1" applyBorder="1" applyAlignment="1">
      <alignment horizontal="center" vertical="center" wrapText="1"/>
    </xf>
    <xf numFmtId="0" fontId="90" fillId="7" borderId="46" xfId="0" applyFont="1" applyFill="1" applyBorder="1" applyAlignment="1">
      <alignment horizontal="left" vertical="center" wrapText="1"/>
    </xf>
    <xf numFmtId="49" fontId="90" fillId="7" borderId="46" xfId="0" applyNumberFormat="1" applyFont="1" applyFill="1" applyBorder="1" applyAlignment="1">
      <alignment horizontal="center" vertical="center" wrapText="1"/>
    </xf>
    <xf numFmtId="0" fontId="90" fillId="7" borderId="46" xfId="0" applyFont="1" applyFill="1" applyBorder="1" applyAlignment="1">
      <alignment horizontal="center" vertical="center" wrapText="1"/>
    </xf>
    <xf numFmtId="0" fontId="90" fillId="7" borderId="49" xfId="0" applyFont="1" applyFill="1" applyBorder="1" applyAlignment="1">
      <alignment horizontal="center" vertical="center" wrapText="1"/>
    </xf>
    <xf numFmtId="44" fontId="90" fillId="7" borderId="46" xfId="0" applyNumberFormat="1" applyFont="1" applyFill="1" applyBorder="1" applyAlignment="1">
      <alignment horizontal="center" vertical="center" wrapText="1"/>
    </xf>
    <xf numFmtId="0" fontId="96" fillId="7" borderId="61" xfId="0" applyFont="1" applyFill="1" applyBorder="1" applyAlignment="1">
      <alignment horizontal="center" vertical="center" wrapText="1"/>
    </xf>
    <xf numFmtId="0" fontId="96" fillId="7" borderId="11" xfId="0" applyFont="1" applyFill="1" applyBorder="1" applyAlignment="1">
      <alignment horizontal="center" vertical="center" wrapText="1"/>
    </xf>
    <xf numFmtId="0" fontId="90" fillId="7" borderId="1" xfId="0" applyFont="1" applyFill="1" applyBorder="1" applyAlignment="1">
      <alignment horizontal="left" vertical="center" wrapText="1"/>
    </xf>
    <xf numFmtId="0" fontId="96" fillId="7" borderId="28" xfId="0" applyFont="1" applyFill="1" applyBorder="1" applyAlignment="1">
      <alignment horizontal="center" vertical="center" wrapText="1"/>
    </xf>
    <xf numFmtId="0" fontId="90" fillId="7" borderId="8" xfId="0" applyFont="1" applyFill="1" applyBorder="1" applyAlignment="1">
      <alignment horizontal="left" vertical="top" wrapText="1"/>
    </xf>
    <xf numFmtId="0" fontId="90" fillId="7" borderId="1" xfId="0" applyFont="1" applyFill="1" applyBorder="1" applyAlignment="1">
      <alignment vertical="center" wrapText="1"/>
    </xf>
    <xf numFmtId="44" fontId="95" fillId="7" borderId="31" xfId="0" applyNumberFormat="1" applyFont="1" applyFill="1" applyBorder="1" applyAlignment="1">
      <alignment horizontal="center" vertical="center" wrapText="1"/>
    </xf>
    <xf numFmtId="44" fontId="95" fillId="7" borderId="55" xfId="0" applyNumberFormat="1" applyFont="1" applyFill="1" applyBorder="1" applyAlignment="1">
      <alignment horizontal="center" vertical="center" wrapText="1"/>
    </xf>
    <xf numFmtId="44" fontId="90" fillId="7" borderId="15" xfId="0" applyNumberFormat="1" applyFont="1" applyFill="1" applyBorder="1" applyAlignment="1">
      <alignment horizontal="center" vertical="center" wrapText="1"/>
    </xf>
    <xf numFmtId="44" fontId="90" fillId="7" borderId="13" xfId="0" applyNumberFormat="1" applyFont="1" applyFill="1" applyBorder="1" applyAlignment="1">
      <alignment horizontal="center" vertical="center" wrapText="1"/>
    </xf>
    <xf numFmtId="44" fontId="90" fillId="7" borderId="16" xfId="0" applyNumberFormat="1" applyFont="1" applyFill="1" applyBorder="1" applyAlignment="1">
      <alignment horizontal="center" vertical="center" wrapText="1"/>
    </xf>
    <xf numFmtId="44" fontId="79" fillId="7" borderId="1" xfId="0" applyNumberFormat="1" applyFont="1" applyFill="1" applyBorder="1"/>
    <xf numFmtId="0" fontId="0" fillId="7" borderId="1" xfId="0" applyFill="1" applyBorder="1"/>
    <xf numFmtId="44" fontId="11" fillId="7" borderId="1" xfId="0" applyNumberFormat="1" applyFont="1" applyFill="1" applyBorder="1"/>
    <xf numFmtId="165" fontId="79" fillId="7" borderId="1" xfId="0" applyNumberFormat="1" applyFont="1" applyFill="1" applyBorder="1"/>
    <xf numFmtId="44" fontId="95" fillId="7" borderId="9" xfId="0" applyNumberFormat="1" applyFont="1" applyFill="1" applyBorder="1" applyAlignment="1">
      <alignment horizontal="center" vertical="center" wrapText="1"/>
    </xf>
    <xf numFmtId="0" fontId="79" fillId="7" borderId="1" xfId="0" applyFont="1" applyFill="1" applyBorder="1" applyAlignment="1">
      <alignment vertical="center"/>
    </xf>
    <xf numFmtId="165" fontId="79" fillId="7" borderId="1" xfId="0" applyNumberFormat="1" applyFont="1" applyFill="1" applyBorder="1" applyAlignment="1">
      <alignment vertical="center"/>
    </xf>
    <xf numFmtId="44" fontId="95" fillId="7" borderId="3" xfId="0" applyNumberFormat="1" applyFont="1" applyFill="1" applyBorder="1" applyAlignment="1">
      <alignment horizontal="center" vertical="center" wrapText="1"/>
    </xf>
    <xf numFmtId="0" fontId="99" fillId="7" borderId="1" xfId="0" applyFont="1" applyFill="1" applyBorder="1" applyAlignment="1">
      <alignment vertical="center"/>
    </xf>
    <xf numFmtId="165" fontId="99" fillId="7" borderId="1" xfId="4" applyFont="1" applyFill="1" applyBorder="1" applyAlignment="1">
      <alignment vertical="center"/>
    </xf>
    <xf numFmtId="44" fontId="99" fillId="7" borderId="1" xfId="0" applyNumberFormat="1" applyFont="1" applyFill="1" applyBorder="1" applyAlignment="1">
      <alignment vertical="center"/>
    </xf>
    <xf numFmtId="44" fontId="99" fillId="7" borderId="1" xfId="0" applyNumberFormat="1" applyFont="1" applyFill="1" applyBorder="1"/>
    <xf numFmtId="0" fontId="99" fillId="7" borderId="1" xfId="0" applyFont="1" applyFill="1" applyBorder="1"/>
    <xf numFmtId="165" fontId="99" fillId="7" borderId="1" xfId="0" applyNumberFormat="1" applyFont="1" applyFill="1" applyBorder="1"/>
    <xf numFmtId="44" fontId="95" fillId="7" borderId="0" xfId="0" applyNumberFormat="1" applyFont="1" applyFill="1" applyAlignment="1">
      <alignment horizontal="center" vertical="center" wrapText="1"/>
    </xf>
    <xf numFmtId="0" fontId="12" fillId="7" borderId="0" xfId="0" applyFont="1" applyFill="1" applyAlignment="1">
      <alignment horizontal="center"/>
    </xf>
    <xf numFmtId="44" fontId="95" fillId="7" borderId="17" xfId="0" applyNumberFormat="1" applyFont="1" applyFill="1" applyBorder="1" applyAlignment="1">
      <alignment horizontal="center" vertical="center" wrapText="1"/>
    </xf>
    <xf numFmtId="44" fontId="95" fillId="7" borderId="27" xfId="0" applyNumberFormat="1" applyFont="1" applyFill="1" applyBorder="1" applyAlignment="1">
      <alignment horizontal="center" vertical="center" wrapText="1"/>
    </xf>
    <xf numFmtId="44" fontId="0" fillId="7" borderId="1" xfId="0" applyNumberFormat="1" applyFill="1" applyBorder="1"/>
    <xf numFmtId="44" fontId="95" fillId="7" borderId="48" xfId="0" applyNumberFormat="1" applyFont="1" applyFill="1" applyBorder="1" applyAlignment="1">
      <alignment horizontal="center" vertical="center" wrapText="1"/>
    </xf>
    <xf numFmtId="44" fontId="95" fillId="7" borderId="39" xfId="0" applyNumberFormat="1" applyFont="1" applyFill="1" applyBorder="1" applyAlignment="1">
      <alignment horizontal="center" vertical="center" wrapText="1"/>
    </xf>
    <xf numFmtId="44" fontId="90" fillId="7" borderId="28" xfId="0" applyNumberFormat="1" applyFont="1" applyFill="1" applyBorder="1" applyAlignment="1">
      <alignment vertical="center"/>
    </xf>
    <xf numFmtId="44" fontId="90" fillId="7" borderId="11" xfId="0" applyNumberFormat="1" applyFont="1" applyFill="1" applyBorder="1" applyAlignment="1">
      <alignment horizontal="center" vertical="center" wrapText="1"/>
    </xf>
    <xf numFmtId="44" fontId="102" fillId="7" borderId="23" xfId="0" applyNumberFormat="1" applyFont="1" applyFill="1" applyBorder="1" applyAlignment="1">
      <alignment horizontal="center" vertical="center" wrapText="1"/>
    </xf>
    <xf numFmtId="44" fontId="0" fillId="7" borderId="14" xfId="0" applyNumberFormat="1" applyFill="1" applyBorder="1"/>
    <xf numFmtId="165" fontId="79" fillId="7" borderId="0" xfId="0" applyNumberFormat="1" applyFont="1" applyFill="1"/>
    <xf numFmtId="44" fontId="7" fillId="7" borderId="0" xfId="0" applyNumberFormat="1" applyFont="1" applyFill="1"/>
    <xf numFmtId="0" fontId="7" fillId="7" borderId="1" xfId="0" applyFont="1" applyFill="1" applyBorder="1"/>
    <xf numFmtId="44" fontId="95" fillId="7" borderId="12" xfId="0" applyNumberFormat="1" applyFont="1" applyFill="1" applyBorder="1" applyAlignment="1">
      <alignment horizontal="center" vertical="center" wrapText="1"/>
    </xf>
    <xf numFmtId="165" fontId="101" fillId="7" borderId="1" xfId="4" applyFont="1" applyFill="1" applyBorder="1"/>
    <xf numFmtId="44" fontId="99" fillId="7" borderId="0" xfId="0" applyNumberFormat="1" applyFont="1" applyFill="1"/>
    <xf numFmtId="1" fontId="95" fillId="7" borderId="23" xfId="0" applyNumberFormat="1" applyFont="1" applyFill="1" applyBorder="1" applyAlignment="1">
      <alignment horizontal="center" vertical="center" wrapText="1"/>
    </xf>
    <xf numFmtId="44" fontId="99" fillId="7" borderId="23" xfId="0" applyNumberFormat="1" applyFont="1" applyFill="1" applyBorder="1"/>
    <xf numFmtId="0" fontId="7" fillId="7" borderId="0" xfId="0" applyFont="1" applyFill="1"/>
    <xf numFmtId="44" fontId="103" fillId="7" borderId="55" xfId="0" applyNumberFormat="1" applyFont="1" applyFill="1" applyBorder="1" applyAlignment="1">
      <alignment horizontal="center" vertical="center" wrapText="1"/>
    </xf>
    <xf numFmtId="44" fontId="103" fillId="7" borderId="3" xfId="0" applyNumberFormat="1" applyFont="1" applyFill="1" applyBorder="1" applyAlignment="1">
      <alignment horizontal="center" vertical="center" wrapText="1"/>
    </xf>
    <xf numFmtId="44" fontId="102" fillId="7" borderId="0" xfId="0" applyNumberFormat="1" applyFont="1" applyFill="1" applyAlignment="1">
      <alignment horizontal="center" vertical="center" wrapText="1"/>
    </xf>
    <xf numFmtId="44" fontId="99" fillId="7" borderId="0" xfId="0" applyNumberFormat="1" applyFont="1" applyFill="1" applyAlignment="1">
      <alignment horizontal="center"/>
    </xf>
    <xf numFmtId="44" fontId="103" fillId="7" borderId="27" xfId="0" applyNumberFormat="1" applyFont="1" applyFill="1" applyBorder="1" applyAlignment="1">
      <alignment horizontal="center" vertical="center" wrapText="1"/>
    </xf>
    <xf numFmtId="165" fontId="99" fillId="7" borderId="0" xfId="0" applyNumberFormat="1" applyFont="1" applyFill="1"/>
    <xf numFmtId="165" fontId="99" fillId="7" borderId="1" xfId="4" applyFont="1" applyFill="1" applyBorder="1"/>
    <xf numFmtId="0" fontId="104" fillId="0" borderId="1" xfId="0" applyFont="1" applyBorder="1" applyAlignment="1">
      <alignment horizontal="center" vertical="center" wrapText="1"/>
    </xf>
    <xf numFmtId="49" fontId="104" fillId="0" borderId="1" xfId="0" applyNumberFormat="1" applyFont="1" applyBorder="1" applyAlignment="1">
      <alignment horizontal="center" vertical="center" wrapText="1"/>
    </xf>
    <xf numFmtId="0" fontId="105" fillId="0" borderId="1" xfId="0" applyFont="1" applyBorder="1" applyAlignment="1">
      <alignment vertical="center" wrapText="1"/>
    </xf>
    <xf numFmtId="0" fontId="104" fillId="0" borderId="1" xfId="0" applyFont="1" applyBorder="1" applyAlignment="1">
      <alignment horizontal="left" vertical="center" wrapText="1"/>
    </xf>
    <xf numFmtId="44" fontId="104" fillId="0" borderId="1" xfId="0" applyNumberFormat="1" applyFont="1" applyBorder="1" applyAlignment="1">
      <alignment horizontal="center" vertical="center" wrapText="1"/>
    </xf>
    <xf numFmtId="0" fontId="105" fillId="0" borderId="1" xfId="0" applyFont="1" applyBorder="1" applyAlignment="1">
      <alignment horizontal="left" vertical="center" wrapText="1"/>
    </xf>
    <xf numFmtId="49" fontId="105" fillId="0" borderId="1" xfId="0" applyNumberFormat="1" applyFont="1" applyBorder="1" applyAlignment="1">
      <alignment horizontal="center" vertical="center" wrapText="1"/>
    </xf>
    <xf numFmtId="44" fontId="105" fillId="0" borderId="1" xfId="0" applyNumberFormat="1" applyFont="1" applyBorder="1" applyAlignment="1">
      <alignment horizontal="center" vertical="center" wrapText="1"/>
    </xf>
    <xf numFmtId="165" fontId="17" fillId="13" borderId="23" xfId="4" applyFont="1" applyFill="1" applyBorder="1" applyAlignment="1">
      <alignment horizontal="right"/>
    </xf>
    <xf numFmtId="0" fontId="14" fillId="11" borderId="55" xfId="1" applyFont="1" applyFill="1" applyBorder="1" applyAlignment="1" applyProtection="1">
      <alignment vertical="center" textRotation="45" wrapText="1"/>
      <protection locked="0" hidden="1"/>
    </xf>
    <xf numFmtId="0" fontId="11" fillId="15" borderId="22" xfId="0" applyFont="1" applyFill="1" applyBorder="1" applyAlignment="1">
      <alignment horizontal="center" vertical="center"/>
    </xf>
    <xf numFmtId="165" fontId="11" fillId="11" borderId="27" xfId="4" applyFont="1" applyFill="1" applyBorder="1" applyAlignment="1" applyProtection="1">
      <alignment horizontal="center" vertical="center" textRotation="45" wrapText="1"/>
      <protection locked="0" hidden="1"/>
    </xf>
    <xf numFmtId="165" fontId="11" fillId="11" borderId="25" xfId="4" applyFont="1" applyFill="1" applyBorder="1" applyAlignment="1" applyProtection="1">
      <alignment horizontal="center" vertical="center" textRotation="45" wrapText="1"/>
      <protection locked="0" hidden="1"/>
    </xf>
    <xf numFmtId="0" fontId="93" fillId="7" borderId="0" xfId="0" applyFont="1" applyFill="1" applyAlignment="1">
      <alignment horizontal="left" vertical="center"/>
    </xf>
    <xf numFmtId="0" fontId="92" fillId="7" borderId="0" xfId="0" applyFont="1" applyFill="1" applyAlignment="1">
      <alignment horizontal="left"/>
    </xf>
    <xf numFmtId="0" fontId="92" fillId="7" borderId="0" xfId="0" applyFont="1" applyFill="1" applyAlignment="1">
      <alignment horizontal="center"/>
    </xf>
    <xf numFmtId="43" fontId="92" fillId="7" borderId="0" xfId="11" applyFont="1" applyFill="1" applyBorder="1" applyAlignment="1">
      <alignment horizontal="center"/>
    </xf>
    <xf numFmtId="0" fontId="92" fillId="7" borderId="0" xfId="0" applyFont="1" applyFill="1"/>
    <xf numFmtId="43" fontId="92" fillId="7" borderId="0" xfId="11" applyFont="1" applyFill="1" applyBorder="1"/>
    <xf numFmtId="0" fontId="91" fillId="7" borderId="0" xfId="0" applyFont="1" applyFill="1" applyAlignment="1">
      <alignment horizontal="center" vertical="center" wrapText="1"/>
    </xf>
    <xf numFmtId="43" fontId="93" fillId="7" borderId="0" xfId="11" applyFont="1" applyFill="1" applyBorder="1" applyAlignment="1">
      <alignment horizontal="right"/>
    </xf>
    <xf numFmtId="43" fontId="90" fillId="7" borderId="0" xfId="11" applyFont="1" applyFill="1" applyBorder="1"/>
    <xf numFmtId="43" fontId="90" fillId="7" borderId="63" xfId="0" applyNumberFormat="1" applyFont="1" applyFill="1" applyBorder="1"/>
    <xf numFmtId="43" fontId="90" fillId="7" borderId="63" xfId="11" applyFont="1" applyFill="1" applyBorder="1"/>
    <xf numFmtId="43" fontId="93" fillId="7" borderId="69" xfId="11" applyFont="1" applyFill="1" applyBorder="1" applyAlignment="1">
      <alignment horizontal="right"/>
    </xf>
    <xf numFmtId="43" fontId="92" fillId="7" borderId="63" xfId="0" applyNumberFormat="1" applyFont="1" applyFill="1" applyBorder="1"/>
    <xf numFmtId="43" fontId="92" fillId="7" borderId="63" xfId="11" applyFont="1" applyFill="1" applyBorder="1"/>
    <xf numFmtId="43" fontId="7" fillId="32" borderId="1" xfId="0" applyNumberFormat="1" applyFont="1" applyFill="1" applyBorder="1" applyAlignment="1">
      <alignment vertical="center"/>
    </xf>
    <xf numFmtId="165" fontId="22" fillId="7" borderId="9" xfId="4" applyFont="1" applyFill="1" applyBorder="1" applyAlignment="1">
      <alignment horizontal="center" vertical="center"/>
    </xf>
    <xf numFmtId="165" fontId="23" fillId="7" borderId="9" xfId="4" applyFont="1" applyFill="1" applyBorder="1" applyAlignment="1">
      <alignment horizontal="center" vertical="center"/>
    </xf>
    <xf numFmtId="0" fontId="3" fillId="7" borderId="0" xfId="0" applyFont="1" applyFill="1" applyAlignment="1">
      <alignment vertical="center"/>
    </xf>
    <xf numFmtId="172" fontId="22" fillId="7" borderId="71" xfId="0" applyNumberFormat="1" applyFont="1" applyFill="1" applyBorder="1"/>
    <xf numFmtId="0" fontId="3" fillId="37" borderId="3" xfId="0" applyFont="1" applyFill="1" applyBorder="1" applyAlignment="1">
      <alignment horizontal="left" vertical="center"/>
    </xf>
    <xf numFmtId="0" fontId="3" fillId="37" borderId="3" xfId="0" applyFont="1" applyFill="1" applyBorder="1" applyAlignment="1">
      <alignment horizontal="left" vertical="center" wrapText="1"/>
    </xf>
    <xf numFmtId="165" fontId="23" fillId="37" borderId="9" xfId="4" applyFont="1" applyFill="1" applyBorder="1" applyAlignment="1">
      <alignment horizontal="center" vertical="center"/>
    </xf>
    <xf numFmtId="0" fontId="3" fillId="37" borderId="0" xfId="0" applyFont="1" applyFill="1" applyAlignment="1">
      <alignment vertical="center"/>
    </xf>
    <xf numFmtId="165" fontId="11" fillId="37" borderId="9" xfId="4" applyFont="1" applyFill="1" applyBorder="1" applyAlignment="1">
      <alignment horizontal="left" vertical="center"/>
    </xf>
    <xf numFmtId="172" fontId="11" fillId="37" borderId="1" xfId="0" applyNumberFormat="1" applyFont="1" applyFill="1" applyBorder="1"/>
    <xf numFmtId="165" fontId="11" fillId="37" borderId="9" xfId="4" applyFont="1" applyFill="1" applyBorder="1" applyAlignment="1">
      <alignment horizontal="center" vertical="center"/>
    </xf>
    <xf numFmtId="165" fontId="17" fillId="38" borderId="23" xfId="4" applyFont="1" applyFill="1" applyBorder="1" applyAlignment="1">
      <alignment horizontal="right"/>
    </xf>
    <xf numFmtId="0" fontId="11" fillId="7" borderId="0" xfId="0" applyFont="1" applyFill="1"/>
    <xf numFmtId="0" fontId="11" fillId="7" borderId="1" xfId="0" applyFont="1" applyFill="1" applyBorder="1" applyAlignment="1">
      <alignment horizontal="center"/>
    </xf>
    <xf numFmtId="0" fontId="3" fillId="7" borderId="1" xfId="0" applyFont="1" applyFill="1" applyBorder="1"/>
    <xf numFmtId="165" fontId="0" fillId="7" borderId="1" xfId="4" applyFont="1" applyFill="1" applyBorder="1"/>
    <xf numFmtId="44" fontId="11" fillId="7" borderId="0" xfId="0" applyNumberFormat="1" applyFont="1" applyFill="1"/>
    <xf numFmtId="44" fontId="11" fillId="7" borderId="63" xfId="0" applyNumberFormat="1" applyFont="1" applyFill="1" applyBorder="1"/>
    <xf numFmtId="43" fontId="0" fillId="7" borderId="63" xfId="11" applyFont="1" applyFill="1" applyBorder="1"/>
    <xf numFmtId="43" fontId="11" fillId="7" borderId="0" xfId="11" applyFont="1" applyFill="1" applyAlignment="1">
      <alignment horizontal="center"/>
    </xf>
    <xf numFmtId="43" fontId="0" fillId="7" borderId="0" xfId="11" applyFont="1" applyFill="1" applyBorder="1" applyAlignment="1">
      <alignment horizontal="center"/>
    </xf>
    <xf numFmtId="43" fontId="0" fillId="7" borderId="0" xfId="11" applyFont="1" applyFill="1" applyBorder="1"/>
    <xf numFmtId="165" fontId="11" fillId="0" borderId="19" xfId="4" applyFont="1" applyBorder="1" applyAlignment="1">
      <alignment horizontal="left" vertical="center"/>
    </xf>
    <xf numFmtId="165" fontId="7" fillId="8" borderId="2" xfId="4" applyFont="1" applyFill="1" applyBorder="1" applyAlignment="1">
      <alignment horizontal="right" vertical="center"/>
    </xf>
    <xf numFmtId="165" fontId="3" fillId="39" borderId="9" xfId="4" applyFont="1" applyFill="1" applyBorder="1" applyAlignment="1">
      <alignment horizontal="left" vertical="center"/>
    </xf>
    <xf numFmtId="165" fontId="7" fillId="39" borderId="2" xfId="4" applyFont="1" applyFill="1" applyBorder="1" applyAlignment="1">
      <alignment horizontal="right" vertical="center"/>
    </xf>
    <xf numFmtId="165" fontId="7" fillId="39" borderId="9" xfId="4" applyFont="1" applyFill="1" applyBorder="1" applyAlignment="1">
      <alignment horizontal="right" vertical="center"/>
    </xf>
    <xf numFmtId="44" fontId="3" fillId="39" borderId="0" xfId="0" applyNumberFormat="1" applyFont="1" applyFill="1" applyAlignment="1">
      <alignment horizontal="center" vertical="center"/>
    </xf>
    <xf numFmtId="165" fontId="3" fillId="40" borderId="9" xfId="4" applyFont="1" applyFill="1" applyBorder="1" applyAlignment="1">
      <alignment horizontal="left" vertical="center"/>
    </xf>
    <xf numFmtId="166" fontId="7" fillId="40" borderId="2" xfId="4" applyNumberFormat="1" applyFont="1" applyFill="1" applyBorder="1" applyAlignment="1">
      <alignment horizontal="right"/>
    </xf>
    <xf numFmtId="0" fontId="7" fillId="40" borderId="6" xfId="0" applyFont="1" applyFill="1" applyBorder="1" applyAlignment="1">
      <alignment horizontal="center"/>
    </xf>
    <xf numFmtId="49" fontId="7" fillId="40" borderId="1" xfId="0" applyNumberFormat="1" applyFont="1" applyFill="1" applyBorder="1" applyAlignment="1">
      <alignment horizontal="center"/>
    </xf>
    <xf numFmtId="49" fontId="7" fillId="40" borderId="15" xfId="0" applyNumberFormat="1" applyFont="1" applyFill="1" applyBorder="1" applyAlignment="1">
      <alignment horizontal="center"/>
    </xf>
    <xf numFmtId="0" fontId="7" fillId="40" borderId="2" xfId="0" applyFont="1" applyFill="1" applyBorder="1" applyAlignment="1">
      <alignment horizontal="center" vertical="center" wrapText="1"/>
    </xf>
    <xf numFmtId="0" fontId="7" fillId="40" borderId="4" xfId="0" applyFont="1" applyFill="1" applyBorder="1" applyAlignment="1">
      <alignment horizontal="left"/>
    </xf>
    <xf numFmtId="164" fontId="7" fillId="40" borderId="2" xfId="4" applyNumberFormat="1" applyFont="1" applyFill="1" applyBorder="1" applyAlignment="1">
      <alignment horizontal="right"/>
    </xf>
    <xf numFmtId="49" fontId="40" fillId="7" borderId="0" xfId="0" applyNumberFormat="1" applyFont="1" applyFill="1" applyAlignment="1">
      <alignment horizontal="left" vertical="center" wrapText="1" indent="1"/>
    </xf>
    <xf numFmtId="49" fontId="39" fillId="7" borderId="0" xfId="0" applyNumberFormat="1" applyFont="1" applyFill="1" applyAlignment="1">
      <alignment horizontal="center" vertical="center" wrapText="1"/>
    </xf>
    <xf numFmtId="49" fontId="39" fillId="7" borderId="34" xfId="0" applyNumberFormat="1" applyFont="1" applyFill="1" applyBorder="1" applyAlignment="1">
      <alignment horizontal="center" vertical="center" wrapText="1"/>
    </xf>
    <xf numFmtId="49" fontId="39" fillId="7" borderId="17" xfId="0" applyNumberFormat="1" applyFont="1" applyFill="1" applyBorder="1" applyAlignment="1">
      <alignment horizontal="center" vertical="center" wrapText="1"/>
    </xf>
    <xf numFmtId="49" fontId="39" fillId="7" borderId="9" xfId="0" applyNumberFormat="1" applyFont="1" applyFill="1" applyBorder="1" applyAlignment="1">
      <alignment horizontal="center" vertical="center" wrapText="1"/>
    </xf>
    <xf numFmtId="49" fontId="39" fillId="7" borderId="2" xfId="0" applyNumberFormat="1" applyFont="1" applyFill="1" applyBorder="1" applyAlignment="1">
      <alignment horizontal="center" vertical="center" wrapText="1"/>
    </xf>
    <xf numFmtId="49" fontId="39" fillId="7" borderId="3" xfId="0" applyNumberFormat="1" applyFont="1" applyFill="1" applyBorder="1" applyAlignment="1">
      <alignment horizontal="center" vertical="center" wrapText="1"/>
    </xf>
    <xf numFmtId="49" fontId="39" fillId="7" borderId="55" xfId="0" applyNumberFormat="1" applyFont="1" applyFill="1" applyBorder="1" applyAlignment="1">
      <alignment horizontal="center" vertical="center" wrapText="1"/>
    </xf>
    <xf numFmtId="49" fontId="41" fillId="7" borderId="0" xfId="0" applyNumberFormat="1" applyFont="1" applyFill="1" applyAlignment="1">
      <alignment horizontal="left" vertical="center" wrapText="1"/>
    </xf>
    <xf numFmtId="49" fontId="39" fillId="7" borderId="27" xfId="0" applyNumberFormat="1" applyFont="1" applyFill="1" applyBorder="1" applyAlignment="1">
      <alignment horizontal="center" vertical="center" wrapText="1"/>
    </xf>
    <xf numFmtId="49" fontId="39" fillId="7" borderId="26" xfId="0" applyNumberFormat="1" applyFont="1" applyFill="1" applyBorder="1" applyAlignment="1">
      <alignment horizontal="center" vertical="center" wrapText="1"/>
    </xf>
    <xf numFmtId="49" fontId="39" fillId="7" borderId="25" xfId="0" applyNumberFormat="1" applyFont="1" applyFill="1" applyBorder="1" applyAlignment="1">
      <alignment horizontal="center" vertical="center" wrapText="1"/>
    </xf>
    <xf numFmtId="0" fontId="46" fillId="16" borderId="31" xfId="0" applyFont="1" applyFill="1" applyBorder="1" applyAlignment="1">
      <alignment horizontal="center" vertical="center" wrapText="1"/>
    </xf>
    <xf numFmtId="0" fontId="46" fillId="16" borderId="32" xfId="0" applyFont="1" applyFill="1" applyBorder="1" applyAlignment="1">
      <alignment horizontal="center" vertical="center" wrapText="1"/>
    </xf>
    <xf numFmtId="49" fontId="42" fillId="0" borderId="0" xfId="0" applyNumberFormat="1" applyFont="1" applyAlignment="1">
      <alignment horizontal="center" vertical="center" wrapText="1"/>
    </xf>
    <xf numFmtId="49" fontId="42" fillId="0" borderId="0" xfId="0" applyNumberFormat="1" applyFont="1" applyAlignment="1">
      <alignment horizontal="left" vertical="center" wrapText="1"/>
    </xf>
    <xf numFmtId="0" fontId="7" fillId="7" borderId="0" xfId="0" applyFont="1" applyFill="1" applyAlignment="1">
      <alignment horizontal="center" vertical="center"/>
    </xf>
    <xf numFmtId="0" fontId="11" fillId="15" borderId="29" xfId="0" applyFont="1" applyFill="1" applyBorder="1" applyAlignment="1">
      <alignment horizontal="center" vertical="center" textRotation="90" wrapText="1"/>
    </xf>
    <xf numFmtId="0" fontId="11" fillId="15" borderId="30" xfId="0" applyFont="1" applyFill="1" applyBorder="1" applyAlignment="1">
      <alignment horizontal="center" vertical="center" textRotation="90" wrapText="1"/>
    </xf>
    <xf numFmtId="0" fontId="11" fillId="15" borderId="45" xfId="0" applyFont="1" applyFill="1" applyBorder="1" applyAlignment="1">
      <alignment horizontal="center" vertical="center" textRotation="90" wrapText="1"/>
    </xf>
    <xf numFmtId="49" fontId="3" fillId="2" borderId="0" xfId="0" applyNumberFormat="1" applyFont="1" applyFill="1" applyAlignment="1">
      <alignment horizontal="justify" vertical="center"/>
    </xf>
    <xf numFmtId="49" fontId="9" fillId="0" borderId="0" xfId="0" applyNumberFormat="1" applyFont="1" applyAlignment="1">
      <alignment horizontal="center" vertical="center" wrapText="1"/>
    </xf>
    <xf numFmtId="0" fontId="9" fillId="2" borderId="0" xfId="0" applyFont="1" applyFill="1" applyAlignment="1">
      <alignment horizontal="center" vertical="center"/>
    </xf>
    <xf numFmtId="0" fontId="9" fillId="2" borderId="34" xfId="0" applyFont="1" applyFill="1" applyBorder="1" applyAlignment="1">
      <alignment horizontal="left" vertical="center"/>
    </xf>
    <xf numFmtId="0" fontId="9" fillId="0" borderId="34" xfId="0" applyFont="1" applyBorder="1" applyAlignment="1">
      <alignment horizontal="left" vertical="center"/>
    </xf>
    <xf numFmtId="0" fontId="11" fillId="22" borderId="27" xfId="0" applyFont="1" applyFill="1" applyBorder="1" applyAlignment="1">
      <alignment horizontal="center" vertical="center" wrapText="1"/>
    </xf>
    <xf numFmtId="0" fontId="11" fillId="22" borderId="26" xfId="0" applyFont="1" applyFill="1" applyBorder="1" applyAlignment="1">
      <alignment horizontal="center" vertical="center" wrapText="1"/>
    </xf>
    <xf numFmtId="0" fontId="11" fillId="22" borderId="25" xfId="0" applyFont="1" applyFill="1" applyBorder="1" applyAlignment="1">
      <alignment horizontal="center" vertical="center" wrapText="1"/>
    </xf>
    <xf numFmtId="0" fontId="11" fillId="15" borderId="27" xfId="0" applyFont="1" applyFill="1" applyBorder="1" applyAlignment="1" applyProtection="1">
      <alignment horizontal="center" vertical="center" textRotation="90" wrapText="1"/>
      <protection locked="0" hidden="1"/>
    </xf>
    <xf numFmtId="0" fontId="11" fillId="15" borderId="26" xfId="0" applyFont="1" applyFill="1" applyBorder="1" applyAlignment="1" applyProtection="1">
      <alignment horizontal="center" vertical="center" textRotation="90" wrapText="1"/>
      <protection locked="0" hidden="1"/>
    </xf>
    <xf numFmtId="0" fontId="11" fillId="15" borderId="25" xfId="0" applyFont="1" applyFill="1" applyBorder="1" applyAlignment="1" applyProtection="1">
      <alignment horizontal="center" vertical="center" textRotation="90" wrapText="1"/>
      <protection locked="0" hidden="1"/>
    </xf>
    <xf numFmtId="0" fontId="11" fillId="22" borderId="27" xfId="0" applyFont="1" applyFill="1" applyBorder="1" applyAlignment="1">
      <alignment horizontal="center" vertical="center" textRotation="90" wrapText="1"/>
    </xf>
    <xf numFmtId="0" fontId="11" fillId="22" borderId="26" xfId="0" applyFont="1" applyFill="1" applyBorder="1" applyAlignment="1">
      <alignment horizontal="center" vertical="center" textRotation="90" wrapText="1"/>
    </xf>
    <xf numFmtId="0" fontId="11" fillId="22" borderId="25" xfId="0" applyFont="1" applyFill="1" applyBorder="1" applyAlignment="1">
      <alignment horizontal="center" vertical="center" textRotation="90" wrapText="1"/>
    </xf>
    <xf numFmtId="0" fontId="11" fillId="15" borderId="37" xfId="0" applyFont="1" applyFill="1" applyBorder="1" applyAlignment="1">
      <alignment horizontal="center" vertical="center"/>
    </xf>
    <xf numFmtId="0" fontId="11" fillId="15" borderId="29" xfId="0" applyFont="1" applyFill="1" applyBorder="1" applyAlignment="1">
      <alignment horizontal="center" vertical="center"/>
    </xf>
    <xf numFmtId="0" fontId="22" fillId="2" borderId="0" xfId="0" applyFont="1" applyFill="1" applyAlignment="1">
      <alignment horizontal="left" vertical="center"/>
    </xf>
    <xf numFmtId="0" fontId="3" fillId="7" borderId="13" xfId="0" applyFont="1" applyFill="1" applyBorder="1" applyAlignment="1">
      <alignment horizontal="left"/>
    </xf>
    <xf numFmtId="0" fontId="3" fillId="7" borderId="60" xfId="0" applyFont="1" applyFill="1" applyBorder="1" applyAlignment="1">
      <alignment horizontal="left"/>
    </xf>
    <xf numFmtId="0" fontId="11" fillId="15" borderId="31" xfId="0" applyFont="1" applyFill="1" applyBorder="1" applyAlignment="1">
      <alignment horizontal="center" vertical="center"/>
    </xf>
    <xf numFmtId="0" fontId="11" fillId="15" borderId="32" xfId="0" applyFont="1" applyFill="1" applyBorder="1" applyAlignment="1">
      <alignment horizontal="center" vertical="center"/>
    </xf>
    <xf numFmtId="0" fontId="11" fillId="2" borderId="0" xfId="0" applyFont="1" applyFill="1" applyAlignment="1">
      <alignment horizontal="center" vertical="center"/>
    </xf>
    <xf numFmtId="0" fontId="11" fillId="0" borderId="0" xfId="0" applyFont="1" applyAlignment="1">
      <alignment horizontal="center" vertical="center"/>
    </xf>
    <xf numFmtId="0" fontId="3" fillId="7" borderId="0" xfId="0" applyFont="1" applyFill="1" applyAlignment="1">
      <alignment horizontal="center" vertical="center"/>
    </xf>
    <xf numFmtId="0" fontId="11" fillId="2" borderId="34" xfId="0" applyFont="1" applyFill="1" applyBorder="1" applyAlignment="1">
      <alignment horizontal="left" vertical="center"/>
    </xf>
    <xf numFmtId="0" fontId="11" fillId="0" borderId="34" xfId="0" applyFont="1" applyBorder="1" applyAlignment="1">
      <alignment horizontal="left" vertical="center"/>
    </xf>
    <xf numFmtId="49" fontId="22" fillId="2" borderId="0" xfId="0" applyNumberFormat="1" applyFont="1" applyFill="1" applyAlignment="1">
      <alignment horizontal="justify" vertical="center"/>
    </xf>
    <xf numFmtId="0" fontId="11" fillId="15" borderId="27" xfId="0" applyFont="1" applyFill="1" applyBorder="1" applyAlignment="1">
      <alignment horizontal="center" vertical="center" textRotation="90" wrapText="1"/>
    </xf>
    <xf numFmtId="0" fontId="11" fillId="15" borderId="26" xfId="0" applyFont="1" applyFill="1" applyBorder="1" applyAlignment="1">
      <alignment horizontal="center" vertical="center" textRotation="90" wrapText="1"/>
    </xf>
    <xf numFmtId="0" fontId="11" fillId="15" borderId="25" xfId="0" applyFont="1" applyFill="1" applyBorder="1" applyAlignment="1">
      <alignment horizontal="center" vertical="center" textRotation="90" wrapText="1"/>
    </xf>
    <xf numFmtId="0" fontId="12" fillId="7" borderId="37" xfId="0" applyFont="1" applyFill="1" applyBorder="1" applyAlignment="1">
      <alignment horizontal="center"/>
    </xf>
    <xf numFmtId="0" fontId="12" fillId="7" borderId="38" xfId="0" applyFont="1" applyFill="1" applyBorder="1" applyAlignment="1">
      <alignment horizontal="center"/>
    </xf>
    <xf numFmtId="0" fontId="12" fillId="7" borderId="58" xfId="0" applyFont="1" applyFill="1" applyBorder="1" applyAlignment="1">
      <alignment horizontal="center"/>
    </xf>
    <xf numFmtId="0" fontId="12" fillId="7" borderId="34" xfId="0" applyFont="1" applyFill="1" applyBorder="1" applyAlignment="1">
      <alignment horizontal="center"/>
    </xf>
    <xf numFmtId="44" fontId="99" fillId="7" borderId="27" xfId="0" applyNumberFormat="1" applyFont="1" applyFill="1" applyBorder="1" applyAlignment="1">
      <alignment horizontal="center"/>
    </xf>
    <xf numFmtId="44" fontId="99" fillId="7" borderId="25" xfId="0" applyNumberFormat="1" applyFont="1" applyFill="1" applyBorder="1" applyAlignment="1">
      <alignment horizontal="center"/>
    </xf>
    <xf numFmtId="0" fontId="98" fillId="7" borderId="31" xfId="0" applyFont="1" applyFill="1" applyBorder="1" applyAlignment="1">
      <alignment horizontal="center"/>
    </xf>
    <xf numFmtId="0" fontId="98" fillId="7" borderId="32" xfId="0" applyFont="1" applyFill="1" applyBorder="1" applyAlignment="1">
      <alignment horizontal="center"/>
    </xf>
    <xf numFmtId="0" fontId="98" fillId="7" borderId="22" xfId="0" applyFont="1" applyFill="1" applyBorder="1" applyAlignment="1">
      <alignment horizontal="center"/>
    </xf>
    <xf numFmtId="0" fontId="100" fillId="7" borderId="37" xfId="0" applyFont="1" applyFill="1" applyBorder="1" applyAlignment="1">
      <alignment horizontal="center" vertical="center"/>
    </xf>
    <xf numFmtId="0" fontId="100" fillId="7" borderId="38" xfId="0" applyFont="1" applyFill="1" applyBorder="1" applyAlignment="1">
      <alignment horizontal="center" vertical="center"/>
    </xf>
    <xf numFmtId="0" fontId="100" fillId="7" borderId="29" xfId="0" applyFont="1" applyFill="1" applyBorder="1" applyAlignment="1">
      <alignment horizontal="center" vertical="center"/>
    </xf>
    <xf numFmtId="0" fontId="100" fillId="7" borderId="57" xfId="0" applyFont="1" applyFill="1" applyBorder="1" applyAlignment="1">
      <alignment horizontal="center" vertical="center"/>
    </xf>
    <xf numFmtId="0" fontId="100" fillId="7" borderId="0" xfId="0" applyFont="1" applyFill="1" applyAlignment="1">
      <alignment horizontal="center" vertical="center"/>
    </xf>
    <xf numFmtId="0" fontId="100" fillId="7" borderId="30" xfId="0" applyFont="1" applyFill="1" applyBorder="1" applyAlignment="1">
      <alignment horizontal="center" vertical="center"/>
    </xf>
    <xf numFmtId="44" fontId="99" fillId="7" borderId="29" xfId="0" applyNumberFormat="1" applyFont="1" applyFill="1" applyBorder="1" applyAlignment="1">
      <alignment horizontal="center"/>
    </xf>
    <xf numFmtId="44" fontId="99" fillId="7" borderId="45" xfId="0" applyNumberFormat="1" applyFont="1" applyFill="1" applyBorder="1" applyAlignment="1">
      <alignment horizontal="center"/>
    </xf>
    <xf numFmtId="0" fontId="95" fillId="7" borderId="18" xfId="0" applyFont="1" applyFill="1" applyBorder="1" applyAlignment="1">
      <alignment horizontal="left" vertical="center" wrapText="1"/>
    </xf>
    <xf numFmtId="0" fontId="95" fillId="7" borderId="19" xfId="0" applyFont="1" applyFill="1" applyBorder="1" applyAlignment="1">
      <alignment horizontal="left" vertical="center" wrapText="1"/>
    </xf>
    <xf numFmtId="0" fontId="95" fillId="7" borderId="21" xfId="0" applyFont="1" applyFill="1" applyBorder="1" applyAlignment="1">
      <alignment horizontal="left" vertical="center" wrapText="1"/>
    </xf>
    <xf numFmtId="0" fontId="95" fillId="7" borderId="20" xfId="0" applyFont="1" applyFill="1" applyBorder="1" applyAlignment="1">
      <alignment horizontal="left" vertical="center" wrapText="1"/>
    </xf>
    <xf numFmtId="165" fontId="99" fillId="7" borderId="27" xfId="4" applyFont="1" applyFill="1" applyBorder="1" applyAlignment="1">
      <alignment horizontal="center" vertical="center"/>
    </xf>
    <xf numFmtId="165" fontId="99" fillId="7" borderId="26" xfId="4" applyFont="1" applyFill="1" applyBorder="1" applyAlignment="1">
      <alignment horizontal="center" vertical="center"/>
    </xf>
    <xf numFmtId="165" fontId="99" fillId="7" borderId="9" xfId="4" applyFont="1" applyFill="1" applyBorder="1" applyAlignment="1">
      <alignment horizontal="center" vertical="center"/>
    </xf>
    <xf numFmtId="0" fontId="95" fillId="7" borderId="18" xfId="0" applyFont="1" applyFill="1" applyBorder="1" applyAlignment="1">
      <alignment horizontal="center" vertical="center" wrapText="1"/>
    </xf>
    <xf numFmtId="0" fontId="95" fillId="7" borderId="19" xfId="0" applyFont="1" applyFill="1" applyBorder="1" applyAlignment="1">
      <alignment horizontal="center" vertical="center" wrapText="1"/>
    </xf>
    <xf numFmtId="0" fontId="95" fillId="7" borderId="21" xfId="0" applyFont="1" applyFill="1" applyBorder="1" applyAlignment="1">
      <alignment horizontal="center" vertical="center" wrapText="1"/>
    </xf>
    <xf numFmtId="0" fontId="95" fillId="7" borderId="20" xfId="0" applyFont="1" applyFill="1" applyBorder="1" applyAlignment="1">
      <alignment horizontal="center" vertical="center" wrapText="1"/>
    </xf>
    <xf numFmtId="0" fontId="79" fillId="7" borderId="26" xfId="0" applyFont="1" applyFill="1" applyBorder="1" applyAlignment="1">
      <alignment horizontal="center" vertical="center"/>
    </xf>
    <xf numFmtId="0" fontId="79" fillId="7" borderId="9" xfId="0" applyFont="1" applyFill="1" applyBorder="1" applyAlignment="1">
      <alignment horizontal="center" vertical="center"/>
    </xf>
    <xf numFmtId="165" fontId="79" fillId="7" borderId="26" xfId="4" applyFont="1" applyFill="1" applyBorder="1" applyAlignment="1">
      <alignment horizontal="center" vertical="center"/>
    </xf>
    <xf numFmtId="165" fontId="79" fillId="7" borderId="9" xfId="4" applyFont="1" applyFill="1" applyBorder="1" applyAlignment="1">
      <alignment horizontal="center" vertical="center"/>
    </xf>
    <xf numFmtId="0" fontId="79" fillId="7" borderId="27" xfId="0" applyFont="1" applyFill="1" applyBorder="1" applyAlignment="1">
      <alignment horizontal="center" vertical="center"/>
    </xf>
    <xf numFmtId="44" fontId="103" fillId="7" borderId="26" xfId="0" applyNumberFormat="1" applyFont="1" applyFill="1" applyBorder="1" applyAlignment="1">
      <alignment horizontal="center" vertical="center" wrapText="1"/>
    </xf>
    <xf numFmtId="44" fontId="103" fillId="7" borderId="25" xfId="0" applyNumberFormat="1" applyFont="1" applyFill="1" applyBorder="1" applyAlignment="1">
      <alignment horizontal="center" vertical="center" wrapText="1"/>
    </xf>
    <xf numFmtId="44" fontId="95" fillId="7" borderId="26" xfId="0" applyNumberFormat="1" applyFont="1" applyFill="1" applyBorder="1" applyAlignment="1">
      <alignment horizontal="center" vertical="center" wrapText="1"/>
    </xf>
    <xf numFmtId="44" fontId="95" fillId="7" borderId="25" xfId="0" applyNumberFormat="1" applyFont="1" applyFill="1" applyBorder="1" applyAlignment="1">
      <alignment horizontal="center" vertical="center" wrapText="1"/>
    </xf>
    <xf numFmtId="165" fontId="79" fillId="7" borderId="27" xfId="4" applyFont="1" applyFill="1" applyBorder="1" applyAlignment="1">
      <alignment horizontal="center" vertical="center"/>
    </xf>
    <xf numFmtId="0" fontId="95" fillId="7" borderId="52" xfId="0" applyFont="1" applyFill="1" applyBorder="1" applyAlignment="1">
      <alignment horizontal="left" vertical="center" wrapText="1"/>
    </xf>
    <xf numFmtId="0" fontId="95" fillId="7" borderId="54" xfId="0" applyFont="1" applyFill="1" applyBorder="1" applyAlignment="1">
      <alignment horizontal="left" vertical="center" wrapText="1"/>
    </xf>
    <xf numFmtId="44" fontId="95" fillId="7" borderId="27" xfId="0" applyNumberFormat="1" applyFont="1" applyFill="1" applyBorder="1" applyAlignment="1">
      <alignment horizontal="center" vertical="center" wrapText="1"/>
    </xf>
    <xf numFmtId="44" fontId="103" fillId="7" borderId="27" xfId="0" applyNumberFormat="1" applyFont="1" applyFill="1" applyBorder="1" applyAlignment="1">
      <alignment horizontal="center" vertical="center" wrapText="1"/>
    </xf>
    <xf numFmtId="0" fontId="79" fillId="7" borderId="1" xfId="0" applyFont="1" applyFill="1" applyBorder="1" applyAlignment="1">
      <alignment horizontal="center" vertical="center"/>
    </xf>
    <xf numFmtId="165" fontId="79" fillId="7" borderId="1" xfId="4" applyFont="1" applyFill="1" applyBorder="1" applyAlignment="1">
      <alignment horizontal="center" vertical="center"/>
    </xf>
    <xf numFmtId="44" fontId="99" fillId="7" borderId="1" xfId="0" applyNumberFormat="1" applyFont="1" applyFill="1" applyBorder="1" applyAlignment="1">
      <alignment horizontal="center" vertical="center"/>
    </xf>
    <xf numFmtId="0" fontId="99" fillId="7" borderId="1" xfId="0" applyFont="1" applyFill="1" applyBorder="1" applyAlignment="1">
      <alignment horizontal="center" vertical="center"/>
    </xf>
    <xf numFmtId="165" fontId="99" fillId="7" borderId="43" xfId="4" applyFont="1" applyFill="1" applyBorder="1" applyAlignment="1">
      <alignment horizontal="center" vertical="center"/>
    </xf>
    <xf numFmtId="165" fontId="99" fillId="7" borderId="15" xfId="4" applyFont="1" applyFill="1" applyBorder="1" applyAlignment="1">
      <alignment horizontal="center" vertical="center"/>
    </xf>
    <xf numFmtId="44" fontId="95" fillId="7" borderId="46" xfId="0" applyNumberFormat="1" applyFont="1" applyFill="1" applyBorder="1" applyAlignment="1">
      <alignment horizontal="center" vertical="center" wrapText="1"/>
    </xf>
    <xf numFmtId="44" fontId="95" fillId="7" borderId="33" xfId="0" applyNumberFormat="1" applyFont="1" applyFill="1" applyBorder="1" applyAlignment="1">
      <alignment horizontal="center" vertical="center" wrapText="1"/>
    </xf>
    <xf numFmtId="44" fontId="103" fillId="7" borderId="47" xfId="0" applyNumberFormat="1" applyFont="1" applyFill="1" applyBorder="1" applyAlignment="1">
      <alignment horizontal="center" vertical="center" wrapText="1"/>
    </xf>
    <xf numFmtId="44" fontId="103" fillId="7" borderId="42" xfId="0" applyNumberFormat="1" applyFont="1" applyFill="1" applyBorder="1" applyAlignment="1">
      <alignment horizontal="center" vertical="center" wrapText="1"/>
    </xf>
    <xf numFmtId="0" fontId="99" fillId="7" borderId="43" xfId="0" applyFont="1" applyFill="1" applyBorder="1" applyAlignment="1">
      <alignment horizontal="center" vertical="center"/>
    </xf>
    <xf numFmtId="0" fontId="99" fillId="7" borderId="15" xfId="0" applyFont="1" applyFill="1" applyBorder="1" applyAlignment="1">
      <alignment horizontal="center" vertical="center"/>
    </xf>
    <xf numFmtId="0" fontId="79" fillId="7" borderId="43" xfId="0" applyFont="1" applyFill="1" applyBorder="1" applyAlignment="1">
      <alignment horizontal="center" vertical="center"/>
    </xf>
    <xf numFmtId="0" fontId="79" fillId="7" borderId="14" xfId="0" applyFont="1" applyFill="1" applyBorder="1" applyAlignment="1">
      <alignment horizontal="center" vertical="center"/>
    </xf>
    <xf numFmtId="165" fontId="79" fillId="7" borderId="43" xfId="4" applyFont="1" applyFill="1" applyBorder="1" applyAlignment="1">
      <alignment horizontal="center" vertical="center"/>
    </xf>
    <xf numFmtId="165" fontId="79" fillId="7" borderId="14" xfId="4" applyFont="1" applyFill="1" applyBorder="1" applyAlignment="1">
      <alignment horizontal="center" vertical="center"/>
    </xf>
    <xf numFmtId="0" fontId="99" fillId="7" borderId="11" xfId="0" applyFont="1" applyFill="1" applyBorder="1" applyAlignment="1">
      <alignment horizontal="center" vertical="center"/>
    </xf>
    <xf numFmtId="44" fontId="99" fillId="7" borderId="17" xfId="0" applyNumberFormat="1" applyFont="1" applyFill="1" applyBorder="1" applyAlignment="1">
      <alignment horizontal="center"/>
    </xf>
    <xf numFmtId="44" fontId="99" fillId="7" borderId="55" xfId="0" applyNumberFormat="1" applyFont="1" applyFill="1" applyBorder="1" applyAlignment="1">
      <alignment horizontal="center"/>
    </xf>
    <xf numFmtId="0" fontId="99" fillId="7" borderId="28" xfId="0" applyFont="1" applyFill="1" applyBorder="1" applyAlignment="1">
      <alignment horizontal="center" vertical="center"/>
    </xf>
    <xf numFmtId="0" fontId="99" fillId="7" borderId="8" xfId="0" applyFont="1" applyFill="1" applyBorder="1" applyAlignment="1">
      <alignment horizontal="center" vertical="center"/>
    </xf>
    <xf numFmtId="165" fontId="99" fillId="7" borderId="11" xfId="4" applyFont="1" applyFill="1" applyBorder="1" applyAlignment="1">
      <alignment horizontal="center" vertical="center"/>
    </xf>
    <xf numFmtId="165" fontId="99" fillId="7" borderId="28" xfId="4" applyFont="1" applyFill="1" applyBorder="1" applyAlignment="1">
      <alignment horizontal="center" vertical="center"/>
    </xf>
    <xf numFmtId="165" fontId="99" fillId="7" borderId="8" xfId="4" applyFont="1" applyFill="1" applyBorder="1" applyAlignment="1">
      <alignment horizontal="center" vertical="center"/>
    </xf>
    <xf numFmtId="44" fontId="99" fillId="7" borderId="11" xfId="0" applyNumberFormat="1" applyFont="1" applyFill="1" applyBorder="1" applyAlignment="1">
      <alignment horizontal="center" vertical="center"/>
    </xf>
    <xf numFmtId="44" fontId="99" fillId="7" borderId="28" xfId="0" applyNumberFormat="1" applyFont="1" applyFill="1" applyBorder="1" applyAlignment="1">
      <alignment horizontal="center" vertical="center"/>
    </xf>
    <xf numFmtId="165" fontId="99" fillId="7" borderId="1" xfId="4" applyFont="1" applyFill="1" applyBorder="1" applyAlignment="1">
      <alignment horizontal="center" vertical="center"/>
    </xf>
    <xf numFmtId="44" fontId="9" fillId="7" borderId="27" xfId="0" applyNumberFormat="1" applyFont="1" applyFill="1" applyBorder="1" applyAlignment="1">
      <alignment horizontal="center"/>
    </xf>
    <xf numFmtId="44" fontId="9" fillId="7" borderId="25" xfId="0" applyNumberFormat="1" applyFont="1" applyFill="1" applyBorder="1" applyAlignment="1">
      <alignment horizontal="center"/>
    </xf>
    <xf numFmtId="44" fontId="95" fillId="7" borderId="11" xfId="0" applyNumberFormat="1" applyFont="1" applyFill="1" applyBorder="1" applyAlignment="1">
      <alignment horizontal="center" vertical="center" wrapText="1"/>
    </xf>
    <xf numFmtId="0" fontId="99" fillId="7" borderId="43" xfId="0" applyFont="1" applyFill="1" applyBorder="1" applyAlignment="1">
      <alignment horizontal="center" vertical="center" wrapText="1"/>
    </xf>
    <xf numFmtId="0" fontId="99" fillId="7" borderId="15" xfId="0" applyFont="1" applyFill="1" applyBorder="1" applyAlignment="1">
      <alignment horizontal="center" vertical="center" wrapText="1"/>
    </xf>
    <xf numFmtId="165" fontId="11" fillId="11" borderId="27" xfId="4" applyFont="1" applyFill="1" applyBorder="1" applyAlignment="1" applyProtection="1">
      <alignment horizontal="center" vertical="center" textRotation="45" wrapText="1"/>
      <protection locked="0" hidden="1"/>
    </xf>
    <xf numFmtId="165" fontId="11" fillId="11" borderId="25" xfId="4" applyFont="1" applyFill="1" applyBorder="1" applyAlignment="1" applyProtection="1">
      <alignment horizontal="center" vertical="center" textRotation="45" wrapText="1"/>
      <protection locked="0" hidden="1"/>
    </xf>
    <xf numFmtId="165" fontId="11" fillId="11" borderId="27" xfId="4" applyFont="1" applyFill="1" applyBorder="1" applyAlignment="1" applyProtection="1">
      <alignment horizontal="center" vertical="center" textRotation="90" wrapText="1"/>
      <protection locked="0" hidden="1"/>
    </xf>
    <xf numFmtId="165" fontId="11" fillId="11" borderId="25" xfId="4" applyFont="1" applyFill="1" applyBorder="1" applyAlignment="1" applyProtection="1">
      <alignment horizontal="center" vertical="center" textRotation="90" wrapText="1"/>
      <protection locked="0" hidden="1"/>
    </xf>
    <xf numFmtId="0" fontId="12" fillId="2" borderId="0" xfId="0" applyFont="1" applyFill="1" applyAlignment="1">
      <alignment horizontal="center" vertical="center"/>
    </xf>
    <xf numFmtId="49" fontId="15" fillId="0" borderId="0" xfId="0" applyNumberFormat="1" applyFont="1" applyAlignment="1">
      <alignment horizontal="center" vertical="center" wrapText="1"/>
    </xf>
    <xf numFmtId="0" fontId="10" fillId="2" borderId="0" xfId="0" applyFont="1" applyFill="1" applyAlignment="1">
      <alignment horizontal="center" vertical="center"/>
    </xf>
    <xf numFmtId="0" fontId="10" fillId="0" borderId="0" xfId="0" applyFont="1" applyAlignment="1">
      <alignment horizontal="center" vertical="center"/>
    </xf>
    <xf numFmtId="0" fontId="9" fillId="0" borderId="0" xfId="0" applyFont="1" applyAlignment="1">
      <alignment horizontal="center" vertical="center"/>
    </xf>
    <xf numFmtId="0" fontId="7" fillId="2" borderId="0" xfId="0" applyFont="1" applyFill="1" applyAlignment="1">
      <alignment horizontal="center" vertical="center"/>
    </xf>
    <xf numFmtId="0" fontId="7" fillId="0" borderId="0" xfId="0" applyFont="1" applyAlignment="1">
      <alignment horizontal="center" vertical="center"/>
    </xf>
    <xf numFmtId="0" fontId="11" fillId="11" borderId="31" xfId="1" applyFont="1" applyFill="1" applyBorder="1" applyAlignment="1">
      <alignment horizontal="center" vertical="center"/>
    </xf>
    <xf numFmtId="0" fontId="11" fillId="11" borderId="32" xfId="1" applyFont="1" applyFill="1" applyBorder="1" applyAlignment="1">
      <alignment horizontal="center" vertical="center"/>
    </xf>
    <xf numFmtId="0" fontId="11" fillId="11" borderId="27" xfId="1" applyFont="1" applyFill="1" applyBorder="1" applyAlignment="1">
      <alignment horizontal="center" vertical="center" wrapText="1"/>
    </xf>
    <xf numFmtId="0" fontId="11" fillId="11" borderId="25" xfId="1" applyFont="1" applyFill="1" applyBorder="1" applyAlignment="1">
      <alignment horizontal="center" vertical="center" wrapText="1"/>
    </xf>
    <xf numFmtId="0" fontId="9" fillId="2" borderId="0" xfId="0" applyFont="1" applyFill="1" applyAlignment="1">
      <alignment horizontal="left" vertical="center"/>
    </xf>
    <xf numFmtId="165" fontId="11" fillId="13" borderId="27" xfId="4" applyFont="1" applyFill="1" applyBorder="1" applyAlignment="1" applyProtection="1">
      <alignment horizontal="center" vertical="center" textRotation="45" wrapText="1"/>
      <protection locked="0" hidden="1"/>
    </xf>
    <xf numFmtId="165" fontId="11" fillId="13" borderId="25" xfId="4" applyFont="1" applyFill="1" applyBorder="1" applyAlignment="1" applyProtection="1">
      <alignment horizontal="center" vertical="center" textRotation="45" wrapText="1"/>
      <protection locked="0" hidden="1"/>
    </xf>
    <xf numFmtId="0" fontId="6" fillId="19" borderId="31" xfId="0" applyFont="1" applyFill="1" applyBorder="1" applyAlignment="1">
      <alignment horizontal="center" vertical="center"/>
    </xf>
    <xf numFmtId="0" fontId="6" fillId="19" borderId="32" xfId="0" applyFont="1" applyFill="1" applyBorder="1" applyAlignment="1">
      <alignment horizontal="center" vertical="center"/>
    </xf>
    <xf numFmtId="0" fontId="6" fillId="19" borderId="22" xfId="0" applyFont="1" applyFill="1" applyBorder="1" applyAlignment="1">
      <alignment horizontal="center" vertical="center"/>
    </xf>
    <xf numFmtId="0" fontId="9" fillId="2" borderId="0" xfId="0" applyFont="1" applyFill="1" applyAlignment="1">
      <alignment horizontal="center"/>
    </xf>
    <xf numFmtId="0" fontId="9" fillId="0" borderId="0" xfId="0" applyFont="1" applyAlignment="1">
      <alignment horizontal="center"/>
    </xf>
    <xf numFmtId="0" fontId="33" fillId="19" borderId="31" xfId="0" applyFont="1" applyFill="1" applyBorder="1" applyAlignment="1">
      <alignment horizontal="center"/>
    </xf>
    <xf numFmtId="0" fontId="33" fillId="19" borderId="32" xfId="0" applyFont="1" applyFill="1" applyBorder="1" applyAlignment="1">
      <alignment horizontal="center"/>
    </xf>
    <xf numFmtId="0" fontId="33" fillId="19" borderId="22" xfId="0" applyFont="1" applyFill="1" applyBorder="1" applyAlignment="1">
      <alignment horizontal="center"/>
    </xf>
    <xf numFmtId="0" fontId="6" fillId="19" borderId="31" xfId="0" applyFont="1" applyFill="1" applyBorder="1" applyAlignment="1">
      <alignment horizontal="center"/>
    </xf>
    <xf numFmtId="0" fontId="6" fillId="19" borderId="32" xfId="0" applyFont="1" applyFill="1" applyBorder="1" applyAlignment="1">
      <alignment horizontal="center"/>
    </xf>
    <xf numFmtId="0" fontId="6" fillId="19" borderId="22" xfId="0" applyFont="1" applyFill="1" applyBorder="1" applyAlignment="1">
      <alignment horizontal="center"/>
    </xf>
    <xf numFmtId="0" fontId="11" fillId="11" borderId="31" xfId="1" applyFont="1" applyFill="1" applyBorder="1" applyAlignment="1">
      <alignment horizontal="center"/>
    </xf>
    <xf numFmtId="0" fontId="11" fillId="11" borderId="32" xfId="1" applyFont="1" applyFill="1" applyBorder="1" applyAlignment="1">
      <alignment horizontal="center"/>
    </xf>
    <xf numFmtId="0" fontId="14" fillId="11" borderId="27" xfId="1" applyFont="1" applyFill="1" applyBorder="1" applyAlignment="1">
      <alignment horizontal="center" vertical="center" wrapText="1"/>
    </xf>
    <xf numFmtId="0" fontId="14" fillId="11" borderId="25" xfId="1" applyFont="1" applyFill="1" applyBorder="1" applyAlignment="1">
      <alignment horizontal="center" vertical="center" wrapText="1"/>
    </xf>
    <xf numFmtId="0" fontId="14" fillId="11" borderId="27" xfId="1" applyFont="1" applyFill="1" applyBorder="1" applyAlignment="1" applyProtection="1">
      <alignment horizontal="center" vertical="center" textRotation="90" wrapText="1"/>
      <protection locked="0" hidden="1"/>
    </xf>
    <xf numFmtId="0" fontId="14" fillId="11" borderId="25" xfId="1" applyFont="1" applyFill="1" applyBorder="1" applyAlignment="1" applyProtection="1">
      <alignment horizontal="center" vertical="center" textRotation="90" wrapText="1"/>
      <protection locked="0" hidden="1"/>
    </xf>
    <xf numFmtId="0" fontId="7" fillId="2" borderId="0" xfId="0" applyFont="1" applyFill="1" applyAlignment="1">
      <alignment horizontal="center"/>
    </xf>
    <xf numFmtId="0" fontId="7" fillId="0" borderId="0" xfId="0" applyFont="1" applyAlignment="1">
      <alignment horizontal="center"/>
    </xf>
    <xf numFmtId="0" fontId="14" fillId="11" borderId="27" xfId="1" applyFont="1" applyFill="1" applyBorder="1" applyAlignment="1" applyProtection="1">
      <alignment horizontal="center" vertical="center" textRotation="45" wrapText="1"/>
      <protection locked="0" hidden="1"/>
    </xf>
    <xf numFmtId="0" fontId="14" fillId="11" borderId="25" xfId="1" applyFont="1" applyFill="1" applyBorder="1" applyAlignment="1" applyProtection="1">
      <alignment horizontal="center" vertical="center" textRotation="45" wrapText="1"/>
      <protection locked="0" hidden="1"/>
    </xf>
    <xf numFmtId="0" fontId="10" fillId="2" borderId="0" xfId="0" applyFont="1" applyFill="1" applyAlignment="1">
      <alignment horizontal="left"/>
    </xf>
    <xf numFmtId="0" fontId="10" fillId="0" borderId="0" xfId="0" applyFont="1" applyAlignment="1">
      <alignment horizontal="left"/>
    </xf>
    <xf numFmtId="0" fontId="14" fillId="2" borderId="0" xfId="0" applyFont="1" applyFill="1" applyAlignment="1">
      <alignment horizontal="left"/>
    </xf>
    <xf numFmtId="0" fontId="14" fillId="2" borderId="34" xfId="0" applyFont="1" applyFill="1" applyBorder="1" applyAlignment="1">
      <alignment horizontal="left"/>
    </xf>
    <xf numFmtId="0" fontId="14" fillId="11" borderId="37" xfId="1" applyFont="1" applyFill="1" applyBorder="1" applyAlignment="1" applyProtection="1">
      <alignment horizontal="center" vertical="center" textRotation="45" wrapText="1"/>
      <protection locked="0" hidden="1"/>
    </xf>
    <xf numFmtId="0" fontId="14" fillId="11" borderId="58" xfId="1" applyFont="1" applyFill="1" applyBorder="1" applyAlignment="1" applyProtection="1">
      <alignment horizontal="center" vertical="center" textRotation="45" wrapText="1"/>
      <protection locked="0" hidden="1"/>
    </xf>
    <xf numFmtId="0" fontId="14" fillId="11" borderId="17" xfId="1" applyFont="1" applyFill="1" applyBorder="1" applyAlignment="1" applyProtection="1">
      <alignment horizontal="center" vertical="center" textRotation="45"/>
      <protection locked="0" hidden="1"/>
    </xf>
    <xf numFmtId="0" fontId="14" fillId="11" borderId="55" xfId="1" applyFont="1" applyFill="1" applyBorder="1" applyAlignment="1" applyProtection="1">
      <alignment horizontal="center" vertical="center" textRotation="45"/>
      <protection locked="0" hidden="1"/>
    </xf>
    <xf numFmtId="0" fontId="14" fillId="11" borderId="26" xfId="1" applyFont="1" applyFill="1" applyBorder="1" applyAlignment="1" applyProtection="1">
      <alignment horizontal="center" vertical="center" textRotation="45" wrapText="1"/>
      <protection locked="0" hidden="1"/>
    </xf>
    <xf numFmtId="0" fontId="14" fillId="13" borderId="27" xfId="1" applyFont="1" applyFill="1" applyBorder="1" applyAlignment="1" applyProtection="1">
      <alignment horizontal="center" vertical="center" textRotation="45" wrapText="1"/>
      <protection locked="0" hidden="1"/>
    </xf>
    <xf numFmtId="0" fontId="14" fillId="13" borderId="25" xfId="1" applyFont="1" applyFill="1" applyBorder="1" applyAlignment="1" applyProtection="1">
      <alignment horizontal="center" vertical="center" textRotation="45" wrapText="1"/>
      <protection locked="0" hidden="1"/>
    </xf>
    <xf numFmtId="0" fontId="90" fillId="7" borderId="0" xfId="0" applyFont="1" applyFill="1" applyAlignment="1">
      <alignment horizontal="center"/>
    </xf>
    <xf numFmtId="0" fontId="92" fillId="7" borderId="70" xfId="0" applyFont="1" applyFill="1" applyBorder="1" applyAlignment="1">
      <alignment horizontal="center"/>
    </xf>
    <xf numFmtId="0" fontId="91" fillId="7" borderId="0" xfId="0" applyFont="1" applyFill="1" applyAlignment="1">
      <alignment horizontal="left" vertical="center"/>
    </xf>
    <xf numFmtId="0" fontId="91" fillId="7" borderId="0" xfId="0" applyFont="1" applyFill="1" applyAlignment="1">
      <alignment horizontal="center"/>
    </xf>
    <xf numFmtId="43" fontId="90" fillId="7" borderId="0" xfId="11" applyFont="1" applyFill="1" applyBorder="1" applyAlignment="1">
      <alignment horizontal="center" vertical="center"/>
    </xf>
    <xf numFmtId="43" fontId="90" fillId="7" borderId="69" xfId="11" applyFont="1" applyFill="1" applyBorder="1" applyAlignment="1">
      <alignment horizontal="center" vertical="center"/>
    </xf>
    <xf numFmtId="49" fontId="3" fillId="2" borderId="0" xfId="0" applyNumberFormat="1" applyFont="1" applyFill="1" applyAlignment="1">
      <alignment horizontal="justify"/>
    </xf>
    <xf numFmtId="0" fontId="9" fillId="2" borderId="0" xfId="0" applyFont="1" applyFill="1" applyAlignment="1">
      <alignment horizontal="left"/>
    </xf>
    <xf numFmtId="0" fontId="9" fillId="2" borderId="34" xfId="0" applyFont="1" applyFill="1" applyBorder="1" applyAlignment="1">
      <alignment horizontal="left"/>
    </xf>
    <xf numFmtId="0" fontId="14" fillId="11" borderId="31" xfId="1" applyFont="1" applyFill="1" applyBorder="1" applyAlignment="1">
      <alignment horizontal="center"/>
    </xf>
    <xf numFmtId="0" fontId="14" fillId="11" borderId="32" xfId="1" applyFont="1" applyFill="1" applyBorder="1" applyAlignment="1">
      <alignment horizontal="center"/>
    </xf>
    <xf numFmtId="0" fontId="14" fillId="11" borderId="26" xfId="1" applyFont="1" applyFill="1" applyBorder="1" applyAlignment="1">
      <alignment horizontal="center" vertical="center" wrapText="1"/>
    </xf>
    <xf numFmtId="0" fontId="19" fillId="19" borderId="31" xfId="0" applyFont="1" applyFill="1" applyBorder="1" applyAlignment="1">
      <alignment horizontal="center"/>
    </xf>
    <xf numFmtId="0" fontId="19" fillId="19" borderId="32" xfId="0" applyFont="1" applyFill="1" applyBorder="1" applyAlignment="1">
      <alignment horizontal="center"/>
    </xf>
    <xf numFmtId="0" fontId="19" fillId="19" borderId="22" xfId="0" applyFont="1" applyFill="1" applyBorder="1" applyAlignment="1">
      <alignment horizontal="center"/>
    </xf>
    <xf numFmtId="49" fontId="7" fillId="2" borderId="0" xfId="0" applyNumberFormat="1" applyFont="1" applyFill="1" applyAlignment="1">
      <alignment horizontal="left"/>
    </xf>
    <xf numFmtId="0" fontId="3" fillId="13" borderId="57" xfId="0" applyFont="1" applyFill="1" applyBorder="1" applyAlignment="1">
      <alignment horizontal="center" vertical="center"/>
    </xf>
    <xf numFmtId="0" fontId="3" fillId="13" borderId="0" xfId="0" applyFont="1" applyFill="1" applyAlignment="1">
      <alignment horizontal="center" vertical="center"/>
    </xf>
    <xf numFmtId="0" fontId="11" fillId="16" borderId="61" xfId="0" applyFont="1" applyFill="1" applyBorder="1" applyAlignment="1">
      <alignment horizontal="center" vertical="center" wrapText="1"/>
    </xf>
    <xf numFmtId="0" fontId="11" fillId="16" borderId="28" xfId="0" applyFont="1" applyFill="1" applyBorder="1" applyAlignment="1">
      <alignment horizontal="center" vertical="center" wrapText="1"/>
    </xf>
    <xf numFmtId="0" fontId="11" fillId="16" borderId="52" xfId="0" applyFont="1" applyFill="1" applyBorder="1" applyAlignment="1">
      <alignment horizontal="center" vertical="center" wrapText="1"/>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3" fillId="7" borderId="0" xfId="0" applyFont="1" applyFill="1" applyAlignment="1">
      <alignment horizontal="center" vertical="center"/>
    </xf>
    <xf numFmtId="0" fontId="11" fillId="16" borderId="48" xfId="0" applyFont="1" applyFill="1" applyBorder="1" applyAlignment="1">
      <alignment horizontal="center" vertical="center"/>
    </xf>
    <xf numFmtId="0" fontId="11" fillId="16" borderId="6" xfId="0" applyFont="1" applyFill="1" applyBorder="1" applyAlignment="1">
      <alignment horizontal="center" vertical="center"/>
    </xf>
    <xf numFmtId="0" fontId="11" fillId="16" borderId="39" xfId="0" applyFont="1" applyFill="1" applyBorder="1" applyAlignment="1">
      <alignment horizontal="center" vertical="center"/>
    </xf>
    <xf numFmtId="0" fontId="11" fillId="16" borderId="46"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1" fillId="16" borderId="33" xfId="0" applyFont="1" applyFill="1" applyBorder="1" applyAlignment="1">
      <alignment horizontal="center" vertical="center" wrapText="1"/>
    </xf>
    <xf numFmtId="0" fontId="3" fillId="0" borderId="31" xfId="0" applyFont="1" applyBorder="1" applyAlignment="1">
      <alignment horizontal="center" vertical="center"/>
    </xf>
    <xf numFmtId="0" fontId="3" fillId="0" borderId="22" xfId="0" applyFont="1" applyBorder="1" applyAlignment="1">
      <alignment horizontal="center" vertical="center"/>
    </xf>
    <xf numFmtId="0" fontId="11" fillId="33" borderId="11" xfId="0" applyFont="1" applyFill="1" applyBorder="1" applyAlignment="1">
      <alignment horizontal="center" vertical="center" wrapText="1"/>
    </xf>
    <xf numFmtId="0" fontId="11" fillId="33" borderId="52" xfId="0" applyFont="1" applyFill="1" applyBorder="1" applyAlignment="1">
      <alignment horizontal="center" vertical="center" wrapText="1"/>
    </xf>
    <xf numFmtId="0" fontId="11" fillId="16" borderId="47" xfId="0" applyFont="1" applyFill="1" applyBorder="1" applyAlignment="1">
      <alignment horizontal="center" vertical="center" wrapText="1"/>
    </xf>
    <xf numFmtId="0" fontId="11" fillId="16" borderId="24" xfId="0" applyFont="1" applyFill="1" applyBorder="1" applyAlignment="1">
      <alignment horizontal="center" vertical="center" wrapText="1"/>
    </xf>
    <xf numFmtId="0" fontId="11" fillId="16" borderId="41" xfId="0" applyFont="1" applyFill="1" applyBorder="1" applyAlignment="1">
      <alignment horizontal="center" vertical="center" wrapText="1"/>
    </xf>
    <xf numFmtId="0" fontId="11" fillId="16" borderId="49" xfId="0" applyFont="1" applyFill="1" applyBorder="1" applyAlignment="1">
      <alignment horizontal="center" vertical="center" wrapText="1"/>
    </xf>
    <xf numFmtId="0" fontId="11" fillId="16" borderId="50" xfId="0" applyFont="1" applyFill="1" applyBorder="1" applyAlignment="1">
      <alignment horizontal="center" vertical="center" wrapText="1"/>
    </xf>
    <xf numFmtId="0" fontId="11" fillId="16" borderId="51" xfId="0" applyFont="1" applyFill="1" applyBorder="1" applyAlignment="1">
      <alignment horizontal="center" vertical="center" wrapText="1"/>
    </xf>
    <xf numFmtId="0" fontId="11" fillId="13" borderId="11" xfId="0" applyFont="1" applyFill="1" applyBorder="1" applyAlignment="1">
      <alignment horizontal="center" vertical="center" wrapText="1"/>
    </xf>
    <xf numFmtId="0" fontId="11" fillId="13" borderId="52" xfId="0" applyFont="1" applyFill="1" applyBorder="1" applyAlignment="1">
      <alignment horizontal="center" vertical="center" wrapText="1"/>
    </xf>
    <xf numFmtId="0" fontId="11" fillId="16" borderId="11" xfId="0" applyFont="1" applyFill="1" applyBorder="1" applyAlignment="1">
      <alignment horizontal="center" vertical="center" wrapText="1"/>
    </xf>
    <xf numFmtId="0" fontId="11" fillId="16" borderId="43" xfId="0" applyFont="1" applyFill="1" applyBorder="1" applyAlignment="1">
      <alignment horizontal="center" vertical="center" wrapText="1"/>
    </xf>
    <xf numFmtId="0" fontId="11" fillId="16" borderId="14" xfId="0" applyFont="1" applyFill="1" applyBorder="1" applyAlignment="1">
      <alignment horizontal="center" vertical="center" wrapText="1"/>
    </xf>
    <xf numFmtId="0" fontId="11" fillId="16" borderId="54" xfId="0" applyFont="1" applyFill="1" applyBorder="1" applyAlignment="1">
      <alignment horizontal="center" vertical="center" wrapText="1"/>
    </xf>
    <xf numFmtId="0" fontId="34" fillId="0" borderId="14" xfId="0" applyFont="1" applyBorder="1" applyAlignment="1">
      <alignment horizontal="left" wrapText="1"/>
    </xf>
    <xf numFmtId="0" fontId="34" fillId="0" borderId="0" xfId="0" applyFont="1" applyAlignment="1">
      <alignment horizontal="left" wrapText="1"/>
    </xf>
    <xf numFmtId="0" fontId="23" fillId="0" borderId="0" xfId="0" applyFont="1" applyAlignment="1">
      <alignment horizontal="center" wrapText="1"/>
    </xf>
    <xf numFmtId="0" fontId="11" fillId="8" borderId="31" xfId="0" applyFont="1" applyFill="1" applyBorder="1" applyAlignment="1">
      <alignment horizontal="center"/>
    </xf>
    <xf numFmtId="0" fontId="11" fillId="8" borderId="32" xfId="0" applyFont="1" applyFill="1" applyBorder="1" applyAlignment="1">
      <alignment horizontal="center"/>
    </xf>
    <xf numFmtId="0" fontId="11" fillId="8" borderId="22" xfId="0" applyFont="1" applyFill="1" applyBorder="1" applyAlignment="1">
      <alignment horizontal="center"/>
    </xf>
    <xf numFmtId="0" fontId="11" fillId="0" borderId="0" xfId="0" applyFont="1" applyAlignment="1">
      <alignment horizontal="center" wrapText="1"/>
    </xf>
    <xf numFmtId="0" fontId="11" fillId="5" borderId="31" xfId="1" applyFont="1" applyFill="1" applyBorder="1" applyAlignment="1">
      <alignment horizontal="center"/>
    </xf>
    <xf numFmtId="0" fontId="11" fillId="5" borderId="32" xfId="1" applyFont="1" applyFill="1" applyBorder="1" applyAlignment="1">
      <alignment horizontal="center"/>
    </xf>
    <xf numFmtId="0" fontId="14" fillId="5" borderId="27" xfId="1" applyFont="1" applyFill="1" applyBorder="1" applyAlignment="1">
      <alignment horizontal="center" vertical="center" wrapText="1"/>
    </xf>
    <xf numFmtId="0" fontId="14" fillId="5" borderId="25" xfId="1" applyFont="1" applyFill="1" applyBorder="1" applyAlignment="1">
      <alignment horizontal="center" vertical="center" wrapText="1"/>
    </xf>
    <xf numFmtId="0" fontId="14" fillId="5" borderId="27" xfId="1" applyFont="1" applyFill="1" applyBorder="1" applyAlignment="1" applyProtection="1">
      <alignment horizontal="center" vertical="center" textRotation="90" wrapText="1"/>
      <protection locked="0" hidden="1"/>
    </xf>
    <xf numFmtId="0" fontId="14" fillId="5" borderId="25" xfId="1" applyFont="1" applyFill="1" applyBorder="1" applyAlignment="1" applyProtection="1">
      <alignment horizontal="center" vertical="center" textRotation="90" wrapText="1"/>
      <protection locked="0" hidden="1"/>
    </xf>
    <xf numFmtId="0" fontId="6" fillId="3" borderId="31" xfId="0" applyFont="1" applyFill="1" applyBorder="1" applyAlignment="1">
      <alignment horizontal="center"/>
    </xf>
    <xf numFmtId="0" fontId="6" fillId="3" borderId="32" xfId="0" applyFont="1" applyFill="1" applyBorder="1" applyAlignment="1">
      <alignment horizontal="center"/>
    </xf>
    <xf numFmtId="0" fontId="6" fillId="3" borderId="22" xfId="0" applyFont="1" applyFill="1" applyBorder="1" applyAlignment="1">
      <alignment horizontal="center"/>
    </xf>
    <xf numFmtId="0" fontId="11" fillId="8" borderId="31" xfId="0" applyFont="1" applyFill="1" applyBorder="1" applyAlignment="1">
      <alignment horizontal="center" wrapText="1"/>
    </xf>
    <xf numFmtId="0" fontId="11" fillId="8" borderId="32" xfId="0" applyFont="1" applyFill="1" applyBorder="1" applyAlignment="1">
      <alignment horizontal="center" wrapText="1"/>
    </xf>
    <xf numFmtId="0" fontId="11" fillId="8" borderId="22" xfId="0" applyFont="1" applyFill="1" applyBorder="1" applyAlignment="1">
      <alignment horizontal="center" wrapText="1"/>
    </xf>
    <xf numFmtId="0" fontId="11" fillId="0" borderId="0" xfId="0" applyFont="1" applyAlignment="1">
      <alignment horizontal="center" vertical="center" wrapText="1"/>
    </xf>
    <xf numFmtId="0" fontId="11" fillId="11" borderId="27" xfId="0" applyFont="1" applyFill="1" applyBorder="1" applyAlignment="1">
      <alignment horizontal="center" vertical="center" wrapText="1"/>
    </xf>
    <xf numFmtId="0" fontId="11" fillId="11" borderId="25" xfId="0" applyFont="1" applyFill="1" applyBorder="1" applyAlignment="1">
      <alignment horizontal="center" vertical="center" wrapText="1"/>
    </xf>
    <xf numFmtId="0" fontId="3" fillId="11" borderId="35" xfId="0" applyFont="1" applyFill="1" applyBorder="1" applyAlignment="1">
      <alignment horizontal="center" vertical="center"/>
    </xf>
    <xf numFmtId="0" fontId="3" fillId="11" borderId="36" xfId="0" applyFont="1" applyFill="1" applyBorder="1" applyAlignment="1">
      <alignment horizontal="center" vertical="center"/>
    </xf>
    <xf numFmtId="0" fontId="3" fillId="11" borderId="7" xfId="0" applyFont="1" applyFill="1" applyBorder="1" applyAlignment="1">
      <alignment horizontal="center" vertical="center"/>
    </xf>
    <xf numFmtId="0" fontId="11" fillId="11" borderId="31" xfId="0" applyFont="1" applyFill="1" applyBorder="1" applyAlignment="1">
      <alignment horizontal="center" vertical="center" wrapText="1"/>
    </xf>
    <xf numFmtId="0" fontId="11" fillId="11" borderId="32" xfId="0" applyFont="1" applyFill="1" applyBorder="1" applyAlignment="1">
      <alignment horizontal="center" vertical="center" wrapText="1"/>
    </xf>
    <xf numFmtId="0" fontId="11" fillId="11" borderId="23" xfId="0" applyFont="1" applyFill="1" applyBorder="1" applyAlignment="1">
      <alignment horizontal="center" vertical="center" wrapText="1"/>
    </xf>
    <xf numFmtId="0" fontId="11" fillId="11" borderId="29" xfId="0" applyFont="1" applyFill="1" applyBorder="1" applyAlignment="1">
      <alignment horizontal="center" vertical="center" wrapText="1"/>
    </xf>
    <xf numFmtId="0" fontId="11" fillId="11" borderId="30" xfId="0" applyFont="1" applyFill="1" applyBorder="1" applyAlignment="1">
      <alignment horizontal="center" vertical="center" wrapText="1"/>
    </xf>
    <xf numFmtId="0" fontId="11" fillId="11" borderId="45" xfId="0" applyFont="1" applyFill="1" applyBorder="1" applyAlignment="1">
      <alignment horizontal="center" vertical="center" wrapText="1"/>
    </xf>
    <xf numFmtId="0" fontId="11" fillId="11" borderId="26" xfId="0" applyFont="1" applyFill="1" applyBorder="1" applyAlignment="1">
      <alignment horizontal="center" vertical="center" wrapText="1"/>
    </xf>
    <xf numFmtId="0" fontId="12" fillId="0" borderId="0" xfId="0" applyFont="1" applyAlignment="1">
      <alignment horizontal="center" vertical="center"/>
    </xf>
    <xf numFmtId="0" fontId="3" fillId="16" borderId="31" xfId="0" applyFont="1" applyFill="1" applyBorder="1" applyAlignment="1">
      <alignment horizontal="center" vertical="center"/>
    </xf>
    <xf numFmtId="0" fontId="3" fillId="16" borderId="32" xfId="0" applyFont="1" applyFill="1" applyBorder="1" applyAlignment="1">
      <alignment horizontal="center" vertical="center"/>
    </xf>
    <xf numFmtId="0" fontId="3" fillId="16" borderId="22" xfId="0" applyFont="1" applyFill="1" applyBorder="1" applyAlignment="1">
      <alignment horizontal="center" vertical="center"/>
    </xf>
    <xf numFmtId="0" fontId="11" fillId="11" borderId="44" xfId="0" applyFont="1" applyFill="1" applyBorder="1" applyAlignment="1">
      <alignment horizontal="center" vertical="center" wrapText="1"/>
    </xf>
    <xf numFmtId="0" fontId="3" fillId="6" borderId="31" xfId="0" applyFont="1" applyFill="1" applyBorder="1" applyAlignment="1">
      <alignment horizontal="center" vertical="center"/>
    </xf>
    <xf numFmtId="0" fontId="3" fillId="6" borderId="32" xfId="0" applyFont="1" applyFill="1" applyBorder="1" applyAlignment="1">
      <alignment horizontal="center" vertical="center"/>
    </xf>
    <xf numFmtId="0" fontId="3" fillId="6" borderId="22" xfId="0" applyFont="1" applyFill="1" applyBorder="1" applyAlignment="1">
      <alignment horizontal="center" vertical="center"/>
    </xf>
    <xf numFmtId="0" fontId="11" fillId="6" borderId="3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3" fillId="6" borderId="35" xfId="0" applyFont="1" applyFill="1" applyBorder="1" applyAlignment="1">
      <alignment horizontal="center" vertical="center"/>
    </xf>
    <xf numFmtId="0" fontId="3" fillId="6" borderId="36" xfId="0" applyFont="1" applyFill="1" applyBorder="1" applyAlignment="1">
      <alignment horizontal="center" vertical="center"/>
    </xf>
    <xf numFmtId="0" fontId="3" fillId="6" borderId="7" xfId="0" applyFont="1" applyFill="1" applyBorder="1" applyAlignment="1">
      <alignment horizontal="center" vertical="center"/>
    </xf>
    <xf numFmtId="0" fontId="11" fillId="6" borderId="27"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11" fillId="6" borderId="2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29" xfId="0" applyFont="1" applyFill="1" applyBorder="1" applyAlignment="1">
      <alignment horizontal="center" vertical="center" wrapText="1"/>
    </xf>
    <xf numFmtId="0" fontId="3" fillId="6" borderId="34" xfId="0" applyFont="1" applyFill="1" applyBorder="1" applyAlignment="1">
      <alignment horizontal="center" vertical="center"/>
    </xf>
    <xf numFmtId="49" fontId="69" fillId="29" borderId="1" xfId="0" applyNumberFormat="1" applyFont="1" applyFill="1" applyBorder="1" applyAlignment="1">
      <alignment horizontal="center" vertical="center" wrapText="1"/>
    </xf>
    <xf numFmtId="0" fontId="55" fillId="0" borderId="46" xfId="0" applyFont="1" applyBorder="1" applyAlignment="1">
      <alignment horizontal="center" vertical="center" wrapText="1"/>
    </xf>
    <xf numFmtId="0" fontId="55" fillId="0" borderId="33" xfId="0" applyFont="1" applyBorder="1" applyAlignment="1">
      <alignment horizontal="center" vertical="center" wrapText="1"/>
    </xf>
    <xf numFmtId="0" fontId="51" fillId="0" borderId="46" xfId="0" applyFont="1" applyBorder="1" applyAlignment="1">
      <alignment horizontal="center" vertical="center"/>
    </xf>
    <xf numFmtId="0" fontId="51" fillId="0" borderId="33" xfId="0" applyFont="1" applyBorder="1" applyAlignment="1">
      <alignment horizontal="center" vertical="center"/>
    </xf>
    <xf numFmtId="0" fontId="58" fillId="29" borderId="32" xfId="0" applyFont="1" applyFill="1" applyBorder="1" applyAlignment="1">
      <alignment horizontal="left"/>
    </xf>
    <xf numFmtId="0" fontId="58" fillId="29" borderId="62" xfId="0" applyFont="1" applyFill="1" applyBorder="1" applyAlignment="1">
      <alignment horizontal="left"/>
    </xf>
    <xf numFmtId="0" fontId="51" fillId="0" borderId="18" xfId="0" applyFont="1" applyBorder="1" applyAlignment="1">
      <alignment horizontal="center" vertical="center"/>
    </xf>
    <xf numFmtId="0" fontId="51" fillId="0" borderId="19" xfId="0" applyFont="1" applyBorder="1" applyAlignment="1">
      <alignment horizontal="center" vertical="center"/>
    </xf>
    <xf numFmtId="0" fontId="73" fillId="28" borderId="18" xfId="0" applyFont="1" applyFill="1" applyBorder="1" applyAlignment="1">
      <alignment horizontal="center" vertical="center"/>
    </xf>
    <xf numFmtId="0" fontId="73" fillId="28" borderId="52" xfId="0" applyFont="1" applyFill="1" applyBorder="1" applyAlignment="1">
      <alignment horizontal="center" vertical="center"/>
    </xf>
    <xf numFmtId="0" fontId="55" fillId="28" borderId="46" xfId="0" applyFont="1" applyFill="1" applyBorder="1" applyAlignment="1">
      <alignment horizontal="center" vertical="center" wrapText="1"/>
    </xf>
    <xf numFmtId="0" fontId="55" fillId="28" borderId="33" xfId="0" applyFont="1" applyFill="1" applyBorder="1" applyAlignment="1">
      <alignment horizontal="center" vertical="center" wrapText="1"/>
    </xf>
    <xf numFmtId="0" fontId="55" fillId="28" borderId="61" xfId="0" applyFont="1" applyFill="1" applyBorder="1" applyAlignment="1">
      <alignment horizontal="center" vertical="center" wrapText="1"/>
    </xf>
    <xf numFmtId="0" fontId="55" fillId="28" borderId="52" xfId="0" applyFont="1" applyFill="1" applyBorder="1" applyAlignment="1">
      <alignment horizontal="center" vertical="center" wrapText="1"/>
    </xf>
    <xf numFmtId="0" fontId="51" fillId="28" borderId="46" xfId="0" applyFont="1" applyFill="1" applyBorder="1" applyAlignment="1">
      <alignment horizontal="center" vertical="center" wrapText="1"/>
    </xf>
    <xf numFmtId="0" fontId="51" fillId="28" borderId="33" xfId="0" applyFont="1" applyFill="1" applyBorder="1" applyAlignment="1">
      <alignment horizontal="center" vertical="center" wrapText="1"/>
    </xf>
    <xf numFmtId="0" fontId="54" fillId="0" borderId="46" xfId="0" applyFont="1" applyBorder="1" applyAlignment="1">
      <alignment horizontal="center" vertical="center" wrapText="1"/>
    </xf>
    <xf numFmtId="0" fontId="54" fillId="0" borderId="33" xfId="0" applyFont="1" applyBorder="1" applyAlignment="1">
      <alignment horizontal="center" vertical="center" wrapText="1"/>
    </xf>
    <xf numFmtId="0" fontId="57" fillId="0" borderId="46" xfId="0" applyFont="1" applyBorder="1" applyAlignment="1">
      <alignment horizontal="center" vertical="center" wrapText="1"/>
    </xf>
    <xf numFmtId="0" fontId="57" fillId="0" borderId="33" xfId="0" applyFont="1" applyBorder="1" applyAlignment="1">
      <alignment horizontal="center" vertical="center" wrapText="1"/>
    </xf>
    <xf numFmtId="0" fontId="56" fillId="0" borderId="61" xfId="0" applyFont="1" applyBorder="1" applyAlignment="1">
      <alignment horizontal="center" vertical="center" wrapText="1"/>
    </xf>
    <xf numFmtId="0" fontId="56" fillId="0" borderId="52" xfId="0" applyFont="1" applyBorder="1" applyAlignment="1">
      <alignment horizontal="center" vertical="center" wrapText="1"/>
    </xf>
    <xf numFmtId="0" fontId="50" fillId="0" borderId="0" xfId="0" applyFont="1" applyAlignment="1">
      <alignment horizontal="center"/>
    </xf>
    <xf numFmtId="17" fontId="50" fillId="0" borderId="0" xfId="0" applyNumberFormat="1" applyFont="1" applyAlignment="1">
      <alignment horizontal="center"/>
    </xf>
    <xf numFmtId="0" fontId="52" fillId="0" borderId="0" xfId="0" applyFont="1" applyAlignment="1">
      <alignment horizontal="center"/>
    </xf>
    <xf numFmtId="0" fontId="46" fillId="0" borderId="48" xfId="0" applyFont="1" applyBorder="1" applyAlignment="1">
      <alignment horizontal="center" vertical="center"/>
    </xf>
    <xf numFmtId="0" fontId="46" fillId="0" borderId="39" xfId="0" applyFont="1" applyBorder="1" applyAlignment="1">
      <alignment horizontal="center" vertical="center"/>
    </xf>
    <xf numFmtId="49" fontId="46" fillId="0" borderId="46" xfId="0" applyNumberFormat="1" applyFont="1" applyBorder="1" applyAlignment="1">
      <alignment horizontal="center" vertical="center"/>
    </xf>
    <xf numFmtId="49" fontId="46" fillId="0" borderId="33" xfId="0" applyNumberFormat="1" applyFont="1" applyBorder="1" applyAlignment="1">
      <alignment horizontal="center" vertical="center"/>
    </xf>
    <xf numFmtId="0" fontId="46" fillId="27" borderId="46" xfId="0" applyFont="1" applyFill="1" applyBorder="1" applyAlignment="1">
      <alignment horizontal="center" vertical="center" wrapText="1"/>
    </xf>
    <xf numFmtId="0" fontId="46" fillId="27" borderId="33" xfId="0" applyFont="1" applyFill="1" applyBorder="1" applyAlignment="1">
      <alignment horizontal="center" vertical="center" wrapText="1"/>
    </xf>
    <xf numFmtId="0" fontId="54" fillId="27" borderId="46" xfId="0" applyFont="1" applyFill="1" applyBorder="1" applyAlignment="1">
      <alignment horizontal="center" vertical="center" wrapText="1"/>
    </xf>
    <xf numFmtId="0" fontId="54" fillId="27" borderId="33" xfId="0" applyFont="1" applyFill="1" applyBorder="1" applyAlignment="1">
      <alignment horizontal="center" vertical="center" wrapText="1"/>
    </xf>
    <xf numFmtId="0" fontId="11" fillId="7" borderId="27" xfId="0" applyFont="1" applyFill="1" applyBorder="1" applyAlignment="1">
      <alignment horizontal="center" vertical="center" wrapText="1"/>
    </xf>
    <xf numFmtId="0" fontId="11" fillId="7" borderId="25" xfId="0" applyFont="1" applyFill="1" applyBorder="1" applyAlignment="1">
      <alignment horizontal="center" vertical="center" wrapText="1"/>
    </xf>
    <xf numFmtId="0" fontId="28" fillId="7" borderId="27" xfId="0" applyFont="1" applyFill="1" applyBorder="1" applyAlignment="1">
      <alignment horizontal="center" vertical="center" wrapText="1"/>
    </xf>
    <xf numFmtId="0" fontId="28" fillId="7" borderId="25" xfId="0" applyFont="1" applyFill="1" applyBorder="1" applyAlignment="1">
      <alignment horizontal="center" vertical="center" wrapText="1"/>
    </xf>
    <xf numFmtId="0" fontId="3" fillId="0" borderId="0" xfId="0" applyFont="1" applyAlignment="1">
      <alignment horizontal="center" vertical="center"/>
    </xf>
    <xf numFmtId="0" fontId="11" fillId="7" borderId="37" xfId="0" applyFont="1" applyFill="1" applyBorder="1" applyAlignment="1">
      <alignment horizontal="center" vertical="center" wrapText="1"/>
    </xf>
    <xf numFmtId="0" fontId="11" fillId="7" borderId="38" xfId="0" applyFont="1" applyFill="1" applyBorder="1" applyAlignment="1">
      <alignment horizontal="center" vertical="center" wrapText="1"/>
    </xf>
    <xf numFmtId="0" fontId="11" fillId="7" borderId="29" xfId="0" applyFont="1" applyFill="1" applyBorder="1" applyAlignment="1">
      <alignment horizontal="center" vertical="center" wrapText="1"/>
    </xf>
    <xf numFmtId="0" fontId="82" fillId="34" borderId="31" xfId="0" applyFont="1" applyFill="1" applyBorder="1" applyAlignment="1">
      <alignment horizontal="center"/>
    </xf>
    <xf numFmtId="0" fontId="82" fillId="34" borderId="32" xfId="0" applyFont="1" applyFill="1" applyBorder="1" applyAlignment="1">
      <alignment horizontal="center"/>
    </xf>
    <xf numFmtId="0" fontId="82" fillId="34" borderId="22" xfId="0" applyFont="1" applyFill="1" applyBorder="1" applyAlignment="1">
      <alignment horizontal="center"/>
    </xf>
    <xf numFmtId="0" fontId="57" fillId="35" borderId="13" xfId="0" applyFont="1" applyFill="1" applyBorder="1" applyAlignment="1">
      <alignment horizontal="center" wrapText="1"/>
    </xf>
    <xf numFmtId="0" fontId="87" fillId="35" borderId="60" xfId="0" applyFont="1" applyFill="1" applyBorder="1" applyAlignment="1">
      <alignment horizontal="center" wrapText="1"/>
    </xf>
    <xf numFmtId="0" fontId="14" fillId="0" borderId="31" xfId="0" applyFont="1" applyBorder="1" applyAlignment="1">
      <alignment horizontal="center" wrapText="1"/>
    </xf>
    <xf numFmtId="0" fontId="14" fillId="0" borderId="32" xfId="0" applyFont="1" applyBorder="1" applyAlignment="1">
      <alignment horizontal="center" wrapText="1"/>
    </xf>
    <xf numFmtId="0" fontId="14" fillId="0" borderId="22" xfId="0" applyFont="1" applyBorder="1" applyAlignment="1">
      <alignment horizontal="center" wrapText="1"/>
    </xf>
    <xf numFmtId="0" fontId="3" fillId="0" borderId="7" xfId="0" applyFont="1"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xf numFmtId="0" fontId="0" fillId="0" borderId="39" xfId="0" applyBorder="1" applyAlignment="1">
      <alignment horizontal="center" vertical="center" wrapText="1"/>
    </xf>
    <xf numFmtId="0" fontId="3" fillId="0" borderId="8" xfId="0" applyFont="1" applyBorder="1" applyAlignment="1">
      <alignment horizontal="left" vertical="center" wrapText="1"/>
    </xf>
    <xf numFmtId="0" fontId="0" fillId="0" borderId="40" xfId="0" applyBorder="1" applyAlignment="1">
      <alignment horizontal="left" vertical="center" wrapText="1"/>
    </xf>
    <xf numFmtId="0" fontId="3" fillId="0" borderId="1" xfId="0" applyFont="1" applyBorder="1" applyAlignment="1">
      <alignment horizontal="left" vertical="center" wrapText="1"/>
    </xf>
    <xf numFmtId="0" fontId="0" fillId="0" borderId="24" xfId="0" applyBorder="1" applyAlignment="1">
      <alignment horizontal="left" vertical="center" wrapText="1"/>
    </xf>
    <xf numFmtId="44" fontId="11" fillId="8" borderId="33" xfId="0" applyNumberFormat="1" applyFont="1" applyFill="1" applyBorder="1" applyAlignment="1">
      <alignment horizontal="left" vertical="center"/>
    </xf>
    <xf numFmtId="44" fontId="11" fillId="8" borderId="41" xfId="0" applyNumberFormat="1" applyFont="1" applyFill="1" applyBorder="1" applyAlignment="1">
      <alignment horizontal="left" vertical="center"/>
    </xf>
    <xf numFmtId="0" fontId="3" fillId="0" borderId="13" xfId="0" applyFont="1" applyBorder="1" applyAlignment="1">
      <alignment horizontal="center" vertical="center" wrapText="1"/>
    </xf>
    <xf numFmtId="0" fontId="0" fillId="0" borderId="4" xfId="0" applyBorder="1" applyAlignment="1">
      <alignment horizontal="center" vertical="center" wrapText="1"/>
    </xf>
  </cellXfs>
  <cellStyles count="12">
    <cellStyle name="Énfasis1" xfId="1" builtinId="29"/>
    <cellStyle name="Euro" xfId="2" xr:uid="{00000000-0005-0000-0000-000001000000}"/>
    <cellStyle name="Millares" xfId="11" builtinId="3"/>
    <cellStyle name="Millares 4" xfId="3" xr:uid="{00000000-0005-0000-0000-000003000000}"/>
    <cellStyle name="Moneda" xfId="4" builtinId="4"/>
    <cellStyle name="Moneda 2" xfId="9" xr:uid="{00000000-0005-0000-0000-000005000000}"/>
    <cellStyle name="Normal" xfId="0" builtinId="0"/>
    <cellStyle name="Normal 2" xfId="5" xr:uid="{00000000-0005-0000-0000-000007000000}"/>
    <cellStyle name="Normal 2 2" xfId="10" xr:uid="{00000000-0005-0000-0000-000008000000}"/>
    <cellStyle name="Normal 3" xfId="8" xr:uid="{00000000-0005-0000-0000-000009000000}"/>
    <cellStyle name="Normal 4" xfId="6" xr:uid="{00000000-0005-0000-0000-00000A000000}"/>
    <cellStyle name="Porcentaje" xfId="7"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theme" Target="theme/theme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0</xdr:colOff>
      <xdr:row>0</xdr:row>
      <xdr:rowOff>0</xdr:rowOff>
    </xdr:to>
    <xdr:sp macro="" textlink="">
      <xdr:nvSpPr>
        <xdr:cNvPr id="18831" name="Rectangle 3">
          <a:extLst>
            <a:ext uri="{FF2B5EF4-FFF2-40B4-BE49-F238E27FC236}">
              <a16:creationId xmlns:a16="http://schemas.microsoft.com/office/drawing/2014/main" id="{00000000-0008-0000-0300-00008F490000}"/>
            </a:ext>
          </a:extLst>
        </xdr:cNvPr>
        <xdr:cNvSpPr>
          <a:spLocks noChangeArrowheads="1"/>
        </xdr:cNvSpPr>
      </xdr:nvSpPr>
      <xdr:spPr bwMode="auto">
        <a:xfrm>
          <a:off x="9334500" y="0"/>
          <a:ext cx="0" cy="0"/>
        </a:xfrm>
        <a:prstGeom prst="rect">
          <a:avLst/>
        </a:prstGeom>
        <a:solidFill>
          <a:srgbClr val="FFFFCC"/>
        </a:solidFill>
        <a:ln w="9525">
          <a:solidFill>
            <a:srgbClr val="000000"/>
          </a:solidFill>
          <a:miter lim="800000"/>
          <a:headEnd/>
          <a:tailEnd/>
        </a:ln>
      </xdr:spPr>
    </xdr:sp>
    <xdr:clientData/>
  </xdr:twoCellAnchor>
  <xdr:twoCellAnchor>
    <xdr:from>
      <xdr:col>10</xdr:col>
      <xdr:colOff>0</xdr:colOff>
      <xdr:row>0</xdr:row>
      <xdr:rowOff>0</xdr:rowOff>
    </xdr:from>
    <xdr:to>
      <xdr:col>10</xdr:col>
      <xdr:colOff>0</xdr:colOff>
      <xdr:row>0</xdr:row>
      <xdr:rowOff>0</xdr:rowOff>
    </xdr:to>
    <xdr:sp macro="" textlink="">
      <xdr:nvSpPr>
        <xdr:cNvPr id="2052" name="Rectangle 4">
          <a:extLst>
            <a:ext uri="{FF2B5EF4-FFF2-40B4-BE49-F238E27FC236}">
              <a16:creationId xmlns:a16="http://schemas.microsoft.com/office/drawing/2014/main" id="{00000000-0008-0000-0300-000004080000}"/>
            </a:ext>
          </a:extLst>
        </xdr:cNvPr>
        <xdr:cNvSpPr>
          <a:spLocks noChangeArrowheads="1"/>
        </xdr:cNvSpPr>
      </xdr:nvSpPr>
      <xdr:spPr bwMode="auto">
        <a:xfrm>
          <a:off x="6953250" y="638175"/>
          <a:ext cx="466725" cy="209550"/>
        </a:xfrm>
        <a:prstGeom prst="rect">
          <a:avLst/>
        </a:prstGeom>
        <a:solidFill>
          <a:srgbClr val="C0C0C0"/>
        </a:solidFill>
        <a:ln w="9525">
          <a:solidFill>
            <a:srgbClr val="000000"/>
          </a:solidFill>
          <a:miter lim="800000"/>
          <a:headEnd/>
          <a:tailEnd/>
        </a:ln>
      </xdr:spPr>
      <xdr:txBody>
        <a:bodyPr vertOverflow="clip" wrap="square" lIns="27432" tIns="22860" rIns="0" bIns="0" anchor="t" upright="1"/>
        <a:lstStyle/>
        <a:p>
          <a:pPr algn="l" rtl="0">
            <a:defRPr sz="1000"/>
          </a:pPr>
          <a:endParaRPr lang="es-CL" sz="1000" b="1" i="0" strike="noStrike">
            <a:solidFill>
              <a:srgbClr val="FF9900"/>
            </a:solidFill>
            <a:latin typeface="Arial"/>
            <a:cs typeface="Arial"/>
          </a:endParaRPr>
        </a:p>
        <a:p>
          <a:pPr algn="l" rtl="0">
            <a:defRPr sz="1000"/>
          </a:pPr>
          <a:endParaRPr lang="es-CL" sz="1000" b="1" i="0" strike="noStrike">
            <a:solidFill>
              <a:srgbClr val="FF99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9525</xdr:colOff>
      <xdr:row>17</xdr:row>
      <xdr:rowOff>58420</xdr:rowOff>
    </xdr:to>
    <xdr:pic>
      <xdr:nvPicPr>
        <xdr:cNvPr id="2" name="Imagen 1">
          <a:extLst>
            <a:ext uri="{FF2B5EF4-FFF2-40B4-BE49-F238E27FC236}">
              <a16:creationId xmlns:a16="http://schemas.microsoft.com/office/drawing/2014/main" id="{A8A18158-172B-7410-B83C-7C4B32FF7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114675" cy="2811145"/>
        </a:xfrm>
        <a:prstGeom prst="rect">
          <a:avLst/>
        </a:prstGeom>
        <a:noFill/>
        <a:ln>
          <a:noFill/>
        </a:ln>
      </xdr:spPr>
    </xdr:pic>
    <xdr:clientData/>
  </xdr:twoCellAnchor>
  <xdr:twoCellAnchor editAs="oneCell">
    <xdr:from>
      <xdr:col>0</xdr:col>
      <xdr:colOff>0</xdr:colOff>
      <xdr:row>23</xdr:row>
      <xdr:rowOff>0</xdr:rowOff>
    </xdr:from>
    <xdr:to>
      <xdr:col>6</xdr:col>
      <xdr:colOff>230504</xdr:colOff>
      <xdr:row>24</xdr:row>
      <xdr:rowOff>28575</xdr:rowOff>
    </xdr:to>
    <xdr:pic>
      <xdr:nvPicPr>
        <xdr:cNvPr id="3" name="Imagen 2">
          <a:extLst>
            <a:ext uri="{FF2B5EF4-FFF2-40B4-BE49-F238E27FC236}">
              <a16:creationId xmlns:a16="http://schemas.microsoft.com/office/drawing/2014/main" id="{C81B0181-CE80-C6CB-FDE0-BE4725F39E3B}"/>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1484" t="4762"/>
        <a:stretch/>
      </xdr:blipFill>
      <xdr:spPr bwMode="auto">
        <a:xfrm>
          <a:off x="0" y="3724275"/>
          <a:ext cx="4859654" cy="1905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0</xdr:colOff>
      <xdr:row>0</xdr:row>
      <xdr:rowOff>0</xdr:rowOff>
    </xdr:to>
    <xdr:sp macro="" textlink="">
      <xdr:nvSpPr>
        <xdr:cNvPr id="21650" name="Rectangle 3">
          <a:extLst>
            <a:ext uri="{FF2B5EF4-FFF2-40B4-BE49-F238E27FC236}">
              <a16:creationId xmlns:a16="http://schemas.microsoft.com/office/drawing/2014/main" id="{00000000-0008-0000-0400-000092540000}"/>
            </a:ext>
          </a:extLst>
        </xdr:cNvPr>
        <xdr:cNvSpPr>
          <a:spLocks noChangeArrowheads="1"/>
        </xdr:cNvSpPr>
      </xdr:nvSpPr>
      <xdr:spPr bwMode="auto">
        <a:xfrm>
          <a:off x="11191875" y="0"/>
          <a:ext cx="0" cy="0"/>
        </a:xfrm>
        <a:prstGeom prst="rect">
          <a:avLst/>
        </a:prstGeom>
        <a:solidFill>
          <a:srgbClr val="FFFFCC"/>
        </a:solidFill>
        <a:ln w="9525">
          <a:solidFill>
            <a:srgbClr val="000000"/>
          </a:solidFill>
          <a:miter lim="800000"/>
          <a:headEnd/>
          <a:tailEnd/>
        </a:ln>
      </xdr:spPr>
    </xdr:sp>
    <xdr:clientData/>
  </xdr:twoCellAnchor>
  <xdr:twoCellAnchor>
    <xdr:from>
      <xdr:col>10</xdr:col>
      <xdr:colOff>0</xdr:colOff>
      <xdr:row>0</xdr:row>
      <xdr:rowOff>0</xdr:rowOff>
    </xdr:from>
    <xdr:to>
      <xdr:col>10</xdr:col>
      <xdr:colOff>0</xdr:colOff>
      <xdr:row>0</xdr:row>
      <xdr:rowOff>0</xdr:rowOff>
    </xdr:to>
    <xdr:sp macro="" textlink="">
      <xdr:nvSpPr>
        <xdr:cNvPr id="3" name="Rectangle 4">
          <a:extLst>
            <a:ext uri="{FF2B5EF4-FFF2-40B4-BE49-F238E27FC236}">
              <a16:creationId xmlns:a16="http://schemas.microsoft.com/office/drawing/2014/main" id="{00000000-0008-0000-0400-000003000000}"/>
            </a:ext>
          </a:extLst>
        </xdr:cNvPr>
        <xdr:cNvSpPr>
          <a:spLocks noChangeArrowheads="1"/>
        </xdr:cNvSpPr>
      </xdr:nvSpPr>
      <xdr:spPr bwMode="auto">
        <a:xfrm>
          <a:off x="10658475" y="0"/>
          <a:ext cx="0" cy="0"/>
        </a:xfrm>
        <a:prstGeom prst="rect">
          <a:avLst/>
        </a:prstGeom>
        <a:solidFill>
          <a:srgbClr val="C0C0C0"/>
        </a:solidFill>
        <a:ln w="9525">
          <a:solidFill>
            <a:srgbClr val="000000"/>
          </a:solidFill>
          <a:miter lim="800000"/>
          <a:headEnd/>
          <a:tailEnd/>
        </a:ln>
      </xdr:spPr>
      <xdr:txBody>
        <a:bodyPr vertOverflow="clip" wrap="square" lIns="27432" tIns="22860" rIns="0" bIns="0" anchor="t" upright="1"/>
        <a:lstStyle/>
        <a:p>
          <a:pPr algn="l" rtl="0">
            <a:defRPr sz="1000"/>
          </a:pPr>
          <a:endParaRPr lang="es-CL" sz="1000" b="1" i="0" strike="noStrike">
            <a:solidFill>
              <a:srgbClr val="FF9900"/>
            </a:solidFill>
            <a:latin typeface="Arial"/>
            <a:cs typeface="Arial"/>
          </a:endParaRPr>
        </a:p>
        <a:p>
          <a:pPr algn="l" rtl="0">
            <a:defRPr sz="1000"/>
          </a:pPr>
          <a:endParaRPr lang="es-CL" sz="1000" b="1" i="0" strike="noStrike">
            <a:solidFill>
              <a:srgbClr val="FF99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0</xdr:colOff>
      <xdr:row>0</xdr:row>
      <xdr:rowOff>0</xdr:rowOff>
    </xdr:from>
    <xdr:to>
      <xdr:col>8</xdr:col>
      <xdr:colOff>0</xdr:colOff>
      <xdr:row>0</xdr:row>
      <xdr:rowOff>0</xdr:rowOff>
    </xdr:to>
    <xdr:sp macro="" textlink="">
      <xdr:nvSpPr>
        <xdr:cNvPr id="20663" name="Rectangle 3">
          <a:extLst>
            <a:ext uri="{FF2B5EF4-FFF2-40B4-BE49-F238E27FC236}">
              <a16:creationId xmlns:a16="http://schemas.microsoft.com/office/drawing/2014/main" id="{00000000-0008-0000-0500-0000B7500000}"/>
            </a:ext>
          </a:extLst>
        </xdr:cNvPr>
        <xdr:cNvSpPr>
          <a:spLocks noChangeArrowheads="1"/>
        </xdr:cNvSpPr>
      </xdr:nvSpPr>
      <xdr:spPr bwMode="auto">
        <a:xfrm>
          <a:off x="6991350" y="0"/>
          <a:ext cx="0" cy="0"/>
        </a:xfrm>
        <a:prstGeom prst="rect">
          <a:avLst/>
        </a:prstGeom>
        <a:solidFill>
          <a:srgbClr val="FFFFCC"/>
        </a:solidFill>
        <a:ln w="9525">
          <a:solidFill>
            <a:srgbClr val="000000"/>
          </a:solidFill>
          <a:miter lim="800000"/>
          <a:headEnd/>
          <a:tailEnd/>
        </a:ln>
      </xdr:spPr>
    </xdr:sp>
    <xdr:clientData/>
  </xdr:twoCellAnchor>
  <xdr:twoCellAnchor>
    <xdr:from>
      <xdr:col>8</xdr:col>
      <xdr:colOff>0</xdr:colOff>
      <xdr:row>0</xdr:row>
      <xdr:rowOff>0</xdr:rowOff>
    </xdr:from>
    <xdr:to>
      <xdr:col>8</xdr:col>
      <xdr:colOff>0</xdr:colOff>
      <xdr:row>0</xdr:row>
      <xdr:rowOff>0</xdr:rowOff>
    </xdr:to>
    <xdr:sp macro="" textlink="">
      <xdr:nvSpPr>
        <xdr:cNvPr id="2052" name="Rectangle 4">
          <a:extLst>
            <a:ext uri="{FF2B5EF4-FFF2-40B4-BE49-F238E27FC236}">
              <a16:creationId xmlns:a16="http://schemas.microsoft.com/office/drawing/2014/main" id="{00000000-0008-0000-0500-000004080000}"/>
            </a:ext>
          </a:extLst>
        </xdr:cNvPr>
        <xdr:cNvSpPr>
          <a:spLocks noChangeArrowheads="1"/>
        </xdr:cNvSpPr>
      </xdr:nvSpPr>
      <xdr:spPr bwMode="auto">
        <a:xfrm>
          <a:off x="6953250" y="638175"/>
          <a:ext cx="466725" cy="209550"/>
        </a:xfrm>
        <a:prstGeom prst="rect">
          <a:avLst/>
        </a:prstGeom>
        <a:solidFill>
          <a:srgbClr val="C0C0C0"/>
        </a:solidFill>
        <a:ln w="9525">
          <a:solidFill>
            <a:srgbClr val="000000"/>
          </a:solidFill>
          <a:miter lim="800000"/>
          <a:headEnd/>
          <a:tailEnd/>
        </a:ln>
      </xdr:spPr>
      <xdr:txBody>
        <a:bodyPr vertOverflow="clip" wrap="square" lIns="27432" tIns="22860" rIns="0" bIns="0" anchor="t" upright="1"/>
        <a:lstStyle/>
        <a:p>
          <a:pPr algn="l" rtl="0">
            <a:defRPr sz="1000"/>
          </a:pPr>
          <a:endParaRPr lang="es-CL" sz="1000" b="1" i="0" strike="noStrike">
            <a:solidFill>
              <a:srgbClr val="FF9900"/>
            </a:solidFill>
            <a:latin typeface="Arial"/>
            <a:cs typeface="Arial"/>
          </a:endParaRPr>
        </a:p>
        <a:p>
          <a:pPr algn="l" rtl="0">
            <a:defRPr sz="1000"/>
          </a:pPr>
          <a:endParaRPr lang="es-CL" sz="1000" b="1" i="0" strike="noStrike">
            <a:solidFill>
              <a:srgbClr val="FF99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157110</xdr:colOff>
      <xdr:row>0</xdr:row>
      <xdr:rowOff>0</xdr:rowOff>
    </xdr:from>
    <xdr:to>
      <xdr:col>3</xdr:col>
      <xdr:colOff>574640</xdr:colOff>
      <xdr:row>3</xdr:row>
      <xdr:rowOff>147480</xdr:rowOff>
    </xdr:to>
    <xdr:pic>
      <xdr:nvPicPr>
        <xdr:cNvPr id="2" name="Imagen 3">
          <a:extLst>
            <a:ext uri="{FF2B5EF4-FFF2-40B4-BE49-F238E27FC236}">
              <a16:creationId xmlns:a16="http://schemas.microsoft.com/office/drawing/2014/main" id="{06EAD7FA-2A7A-44FC-B324-BADEC871A0F7}"/>
            </a:ext>
          </a:extLst>
        </xdr:cNvPr>
        <xdr:cNvPicPr>
          <a:picLocks noChangeAspect="1"/>
        </xdr:cNvPicPr>
      </xdr:nvPicPr>
      <xdr:blipFill>
        <a:blip xmlns:r="http://schemas.openxmlformats.org/officeDocument/2006/relationships" r:embed="rId1"/>
        <a:stretch>
          <a:fillRect/>
        </a:stretch>
      </xdr:blipFill>
      <xdr:spPr>
        <a:xfrm>
          <a:off x="157110" y="0"/>
          <a:ext cx="874730" cy="633255"/>
        </a:xfrm>
        <a:prstGeom prst="rect">
          <a:avLst/>
        </a:prstGeom>
      </xdr:spPr>
    </xdr:pic>
    <xdr:clientData/>
  </xdr:twoCellAnchor>
  <xdr:twoCellAnchor editAs="oneCell">
    <xdr:from>
      <xdr:col>20</xdr:col>
      <xdr:colOff>566958</xdr:colOff>
      <xdr:row>0</xdr:row>
      <xdr:rowOff>107372</xdr:rowOff>
    </xdr:from>
    <xdr:to>
      <xdr:col>20</xdr:col>
      <xdr:colOff>1542473</xdr:colOff>
      <xdr:row>7</xdr:row>
      <xdr:rowOff>49356</xdr:rowOff>
    </xdr:to>
    <xdr:pic>
      <xdr:nvPicPr>
        <xdr:cNvPr id="5" name="Imagen 4">
          <a:extLst>
            <a:ext uri="{FF2B5EF4-FFF2-40B4-BE49-F238E27FC236}">
              <a16:creationId xmlns:a16="http://schemas.microsoft.com/office/drawing/2014/main" id="{200FC225-0E26-4F56-9B6C-5F68A92D359B}"/>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84175" b="33289"/>
        <a:stretch/>
      </xdr:blipFill>
      <xdr:spPr bwMode="auto">
        <a:xfrm>
          <a:off x="18254883" y="107372"/>
          <a:ext cx="975515" cy="107545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357187</xdr:colOff>
      <xdr:row>97</xdr:row>
      <xdr:rowOff>0</xdr:rowOff>
    </xdr:from>
    <xdr:to>
      <xdr:col>20</xdr:col>
      <xdr:colOff>731370</xdr:colOff>
      <xdr:row>100</xdr:row>
      <xdr:rowOff>100075</xdr:rowOff>
    </xdr:to>
    <xdr:pic>
      <xdr:nvPicPr>
        <xdr:cNvPr id="6" name="Imagen 5">
          <a:extLst>
            <a:ext uri="{FF2B5EF4-FFF2-40B4-BE49-F238E27FC236}">
              <a16:creationId xmlns:a16="http://schemas.microsoft.com/office/drawing/2014/main" id="{7A75041F-AB6A-4336-9597-B0574AA9068C}"/>
            </a:ext>
          </a:extLst>
        </xdr:cNvPr>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r="84175" b="33289"/>
        <a:stretch/>
      </xdr:blipFill>
      <xdr:spPr bwMode="auto">
        <a:xfrm>
          <a:off x="16883062" y="45986700"/>
          <a:ext cx="731370" cy="85255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18</xdr:col>
      <xdr:colOff>1021772</xdr:colOff>
      <xdr:row>97</xdr:row>
      <xdr:rowOff>0</xdr:rowOff>
    </xdr:from>
    <xdr:to>
      <xdr:col>20</xdr:col>
      <xdr:colOff>972340</xdr:colOff>
      <xdr:row>107</xdr:row>
      <xdr:rowOff>142006</xdr:rowOff>
    </xdr:to>
    <xdr:pic>
      <xdr:nvPicPr>
        <xdr:cNvPr id="7" name="Imagen 6">
          <a:extLst>
            <a:ext uri="{FF2B5EF4-FFF2-40B4-BE49-F238E27FC236}">
              <a16:creationId xmlns:a16="http://schemas.microsoft.com/office/drawing/2014/main" id="{7E9C0FB2-3ECF-4502-8E35-1FA0115C6207}"/>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84175" b="33289"/>
        <a:stretch/>
      </xdr:blipFill>
      <xdr:spPr bwMode="auto">
        <a:xfrm>
          <a:off x="16509422" y="58497354"/>
          <a:ext cx="972340" cy="1075456"/>
        </a:xfrm>
        <a:prstGeom prst="rect">
          <a:avLst/>
        </a:prstGeom>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PRESUPUESTO%2020223\PRESUPUESTOS%20POR%20UNIDAD%202023\UNION%20DE%20PRESUPUESTOS%202023.xlsx" TargetMode="External"/><Relationship Id="rId1" Type="http://schemas.openxmlformats.org/officeDocument/2006/relationships/externalLinkPath" Target="file:///C:\Users\dell\Desktop\PRESUPUESTO%202023\PRESUPUESTOS%20POR%20UNIDAD%202023\UNION%20DE%20PRESUPUESTOS%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NDY\Desktop\TODAS%20LAS%20PLANILLAS\DESC.DE%20PRESTAMOS%20OCTUBRE%20ORIG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TESORERIA\Downloads\DESC.DE%20PRESTAMOS%20NOVIEMBRE%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RESUPUESTO%2020223\PLANILLA%20MES%20DE%20NOVIEMBRE%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SOLIDADO"/>
      <sheetName val="UNION DE PRESUPUESTOS "/>
      <sheetName val="MEDIO AMBIENTE"/>
      <sheetName val="COMUNICACIONES"/>
      <sheetName val="CAM "/>
      <sheetName val="CONTABILIDAD"/>
      <sheetName val="UNIDAD MUJER"/>
      <sheetName val="REF"/>
      <sheetName val="DESPACHO MUNICIPAL"/>
      <sheetName val="UNIDAD DE LA NIÑEZ"/>
      <sheetName val="UAIP"/>
      <sheetName val="SERVICIOS GENERALES"/>
      <sheetName val="AUDITORIA INTERNA"/>
      <sheetName val="PRESUPUESTO"/>
      <sheetName val="GERENCIA"/>
      <sheetName val="UGDA"/>
      <sheetName val="TALENTO HUMANO"/>
      <sheetName val="UNIDAD JURIDICA"/>
      <sheetName val="UATM"/>
      <sheetName val="TESORERIA "/>
      <sheetName val="UNIDAD DE INFORMATICA"/>
      <sheetName val="PROYECCION SOCIAL "/>
      <sheetName val="PROYECTOS "/>
      <sheetName val="DEPORTES"/>
      <sheetName val="UACI"/>
    </sheetNames>
    <sheetDataSet>
      <sheetData sheetId="0" refreshError="1">
        <row r="8">
          <cell r="J8">
            <v>3000</v>
          </cell>
        </row>
        <row r="9">
          <cell r="J9">
            <v>1500</v>
          </cell>
        </row>
        <row r="15">
          <cell r="I15">
            <v>4000</v>
          </cell>
        </row>
        <row r="17">
          <cell r="J17">
            <v>200</v>
          </cell>
        </row>
        <row r="18">
          <cell r="I18">
            <v>600</v>
          </cell>
          <cell r="J18"/>
        </row>
        <row r="19">
          <cell r="I19">
            <v>5000</v>
          </cell>
        </row>
        <row r="20">
          <cell r="I20">
            <v>4000</v>
          </cell>
        </row>
        <row r="21">
          <cell r="J21">
            <v>3000</v>
          </cell>
        </row>
        <row r="24">
          <cell r="I24">
            <v>4000</v>
          </cell>
        </row>
        <row r="25">
          <cell r="I25">
            <v>2000</v>
          </cell>
        </row>
        <row r="26">
          <cell r="I26">
            <v>2000</v>
          </cell>
          <cell r="J26">
            <v>2000</v>
          </cell>
        </row>
        <row r="27">
          <cell r="I27">
            <v>1000</v>
          </cell>
        </row>
        <row r="29">
          <cell r="I29">
            <v>4000</v>
          </cell>
        </row>
        <row r="32">
          <cell r="I32">
            <v>870</v>
          </cell>
        </row>
        <row r="33">
          <cell r="J33">
            <v>4000</v>
          </cell>
        </row>
        <row r="34">
          <cell r="I34">
            <v>1520</v>
          </cell>
        </row>
        <row r="35">
          <cell r="I35">
            <v>2000</v>
          </cell>
        </row>
        <row r="36">
          <cell r="J36">
            <v>500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SCUENTO OCTUBRE"/>
      <sheetName val="LLEGADAS TARDIAS"/>
      <sheetName val="CAJA CRED TENANCINGO"/>
      <sheetName val="COOP.EL AGUILA"/>
      <sheetName val="CAJA CRED SUCHITOTO"/>
      <sheetName val="BANCO FOMENTO AGROPECUARIO"/>
      <sheetName val="COPADEO"/>
      <sheetName val="AGEPYM"/>
      <sheetName val="ACAPRODUSCA DE R.L."/>
      <sheetName val="ACECENTA"/>
      <sheetName val="HABITAT"/>
      <sheetName val="AGUILARES"/>
      <sheetName val="BANCO AZUL"/>
      <sheetName val="CAJA CRED COJUTE "/>
      <sheetName val="HP EL SALVADOR"/>
    </sheetNames>
    <sheetDataSet>
      <sheetData sheetId="0" refreshError="1">
        <row r="7">
          <cell r="R7">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SCUENTO NOVIEMBRE"/>
      <sheetName val="LLEGADAS TARDIAS"/>
      <sheetName val="CAJA CRED TENANCINGO"/>
      <sheetName val="COOP.EL AGUILA"/>
      <sheetName val="CAJA CRED SUCHITOTO"/>
      <sheetName val="BANCO FOMENTO AGROPECUARIO"/>
      <sheetName val="COPADEO"/>
      <sheetName val="AGEPYM"/>
      <sheetName val="ACAPRODUSCA DE R.L."/>
      <sheetName val="ACECENTA"/>
      <sheetName val="HABITAT"/>
      <sheetName val="AGUILARES"/>
      <sheetName val="BANCO AZUL"/>
      <sheetName val="CAJA CRED COJUTE "/>
      <sheetName val="HP EL SALVADOR"/>
    </sheetNames>
    <sheetDataSet>
      <sheetData sheetId="0" refreshError="1">
        <row r="8">
          <cell r="R8">
            <v>96.17</v>
          </cell>
        </row>
        <row r="9">
          <cell r="R9">
            <v>0</v>
          </cell>
        </row>
        <row r="10">
          <cell r="R10">
            <v>254.72</v>
          </cell>
        </row>
        <row r="11">
          <cell r="R11">
            <v>140.07</v>
          </cell>
        </row>
        <row r="12">
          <cell r="R12">
            <v>0</v>
          </cell>
        </row>
        <row r="13">
          <cell r="R13">
            <v>0</v>
          </cell>
        </row>
        <row r="18">
          <cell r="R18">
            <v>71.399999999999991</v>
          </cell>
        </row>
        <row r="19">
          <cell r="R19">
            <v>0</v>
          </cell>
        </row>
        <row r="20">
          <cell r="R20">
            <v>0</v>
          </cell>
        </row>
        <row r="21">
          <cell r="R21">
            <v>77.260000000000005</v>
          </cell>
        </row>
        <row r="22">
          <cell r="R22">
            <v>100.61</v>
          </cell>
        </row>
        <row r="23">
          <cell r="R23">
            <v>262.68</v>
          </cell>
        </row>
        <row r="24">
          <cell r="R24">
            <v>0.34</v>
          </cell>
        </row>
        <row r="25">
          <cell r="R25">
            <v>78.44</v>
          </cell>
        </row>
        <row r="26">
          <cell r="R26">
            <v>417.61</v>
          </cell>
        </row>
        <row r="27">
          <cell r="R27">
            <v>196.42000000000002</v>
          </cell>
        </row>
        <row r="28">
          <cell r="R28">
            <v>114</v>
          </cell>
        </row>
        <row r="29">
          <cell r="R29">
            <v>251</v>
          </cell>
        </row>
        <row r="30">
          <cell r="R30">
            <v>407.75</v>
          </cell>
        </row>
        <row r="31">
          <cell r="R31">
            <v>158</v>
          </cell>
        </row>
        <row r="32">
          <cell r="R32">
            <v>0</v>
          </cell>
        </row>
        <row r="33">
          <cell r="R33">
            <v>0</v>
          </cell>
        </row>
        <row r="38">
          <cell r="R38">
            <v>158.63999999999999</v>
          </cell>
        </row>
        <row r="39">
          <cell r="R39">
            <v>0</v>
          </cell>
        </row>
        <row r="40">
          <cell r="R40">
            <v>0</v>
          </cell>
        </row>
        <row r="41">
          <cell r="R41">
            <v>0</v>
          </cell>
        </row>
        <row r="42">
          <cell r="R42">
            <v>98.320000000000007</v>
          </cell>
        </row>
        <row r="43">
          <cell r="R43">
            <v>117.59</v>
          </cell>
        </row>
        <row r="44">
          <cell r="R44">
            <v>0</v>
          </cell>
        </row>
        <row r="45">
          <cell r="R45">
            <v>78.31</v>
          </cell>
        </row>
        <row r="46">
          <cell r="R46">
            <v>79.33</v>
          </cell>
        </row>
        <row r="47">
          <cell r="R47">
            <v>0.68</v>
          </cell>
        </row>
        <row r="48">
          <cell r="R48">
            <v>79.56</v>
          </cell>
        </row>
        <row r="49">
          <cell r="R49">
            <v>0</v>
          </cell>
        </row>
        <row r="50">
          <cell r="R50">
            <v>0</v>
          </cell>
        </row>
        <row r="58">
          <cell r="R58">
            <v>3.28</v>
          </cell>
        </row>
        <row r="59">
          <cell r="R59">
            <v>0</v>
          </cell>
        </row>
        <row r="60">
          <cell r="R60">
            <v>116</v>
          </cell>
        </row>
        <row r="61">
          <cell r="R61">
            <v>117.89999999999999</v>
          </cell>
        </row>
        <row r="62">
          <cell r="R62">
            <v>97.3</v>
          </cell>
        </row>
        <row r="63">
          <cell r="R63">
            <v>1.38</v>
          </cell>
        </row>
        <row r="64">
          <cell r="R64">
            <v>0</v>
          </cell>
        </row>
        <row r="65">
          <cell r="R65">
            <v>72</v>
          </cell>
        </row>
        <row r="66">
          <cell r="R66">
            <v>70.53</v>
          </cell>
        </row>
        <row r="67">
          <cell r="R67">
            <v>0</v>
          </cell>
        </row>
        <row r="68">
          <cell r="R68">
            <v>50</v>
          </cell>
        </row>
        <row r="69">
          <cell r="R69">
            <v>78.44</v>
          </cell>
        </row>
        <row r="70">
          <cell r="R70">
            <v>0</v>
          </cell>
        </row>
        <row r="71">
          <cell r="R71">
            <v>0.88</v>
          </cell>
        </row>
        <row r="72">
          <cell r="R72">
            <v>0</v>
          </cell>
        </row>
        <row r="73">
          <cell r="R73">
            <v>77.260000000000005</v>
          </cell>
        </row>
        <row r="74">
          <cell r="R74">
            <v>129</v>
          </cell>
        </row>
        <row r="75">
          <cell r="R75">
            <v>79.25</v>
          </cell>
        </row>
        <row r="76">
          <cell r="R76">
            <v>0</v>
          </cell>
        </row>
        <row r="77">
          <cell r="R77">
            <v>0</v>
          </cell>
        </row>
        <row r="78">
          <cell r="R78">
            <v>82.339999999999989</v>
          </cell>
        </row>
        <row r="79">
          <cell r="R79">
            <v>0</v>
          </cell>
        </row>
        <row r="80">
          <cell r="R80">
            <v>0</v>
          </cell>
        </row>
        <row r="81">
          <cell r="R81">
            <v>0</v>
          </cell>
        </row>
        <row r="82">
          <cell r="R82">
            <v>74.53</v>
          </cell>
        </row>
        <row r="83">
          <cell r="R83">
            <v>0</v>
          </cell>
        </row>
        <row r="84">
          <cell r="R84">
            <v>51</v>
          </cell>
        </row>
        <row r="85">
          <cell r="R85">
            <v>0</v>
          </cell>
        </row>
        <row r="86">
          <cell r="R86">
            <v>76.22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DO EMP."/>
      <sheetName val="PLANILLA NOVIEMBRE"/>
      <sheetName val="AUX,ISR"/>
      <sheetName val="INCAPACIDAD- NOVIEMBRE"/>
      <sheetName val="OTROS"/>
    </sheetNames>
    <sheetDataSet>
      <sheetData sheetId="0"/>
      <sheetData sheetId="1"/>
      <sheetData sheetId="2"/>
      <sheetData sheetId="3"/>
      <sheetData sheetId="4">
        <row r="12">
          <cell r="C12">
            <v>486.66666666666669</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D55"/>
  <sheetViews>
    <sheetView view="pageBreakPreview" topLeftCell="A37" zoomScale="81" zoomScaleNormal="70" zoomScaleSheetLayoutView="81" workbookViewId="0">
      <selection activeCell="A27" sqref="A27"/>
    </sheetView>
  </sheetViews>
  <sheetFormatPr baseColWidth="10" defaultColWidth="11.42578125" defaultRowHeight="23.25" x14ac:dyDescent="0.2"/>
  <cols>
    <col min="1" max="1" width="35.85546875" style="417" customWidth="1"/>
    <col min="2" max="2" width="32.7109375" style="417" customWidth="1"/>
    <col min="3" max="3" width="93" style="417" customWidth="1"/>
    <col min="4" max="4" width="42.7109375" style="417" customWidth="1"/>
    <col min="5" max="16384" width="11.42578125" style="417"/>
  </cols>
  <sheetData>
    <row r="1" spans="1:4" ht="22.5" customHeight="1" x14ac:dyDescent="0.2">
      <c r="A1" s="918" t="s">
        <v>336</v>
      </c>
      <c r="B1" s="918"/>
      <c r="C1" s="918"/>
      <c r="D1" s="918"/>
    </row>
    <row r="2" spans="1:4" ht="24.75" customHeight="1" x14ac:dyDescent="0.2">
      <c r="A2" s="918" t="s">
        <v>329</v>
      </c>
      <c r="B2" s="918"/>
      <c r="C2" s="918"/>
      <c r="D2" s="918"/>
    </row>
    <row r="3" spans="1:4" ht="26.25" customHeight="1" thickBot="1" x14ac:dyDescent="0.25">
      <c r="A3" s="919" t="s">
        <v>683</v>
      </c>
      <c r="B3" s="919"/>
      <c r="C3" s="919"/>
      <c r="D3" s="919"/>
    </row>
    <row r="4" spans="1:4" s="418" customFormat="1" ht="45" customHeight="1" thickBot="1" x14ac:dyDescent="0.25">
      <c r="A4" s="437" t="s">
        <v>497</v>
      </c>
      <c r="B4" s="438" t="s">
        <v>104</v>
      </c>
      <c r="C4" s="438" t="s">
        <v>86</v>
      </c>
      <c r="D4" s="439" t="s">
        <v>105</v>
      </c>
    </row>
    <row r="5" spans="1:4" ht="75.75" customHeight="1" x14ac:dyDescent="0.2">
      <c r="A5" s="926" t="s">
        <v>44</v>
      </c>
      <c r="B5" s="419"/>
      <c r="C5" s="420" t="s">
        <v>347</v>
      </c>
      <c r="D5" s="926" t="s">
        <v>106</v>
      </c>
    </row>
    <row r="6" spans="1:4" ht="31.5" customHeight="1" x14ac:dyDescent="0.2">
      <c r="A6" s="927"/>
      <c r="B6" s="415" t="s">
        <v>78</v>
      </c>
      <c r="C6" s="422" t="s">
        <v>315</v>
      </c>
      <c r="D6" s="927"/>
    </row>
    <row r="7" spans="1:4" ht="36.75" customHeight="1" thickBot="1" x14ac:dyDescent="0.25">
      <c r="A7" s="927"/>
      <c r="B7" s="415" t="s">
        <v>327</v>
      </c>
      <c r="C7" s="422" t="s">
        <v>555</v>
      </c>
      <c r="D7" s="927"/>
    </row>
    <row r="8" spans="1:4" ht="28.5" customHeight="1" x14ac:dyDescent="0.2">
      <c r="A8" s="926" t="s">
        <v>193</v>
      </c>
      <c r="B8" s="423"/>
      <c r="C8" s="420" t="s">
        <v>194</v>
      </c>
      <c r="D8" s="927"/>
    </row>
    <row r="9" spans="1:4" ht="34.5" customHeight="1" thickBot="1" x14ac:dyDescent="0.25">
      <c r="A9" s="927"/>
      <c r="B9" s="424" t="s">
        <v>195</v>
      </c>
      <c r="C9" s="425" t="s">
        <v>316</v>
      </c>
      <c r="D9" s="927"/>
    </row>
    <row r="10" spans="1:4" ht="34.5" customHeight="1" x14ac:dyDescent="0.2">
      <c r="A10" s="926" t="s">
        <v>1219</v>
      </c>
      <c r="B10" s="419"/>
      <c r="C10" s="440" t="s">
        <v>1218</v>
      </c>
      <c r="D10" s="920" t="s">
        <v>107</v>
      </c>
    </row>
    <row r="11" spans="1:4" ht="34.5" customHeight="1" x14ac:dyDescent="0.2">
      <c r="A11" s="927"/>
      <c r="B11" s="415" t="s">
        <v>85</v>
      </c>
      <c r="C11" s="417" t="s">
        <v>328</v>
      </c>
      <c r="D11" s="921"/>
    </row>
    <row r="12" spans="1:4" ht="34.5" customHeight="1" x14ac:dyDescent="0.2">
      <c r="A12" s="927"/>
      <c r="B12" s="421"/>
      <c r="C12" s="426" t="s">
        <v>684</v>
      </c>
      <c r="D12" s="921"/>
    </row>
    <row r="13" spans="1:4" ht="27" customHeight="1" x14ac:dyDescent="0.2">
      <c r="A13" s="927"/>
      <c r="B13" s="415" t="s">
        <v>685</v>
      </c>
      <c r="C13" s="416" t="s">
        <v>691</v>
      </c>
      <c r="D13" s="922"/>
    </row>
    <row r="14" spans="1:4" ht="34.5" customHeight="1" x14ac:dyDescent="0.2">
      <c r="A14" s="927"/>
      <c r="B14" s="415" t="s">
        <v>686</v>
      </c>
      <c r="C14" s="416" t="s">
        <v>692</v>
      </c>
      <c r="D14" s="922"/>
    </row>
    <row r="15" spans="1:4" ht="34.5" customHeight="1" x14ac:dyDescent="0.2">
      <c r="A15" s="927"/>
      <c r="B15" s="415" t="s">
        <v>687</v>
      </c>
      <c r="C15" s="416" t="s">
        <v>693</v>
      </c>
      <c r="D15" s="923"/>
    </row>
    <row r="16" spans="1:4" ht="34.5" customHeight="1" x14ac:dyDescent="0.2">
      <c r="A16" s="927"/>
      <c r="B16" s="415" t="s">
        <v>688</v>
      </c>
      <c r="C16" s="416" t="s">
        <v>694</v>
      </c>
      <c r="D16" s="923"/>
    </row>
    <row r="17" spans="1:4" ht="34.5" customHeight="1" x14ac:dyDescent="0.2">
      <c r="A17" s="927"/>
      <c r="B17" s="415" t="s">
        <v>689</v>
      </c>
      <c r="C17" s="416" t="s">
        <v>695</v>
      </c>
      <c r="D17" s="923"/>
    </row>
    <row r="18" spans="1:4" ht="34.5" customHeight="1" x14ac:dyDescent="0.2">
      <c r="A18" s="927"/>
      <c r="B18" s="415"/>
      <c r="C18" s="426" t="s">
        <v>690</v>
      </c>
      <c r="D18" s="923"/>
    </row>
    <row r="19" spans="1:4" ht="34.5" customHeight="1" x14ac:dyDescent="0.2">
      <c r="A19" s="927"/>
      <c r="B19" s="415" t="s">
        <v>696</v>
      </c>
      <c r="C19" s="416" t="s">
        <v>703</v>
      </c>
      <c r="D19" s="923"/>
    </row>
    <row r="20" spans="1:4" ht="34.5" customHeight="1" x14ac:dyDescent="0.2">
      <c r="A20" s="927"/>
      <c r="B20" s="415" t="s">
        <v>697</v>
      </c>
      <c r="C20" s="416" t="s">
        <v>704</v>
      </c>
      <c r="D20" s="923"/>
    </row>
    <row r="21" spans="1:4" ht="34.5" customHeight="1" x14ac:dyDescent="0.2">
      <c r="A21" s="927"/>
      <c r="B21" s="415" t="s">
        <v>698</v>
      </c>
      <c r="C21" s="416" t="s">
        <v>705</v>
      </c>
      <c r="D21" s="923"/>
    </row>
    <row r="22" spans="1:4" ht="34.5" customHeight="1" x14ac:dyDescent="0.2">
      <c r="A22" s="927"/>
      <c r="B22" s="415" t="s">
        <v>699</v>
      </c>
      <c r="C22" s="416" t="s">
        <v>706</v>
      </c>
      <c r="D22" s="923"/>
    </row>
    <row r="23" spans="1:4" ht="34.5" customHeight="1" x14ac:dyDescent="0.2">
      <c r="A23" s="927"/>
      <c r="B23" s="415" t="s">
        <v>700</v>
      </c>
      <c r="C23" s="416" t="s">
        <v>707</v>
      </c>
      <c r="D23" s="923"/>
    </row>
    <row r="24" spans="1:4" ht="34.5" customHeight="1" x14ac:dyDescent="0.2">
      <c r="A24" s="927"/>
      <c r="B24" s="415" t="s">
        <v>701</v>
      </c>
      <c r="C24" s="416" t="s">
        <v>708</v>
      </c>
      <c r="D24" s="923"/>
    </row>
    <row r="25" spans="1:4" ht="34.5" customHeight="1" thickBot="1" x14ac:dyDescent="0.25">
      <c r="A25" s="928"/>
      <c r="B25" s="427" t="s">
        <v>702</v>
      </c>
      <c r="C25" s="428" t="s">
        <v>709</v>
      </c>
      <c r="D25" s="924"/>
    </row>
    <row r="26" spans="1:4" ht="15" customHeight="1" x14ac:dyDescent="0.2">
      <c r="A26" s="429"/>
      <c r="B26" s="429"/>
      <c r="C26" s="430"/>
      <c r="D26" s="431"/>
    </row>
    <row r="27" spans="1:4" ht="15" customHeight="1" x14ac:dyDescent="0.2">
      <c r="A27" s="429"/>
      <c r="B27" s="429"/>
      <c r="C27" s="430"/>
      <c r="D27" s="430"/>
    </row>
    <row r="28" spans="1:4" s="433" customFormat="1" ht="15" customHeight="1" x14ac:dyDescent="0.2">
      <c r="A28" s="925"/>
      <c r="B28" s="925"/>
      <c r="C28" s="925"/>
      <c r="D28" s="432"/>
    </row>
    <row r="29" spans="1:4" ht="15" customHeight="1" x14ac:dyDescent="0.2">
      <c r="A29" s="430"/>
      <c r="B29" s="430"/>
      <c r="C29" s="430"/>
      <c r="D29" s="430"/>
    </row>
    <row r="30" spans="1:4" ht="15" customHeight="1" x14ac:dyDescent="0.2">
      <c r="A30" s="434"/>
      <c r="B30" s="917"/>
      <c r="C30" s="917"/>
      <c r="D30" s="430"/>
    </row>
    <row r="31" spans="1:4" ht="15" customHeight="1" x14ac:dyDescent="0.2">
      <c r="A31" s="434"/>
      <c r="B31" s="435"/>
      <c r="C31" s="436"/>
      <c r="D31" s="430"/>
    </row>
    <row r="32" spans="1:4" ht="15" customHeight="1" x14ac:dyDescent="0.2">
      <c r="A32" s="434"/>
      <c r="B32" s="917"/>
      <c r="C32" s="917"/>
      <c r="D32" s="430"/>
    </row>
    <row r="33" spans="1:4" ht="15" customHeight="1" x14ac:dyDescent="0.2">
      <c r="A33" s="434"/>
      <c r="B33" s="435"/>
      <c r="C33" s="436"/>
      <c r="D33" s="430"/>
    </row>
    <row r="34" spans="1:4" ht="15" customHeight="1" x14ac:dyDescent="0.2">
      <c r="A34" s="434"/>
      <c r="B34" s="917"/>
      <c r="C34" s="917"/>
      <c r="D34" s="430"/>
    </row>
    <row r="35" spans="1:4" ht="15" customHeight="1" x14ac:dyDescent="0.2">
      <c r="A35" s="430"/>
      <c r="B35" s="430"/>
      <c r="C35" s="430"/>
      <c r="D35" s="430"/>
    </row>
    <row r="36" spans="1:4" ht="15" customHeight="1" x14ac:dyDescent="0.2">
      <c r="A36" s="430"/>
      <c r="B36" s="430"/>
      <c r="C36" s="430"/>
      <c r="D36" s="430"/>
    </row>
    <row r="37" spans="1:4" ht="15" customHeight="1" x14ac:dyDescent="0.2">
      <c r="A37" s="430"/>
      <c r="B37" s="430"/>
      <c r="C37" s="430"/>
      <c r="D37" s="430"/>
    </row>
    <row r="38" spans="1:4" ht="15" customHeight="1" x14ac:dyDescent="0.2">
      <c r="A38" s="430"/>
      <c r="B38" s="430"/>
      <c r="C38" s="430"/>
      <c r="D38" s="430"/>
    </row>
    <row r="39" spans="1:4" ht="15" customHeight="1" x14ac:dyDescent="0.2">
      <c r="A39" s="430"/>
      <c r="B39" s="430"/>
      <c r="C39" s="430"/>
      <c r="D39" s="430"/>
    </row>
    <row r="40" spans="1:4" ht="15" customHeight="1" x14ac:dyDescent="0.2">
      <c r="A40" s="430"/>
      <c r="B40" s="430"/>
      <c r="C40" s="430"/>
      <c r="D40" s="430"/>
    </row>
    <row r="41" spans="1:4" ht="15" customHeight="1" x14ac:dyDescent="0.2">
      <c r="A41" s="430"/>
      <c r="B41" s="430"/>
      <c r="C41" s="430"/>
      <c r="D41" s="430"/>
    </row>
    <row r="42" spans="1:4" ht="15" customHeight="1" x14ac:dyDescent="0.2">
      <c r="A42" s="430"/>
      <c r="B42" s="430"/>
      <c r="C42" s="430"/>
      <c r="D42" s="430"/>
    </row>
    <row r="43" spans="1:4" ht="15" customHeight="1" x14ac:dyDescent="0.2">
      <c r="A43" s="430"/>
      <c r="B43" s="430"/>
      <c r="C43" s="430"/>
      <c r="D43" s="430"/>
    </row>
    <row r="44" spans="1:4" ht="15" customHeight="1" x14ac:dyDescent="0.2">
      <c r="A44" s="430"/>
      <c r="B44" s="430"/>
      <c r="C44" s="430"/>
      <c r="D44" s="430"/>
    </row>
    <row r="45" spans="1:4" ht="15" customHeight="1" x14ac:dyDescent="0.2">
      <c r="A45" s="430"/>
      <c r="B45" s="430"/>
      <c r="C45" s="430"/>
      <c r="D45" s="430"/>
    </row>
    <row r="46" spans="1:4" ht="15" customHeight="1" x14ac:dyDescent="0.2">
      <c r="A46" s="430"/>
      <c r="B46" s="430"/>
      <c r="C46" s="430"/>
      <c r="D46" s="430"/>
    </row>
    <row r="47" spans="1:4" ht="15" customHeight="1" x14ac:dyDescent="0.2">
      <c r="A47" s="430"/>
      <c r="B47" s="430"/>
      <c r="C47" s="430"/>
      <c r="D47" s="430"/>
    </row>
    <row r="48" spans="1:4" ht="15" customHeight="1" x14ac:dyDescent="0.2">
      <c r="A48" s="430"/>
      <c r="B48" s="430"/>
      <c r="C48" s="430"/>
      <c r="D48" s="430"/>
    </row>
    <row r="49" spans="1:4" ht="15" customHeight="1" x14ac:dyDescent="0.2">
      <c r="A49" s="430"/>
      <c r="B49" s="430"/>
      <c r="C49" s="430"/>
      <c r="D49" s="430"/>
    </row>
    <row r="50" spans="1:4" ht="15" customHeight="1" x14ac:dyDescent="0.2">
      <c r="A50" s="430"/>
      <c r="B50" s="430"/>
      <c r="C50" s="430"/>
      <c r="D50" s="430"/>
    </row>
    <row r="51" spans="1:4" ht="15" customHeight="1" x14ac:dyDescent="0.2">
      <c r="A51" s="430"/>
      <c r="B51" s="430"/>
      <c r="C51" s="430"/>
      <c r="D51" s="430"/>
    </row>
    <row r="52" spans="1:4" ht="15" customHeight="1" x14ac:dyDescent="0.2"/>
    <row r="53" spans="1:4" ht="15" customHeight="1" x14ac:dyDescent="0.2"/>
    <row r="54" spans="1:4" ht="15" customHeight="1" x14ac:dyDescent="0.2"/>
    <row r="55" spans="1:4" ht="15" customHeight="1" x14ac:dyDescent="0.2"/>
  </sheetData>
  <mergeCells count="12">
    <mergeCell ref="B34:C34"/>
    <mergeCell ref="A1:D1"/>
    <mergeCell ref="A2:D2"/>
    <mergeCell ref="A3:D3"/>
    <mergeCell ref="D10:D25"/>
    <mergeCell ref="A28:C28"/>
    <mergeCell ref="A5:A7"/>
    <mergeCell ref="A10:A25"/>
    <mergeCell ref="A8:A9"/>
    <mergeCell ref="D5:D9"/>
    <mergeCell ref="B30:C30"/>
    <mergeCell ref="B32:C32"/>
  </mergeCells>
  <phoneticPr fontId="48" type="noConversion"/>
  <printOptions horizontalCentered="1"/>
  <pageMargins left="0.31496062992125984" right="0.31496062992125984" top="0.74803149606299213" bottom="0.74803149606299213" header="0.31496062992125984" footer="0.31496062992125984"/>
  <pageSetup paperSize="5"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P55"/>
  <sheetViews>
    <sheetView view="pageBreakPreview" zoomScale="77" zoomScaleNormal="100" zoomScaleSheetLayoutView="77" workbookViewId="0">
      <selection activeCell="L15" sqref="L15"/>
    </sheetView>
  </sheetViews>
  <sheetFormatPr baseColWidth="10" defaultColWidth="11.42578125" defaultRowHeight="16.5" x14ac:dyDescent="0.3"/>
  <cols>
    <col min="1" max="1" width="23.7109375" style="684" customWidth="1"/>
    <col min="2" max="2" width="31.140625" style="684" customWidth="1"/>
    <col min="3" max="3" width="4.7109375" style="684" customWidth="1"/>
    <col min="4" max="4" width="11.5703125" style="684" customWidth="1"/>
    <col min="5" max="5" width="10.42578125" style="684" customWidth="1"/>
    <col min="6" max="6" width="11.140625" style="684" customWidth="1"/>
    <col min="7" max="7" width="1.5703125" style="684" customWidth="1"/>
    <col min="8" max="8" width="13.42578125" style="684" hidden="1" customWidth="1"/>
    <col min="9" max="9" width="3.5703125" style="684" customWidth="1"/>
    <col min="10" max="10" width="17.7109375" style="684" customWidth="1"/>
    <col min="11" max="11" width="5" style="684" customWidth="1"/>
    <col min="12" max="12" width="17" style="684" customWidth="1"/>
    <col min="13" max="13" width="4.5703125" style="684" customWidth="1"/>
    <col min="14" max="14" width="20.42578125" style="684" customWidth="1"/>
    <col min="15" max="15" width="5.42578125" style="684" customWidth="1"/>
    <col min="16" max="16" width="15.85546875" style="684" customWidth="1"/>
    <col min="17" max="16384" width="11.42578125" style="684"/>
  </cols>
  <sheetData>
    <row r="1" spans="1:16" x14ac:dyDescent="0.3">
      <c r="A1" s="1091"/>
      <c r="B1" s="1091"/>
      <c r="C1" s="1091"/>
      <c r="D1" s="1091"/>
      <c r="E1" s="1091"/>
      <c r="F1" s="1091"/>
      <c r="G1" s="1091"/>
      <c r="H1" s="1091"/>
    </row>
    <row r="2" spans="1:16" ht="75" customHeight="1" thickBot="1" x14ac:dyDescent="0.35">
      <c r="A2" s="685" t="s">
        <v>887</v>
      </c>
      <c r="B2" s="685" t="s">
        <v>888</v>
      </c>
      <c r="C2" s="685"/>
      <c r="D2" s="707" t="s">
        <v>566</v>
      </c>
      <c r="E2" s="703" t="s">
        <v>906</v>
      </c>
      <c r="F2" s="703"/>
      <c r="G2" s="685"/>
      <c r="H2" s="686" t="s">
        <v>889</v>
      </c>
      <c r="I2" s="687"/>
      <c r="J2" s="686" t="s">
        <v>904</v>
      </c>
      <c r="K2" s="872"/>
      <c r="L2" s="686" t="s">
        <v>1214</v>
      </c>
      <c r="M2" s="872"/>
      <c r="N2" s="686" t="s">
        <v>1215</v>
      </c>
      <c r="P2" s="686" t="s">
        <v>1216</v>
      </c>
    </row>
    <row r="3" spans="1:16" ht="17.25" thickTop="1" x14ac:dyDescent="0.3">
      <c r="A3" s="1092" t="s">
        <v>890</v>
      </c>
      <c r="B3" s="1092"/>
      <c r="C3" s="684" t="s">
        <v>891</v>
      </c>
      <c r="D3" s="684" t="s">
        <v>566</v>
      </c>
      <c r="E3" s="684" t="s">
        <v>226</v>
      </c>
      <c r="F3" s="683" t="s">
        <v>227</v>
      </c>
      <c r="H3" s="688">
        <v>40000</v>
      </c>
      <c r="I3" s="683" t="s">
        <v>891</v>
      </c>
      <c r="J3" s="688">
        <v>480000</v>
      </c>
      <c r="K3" s="688"/>
      <c r="L3" s="723"/>
      <c r="M3" s="723"/>
      <c r="N3" s="688">
        <v>130535.8201</v>
      </c>
      <c r="O3" s="718"/>
      <c r="P3" s="688"/>
    </row>
    <row r="4" spans="1:16" ht="17.25" thickBot="1" x14ac:dyDescent="0.35">
      <c r="A4" s="710" t="s">
        <v>892</v>
      </c>
      <c r="B4" s="699" t="s">
        <v>893</v>
      </c>
      <c r="C4" s="700"/>
      <c r="D4" s="700">
        <v>54699</v>
      </c>
      <c r="E4" s="700"/>
      <c r="F4" s="700"/>
      <c r="G4" s="700"/>
      <c r="H4" s="711">
        <f>9000+17000</f>
        <v>26000</v>
      </c>
      <c r="I4" s="712"/>
      <c r="J4" s="713">
        <v>108000</v>
      </c>
      <c r="K4" s="701"/>
      <c r="L4" s="875">
        <f t="shared" ref="L4:L53" si="0">J4/12</f>
        <v>9000</v>
      </c>
      <c r="M4" s="875"/>
      <c r="N4" s="876">
        <v>17000</v>
      </c>
      <c r="O4" s="876"/>
      <c r="P4" s="876">
        <f>J4+N4</f>
        <v>125000</v>
      </c>
    </row>
    <row r="5" spans="1:16" ht="17.25" thickTop="1" x14ac:dyDescent="0.3">
      <c r="A5" s="693"/>
      <c r="B5" s="694"/>
      <c r="C5" s="683"/>
      <c r="D5" s="683"/>
      <c r="E5" s="683"/>
      <c r="F5" s="683"/>
      <c r="G5" s="683"/>
      <c r="H5" s="1095">
        <v>8000</v>
      </c>
      <c r="J5" s="720"/>
      <c r="K5" s="720"/>
      <c r="L5" s="723">
        <f t="shared" si="0"/>
        <v>0</v>
      </c>
      <c r="M5" s="723"/>
      <c r="N5" s="718"/>
      <c r="O5" s="718"/>
      <c r="P5" s="718"/>
    </row>
    <row r="6" spans="1:16" x14ac:dyDescent="0.3">
      <c r="A6" s="693"/>
      <c r="B6" s="683" t="s">
        <v>905</v>
      </c>
      <c r="C6" s="683"/>
      <c r="D6" s="683">
        <v>54201</v>
      </c>
      <c r="E6" s="691">
        <v>700</v>
      </c>
      <c r="F6" s="706">
        <f>E6*12</f>
        <v>8400</v>
      </c>
      <c r="G6" s="683"/>
      <c r="H6" s="1095"/>
      <c r="J6" s="720"/>
      <c r="K6" s="720"/>
      <c r="L6" s="723">
        <f t="shared" si="0"/>
        <v>0</v>
      </c>
      <c r="M6" s="723"/>
      <c r="N6" s="718"/>
      <c r="O6" s="718"/>
      <c r="P6" s="718"/>
    </row>
    <row r="7" spans="1:16" ht="17.25" thickBot="1" x14ac:dyDescent="0.35">
      <c r="A7" s="693"/>
      <c r="B7" s="683" t="s">
        <v>907</v>
      </c>
      <c r="C7" s="683"/>
      <c r="D7" s="683">
        <v>54202</v>
      </c>
      <c r="E7" s="691">
        <v>300</v>
      </c>
      <c r="F7" s="706">
        <f t="shared" ref="F7:F8" si="1">E7*12</f>
        <v>3600</v>
      </c>
      <c r="G7" s="683"/>
      <c r="H7" s="1095"/>
      <c r="J7" s="720">
        <f>SUM(F6:F9)</f>
        <v>96000</v>
      </c>
      <c r="K7" s="720"/>
      <c r="L7" s="875">
        <f t="shared" si="0"/>
        <v>8000</v>
      </c>
      <c r="M7" s="875"/>
      <c r="N7" s="876"/>
      <c r="O7" s="876"/>
      <c r="P7" s="876">
        <f>J7+N7</f>
        <v>96000</v>
      </c>
    </row>
    <row r="8" spans="1:16" ht="17.25" thickTop="1" x14ac:dyDescent="0.3">
      <c r="A8" s="693"/>
      <c r="B8" s="717" t="s">
        <v>908</v>
      </c>
      <c r="C8" s="683"/>
      <c r="D8" s="683">
        <v>54203</v>
      </c>
      <c r="E8" s="691">
        <v>500</v>
      </c>
      <c r="F8" s="706">
        <f t="shared" si="1"/>
        <v>6000</v>
      </c>
      <c r="G8" s="683"/>
      <c r="H8" s="1095"/>
      <c r="J8" s="720"/>
      <c r="K8" s="720"/>
      <c r="L8" s="723">
        <f t="shared" si="0"/>
        <v>0</v>
      </c>
      <c r="M8" s="723"/>
      <c r="N8" s="718"/>
      <c r="O8" s="718"/>
      <c r="P8" s="718"/>
    </row>
    <row r="9" spans="1:16" ht="17.25" thickBot="1" x14ac:dyDescent="0.35">
      <c r="A9" s="696" t="s">
        <v>263</v>
      </c>
      <c r="B9" s="690" t="s">
        <v>909</v>
      </c>
      <c r="C9" s="690"/>
      <c r="D9" s="690">
        <v>54205</v>
      </c>
      <c r="E9" s="714">
        <v>6500</v>
      </c>
      <c r="F9" s="715">
        <f>E9*12</f>
        <v>78000</v>
      </c>
      <c r="G9" s="690"/>
      <c r="H9" s="1096"/>
      <c r="I9" s="704"/>
      <c r="J9" s="721"/>
      <c r="K9" s="720"/>
      <c r="L9" s="723">
        <f t="shared" si="0"/>
        <v>0</v>
      </c>
      <c r="M9" s="723"/>
      <c r="N9" s="718"/>
      <c r="O9" s="691"/>
      <c r="P9" s="718"/>
    </row>
    <row r="10" spans="1:16" ht="17.25" thickTop="1" x14ac:dyDescent="0.3">
      <c r="A10" s="697"/>
      <c r="C10" s="683"/>
      <c r="D10" s="683"/>
      <c r="E10" s="691"/>
      <c r="F10" s="706"/>
      <c r="G10" s="683"/>
      <c r="H10" s="705"/>
      <c r="J10" s="705"/>
      <c r="K10" s="705"/>
      <c r="L10" s="723">
        <f t="shared" si="0"/>
        <v>0</v>
      </c>
      <c r="M10" s="723"/>
      <c r="N10" s="718"/>
      <c r="O10" s="874"/>
      <c r="P10" s="718"/>
    </row>
    <row r="11" spans="1:16" x14ac:dyDescent="0.3">
      <c r="A11" s="697"/>
      <c r="B11" s="694"/>
      <c r="C11" s="683"/>
      <c r="D11" s="683">
        <v>54399</v>
      </c>
      <c r="E11" s="695">
        <v>150</v>
      </c>
      <c r="F11" s="695">
        <f>(E11*12)+N12</f>
        <v>10800</v>
      </c>
      <c r="G11" s="695"/>
      <c r="H11" s="691"/>
      <c r="I11" s="718"/>
      <c r="J11" s="695"/>
      <c r="K11" s="695"/>
      <c r="L11" s="723">
        <f t="shared" si="0"/>
        <v>0</v>
      </c>
      <c r="M11" s="723"/>
      <c r="N11" s="718"/>
      <c r="O11" s="718"/>
      <c r="P11" s="718"/>
    </row>
    <row r="12" spans="1:16" ht="17.25" thickBot="1" x14ac:dyDescent="0.35">
      <c r="A12" s="697" t="s">
        <v>894</v>
      </c>
      <c r="B12" s="694" t="s">
        <v>895</v>
      </c>
      <c r="C12" s="683"/>
      <c r="D12" s="683">
        <v>54199</v>
      </c>
      <c r="E12" s="695">
        <v>150</v>
      </c>
      <c r="F12" s="695">
        <f>E12*12</f>
        <v>1800</v>
      </c>
      <c r="G12" s="695"/>
      <c r="H12" s="691">
        <v>500</v>
      </c>
      <c r="I12" s="718"/>
      <c r="J12" s="692">
        <v>7000</v>
      </c>
      <c r="K12" s="692"/>
      <c r="L12" s="875">
        <f>J12/12</f>
        <v>583.33333333333337</v>
      </c>
      <c r="M12" s="875"/>
      <c r="N12" s="876">
        <v>9000</v>
      </c>
      <c r="O12" s="876"/>
      <c r="P12" s="876">
        <f>J12+N12</f>
        <v>16000</v>
      </c>
    </row>
    <row r="13" spans="1:16" ht="18" thickTop="1" thickBot="1" x14ac:dyDescent="0.35">
      <c r="A13" s="696"/>
      <c r="B13" s="689"/>
      <c r="C13" s="690"/>
      <c r="D13" s="690">
        <v>54101</v>
      </c>
      <c r="E13" s="714">
        <v>283.33332999999999</v>
      </c>
      <c r="F13" s="714">
        <f>E13*12</f>
        <v>3399.9999600000001</v>
      </c>
      <c r="G13" s="714"/>
      <c r="H13" s="714"/>
      <c r="I13" s="719"/>
      <c r="J13" s="716"/>
      <c r="K13" s="701"/>
      <c r="L13" s="723">
        <f t="shared" si="0"/>
        <v>0</v>
      </c>
      <c r="M13" s="723"/>
      <c r="N13" s="718"/>
      <c r="O13" s="718"/>
      <c r="P13" s="718"/>
    </row>
    <row r="14" spans="1:16" ht="17.25" thickTop="1" x14ac:dyDescent="0.3">
      <c r="A14" s="697"/>
      <c r="B14" s="694"/>
      <c r="C14" s="683"/>
      <c r="D14" s="683"/>
      <c r="E14" s="695"/>
      <c r="F14" s="695"/>
      <c r="G14" s="695"/>
      <c r="H14" s="691"/>
      <c r="I14" s="718"/>
      <c r="J14" s="695"/>
      <c r="K14" s="695"/>
      <c r="L14" s="723">
        <f t="shared" si="0"/>
        <v>0</v>
      </c>
      <c r="M14" s="723"/>
      <c r="N14" s="718"/>
      <c r="O14" s="718"/>
      <c r="P14" s="718"/>
    </row>
    <row r="15" spans="1:16" x14ac:dyDescent="0.3">
      <c r="A15" s="1093" t="s">
        <v>896</v>
      </c>
      <c r="B15" s="683" t="s">
        <v>897</v>
      </c>
      <c r="C15" s="683"/>
      <c r="D15" s="683">
        <v>54106</v>
      </c>
      <c r="E15" s="695"/>
      <c r="F15" s="695">
        <v>5000</v>
      </c>
      <c r="G15" s="695"/>
      <c r="H15" s="691" t="s">
        <v>918</v>
      </c>
      <c r="I15" s="718"/>
      <c r="J15" s="692"/>
      <c r="K15" s="692"/>
      <c r="L15" s="723">
        <f t="shared" si="0"/>
        <v>0</v>
      </c>
      <c r="M15" s="723"/>
      <c r="N15" s="718"/>
      <c r="O15" s="718"/>
      <c r="P15" s="718"/>
    </row>
    <row r="16" spans="1:16" ht="17.25" thickBot="1" x14ac:dyDescent="0.35">
      <c r="A16" s="1093"/>
      <c r="C16" s="683"/>
      <c r="D16" s="683">
        <v>54104</v>
      </c>
      <c r="E16" s="695"/>
      <c r="F16" s="695">
        <v>3000</v>
      </c>
      <c r="G16" s="695"/>
      <c r="H16" s="691"/>
      <c r="I16" s="718"/>
      <c r="J16" s="692">
        <f>SUM(F15:F20)</f>
        <v>50560</v>
      </c>
      <c r="K16" s="692"/>
      <c r="L16" s="875">
        <f>SUM(J16+N16)/12</f>
        <v>5926.666666666667</v>
      </c>
      <c r="M16" s="875"/>
      <c r="N16" s="876">
        <v>20560</v>
      </c>
      <c r="O16" s="876"/>
      <c r="P16" s="876">
        <f>J16+N16-N16</f>
        <v>50560</v>
      </c>
    </row>
    <row r="17" spans="1:16" ht="17.25" thickTop="1" x14ac:dyDescent="0.3">
      <c r="A17" s="1093"/>
      <c r="B17" s="694"/>
      <c r="C17" s="683"/>
      <c r="D17" s="683">
        <v>54112</v>
      </c>
      <c r="E17" s="695"/>
      <c r="F17" s="695">
        <v>2000</v>
      </c>
      <c r="G17" s="695"/>
      <c r="H17" s="691"/>
      <c r="I17" s="718"/>
      <c r="J17" s="692"/>
      <c r="K17" s="692"/>
      <c r="L17" s="723">
        <f t="shared" si="0"/>
        <v>0</v>
      </c>
      <c r="M17" s="723"/>
      <c r="N17" s="718"/>
      <c r="O17" s="718"/>
      <c r="P17" s="718"/>
    </row>
    <row r="18" spans="1:16" x14ac:dyDescent="0.3">
      <c r="A18" s="1093"/>
      <c r="B18" s="694"/>
      <c r="C18" s="683"/>
      <c r="D18" s="683">
        <v>54399</v>
      </c>
      <c r="E18" s="695"/>
      <c r="F18" s="695">
        <f>10000+N16</f>
        <v>30560</v>
      </c>
      <c r="G18" s="695"/>
      <c r="H18" s="691"/>
      <c r="I18" s="718"/>
      <c r="J18" s="692"/>
      <c r="K18" s="692"/>
      <c r="L18" s="723">
        <f t="shared" si="0"/>
        <v>0</v>
      </c>
      <c r="M18" s="723"/>
      <c r="N18" s="718"/>
      <c r="O18" s="718"/>
      <c r="P18" s="718"/>
    </row>
    <row r="19" spans="1:16" x14ac:dyDescent="0.3">
      <c r="A19" s="1093"/>
      <c r="B19" s="694"/>
      <c r="C19" s="683"/>
      <c r="D19" s="683">
        <v>51201</v>
      </c>
      <c r="E19" s="695"/>
      <c r="F19" s="695">
        <v>3000</v>
      </c>
      <c r="G19" s="695"/>
      <c r="H19" s="691"/>
      <c r="I19" s="718"/>
      <c r="J19" s="692"/>
      <c r="K19" s="692"/>
      <c r="L19" s="723">
        <f t="shared" si="0"/>
        <v>0</v>
      </c>
      <c r="M19" s="723"/>
      <c r="N19" s="718"/>
      <c r="O19" s="718"/>
      <c r="P19" s="718"/>
    </row>
    <row r="20" spans="1:16" ht="17.25" thickBot="1" x14ac:dyDescent="0.35">
      <c r="A20" s="1093"/>
      <c r="B20" s="689"/>
      <c r="C20" s="690"/>
      <c r="D20" s="690">
        <v>54199</v>
      </c>
      <c r="E20" s="714"/>
      <c r="F20" s="714">
        <v>7000</v>
      </c>
      <c r="G20" s="714"/>
      <c r="H20" s="714"/>
      <c r="I20" s="719"/>
      <c r="J20" s="716"/>
      <c r="K20" s="701"/>
      <c r="L20" s="723">
        <f t="shared" si="0"/>
        <v>0</v>
      </c>
      <c r="M20" s="723"/>
      <c r="N20" s="718"/>
      <c r="O20" s="718"/>
      <c r="P20" s="718"/>
    </row>
    <row r="21" spans="1:16" ht="17.25" thickTop="1" x14ac:dyDescent="0.3">
      <c r="A21" s="1093"/>
      <c r="C21" s="683"/>
      <c r="D21" s="708"/>
      <c r="E21" s="695"/>
      <c r="F21" s="695"/>
      <c r="G21" s="695"/>
      <c r="H21" s="691"/>
      <c r="I21" s="718"/>
      <c r="J21" s="692"/>
      <c r="K21" s="692"/>
      <c r="L21" s="723">
        <f t="shared" si="0"/>
        <v>0</v>
      </c>
      <c r="M21" s="723"/>
      <c r="N21" s="718"/>
      <c r="O21" s="718"/>
      <c r="P21" s="718"/>
    </row>
    <row r="22" spans="1:16" x14ac:dyDescent="0.3">
      <c r="A22" s="1093"/>
      <c r="B22" s="683" t="s">
        <v>898</v>
      </c>
      <c r="C22" s="683"/>
      <c r="D22" s="683">
        <v>54106</v>
      </c>
      <c r="E22" s="695"/>
      <c r="F22" s="695">
        <v>5000</v>
      </c>
      <c r="G22" s="695"/>
      <c r="H22" s="691"/>
      <c r="I22" s="718"/>
      <c r="J22" s="692"/>
      <c r="K22" s="692"/>
      <c r="L22" s="723">
        <f t="shared" si="0"/>
        <v>0</v>
      </c>
      <c r="M22" s="723"/>
      <c r="N22" s="718"/>
      <c r="O22" s="718"/>
      <c r="P22" s="718"/>
    </row>
    <row r="23" spans="1:16" x14ac:dyDescent="0.3">
      <c r="A23" s="1093"/>
      <c r="B23" s="694"/>
      <c r="C23" s="683"/>
      <c r="D23" s="683">
        <v>54104</v>
      </c>
      <c r="E23" s="695"/>
      <c r="F23" s="695">
        <v>20000</v>
      </c>
      <c r="G23" s="695"/>
      <c r="H23" s="691"/>
      <c r="I23" s="718"/>
      <c r="J23" s="692"/>
      <c r="K23" s="692"/>
      <c r="L23" s="723">
        <f t="shared" si="0"/>
        <v>0</v>
      </c>
      <c r="M23" s="723"/>
      <c r="N23" s="718"/>
      <c r="O23" s="718"/>
      <c r="P23" s="718"/>
    </row>
    <row r="24" spans="1:16" ht="17.25" thickBot="1" x14ac:dyDescent="0.35">
      <c r="A24" s="1093"/>
      <c r="B24" s="694"/>
      <c r="C24" s="683"/>
      <c r="D24" s="683">
        <v>54112</v>
      </c>
      <c r="E24" s="695"/>
      <c r="F24" s="695">
        <f>2000+N24</f>
        <v>11440</v>
      </c>
      <c r="G24" s="695"/>
      <c r="H24" s="691"/>
      <c r="I24" s="718"/>
      <c r="J24" s="692">
        <f>SUM(F22:F27)</f>
        <v>69440</v>
      </c>
      <c r="K24" s="692"/>
      <c r="L24" s="875">
        <f>SUM(J24+N24)/12</f>
        <v>6573.333333333333</v>
      </c>
      <c r="M24" s="875"/>
      <c r="N24" s="876">
        <v>9440</v>
      </c>
      <c r="O24" s="876"/>
      <c r="P24" s="876">
        <f>J24+N24-N24</f>
        <v>69440</v>
      </c>
    </row>
    <row r="25" spans="1:16" ht="17.25" thickTop="1" x14ac:dyDescent="0.3">
      <c r="A25" s="1093"/>
      <c r="B25" s="694"/>
      <c r="C25" s="683"/>
      <c r="D25" s="683">
        <v>54399</v>
      </c>
      <c r="E25" s="695"/>
      <c r="F25" s="695">
        <v>10000</v>
      </c>
      <c r="G25" s="695"/>
      <c r="H25" s="691"/>
      <c r="I25" s="718"/>
      <c r="J25" s="692"/>
      <c r="K25" s="692"/>
      <c r="L25" s="723"/>
      <c r="M25" s="723"/>
      <c r="N25" s="718"/>
      <c r="O25" s="718"/>
      <c r="P25" s="718"/>
    </row>
    <row r="26" spans="1:16" x14ac:dyDescent="0.3">
      <c r="A26" s="1093"/>
      <c r="B26" s="694"/>
      <c r="C26" s="683"/>
      <c r="D26" s="683">
        <v>51201</v>
      </c>
      <c r="E26" s="695"/>
      <c r="F26" s="695">
        <v>16000</v>
      </c>
      <c r="G26" s="695"/>
      <c r="H26" s="691"/>
      <c r="I26" s="718"/>
      <c r="J26" s="692"/>
      <c r="K26" s="692"/>
      <c r="L26" s="723">
        <f t="shared" si="0"/>
        <v>0</v>
      </c>
      <c r="M26" s="723"/>
      <c r="N26" s="718"/>
      <c r="O26" s="718"/>
      <c r="P26" s="718"/>
    </row>
    <row r="27" spans="1:16" ht="17.25" thickBot="1" x14ac:dyDescent="0.35">
      <c r="A27" s="1093"/>
      <c r="B27" s="689"/>
      <c r="C27" s="690"/>
      <c r="D27" s="690">
        <v>54199</v>
      </c>
      <c r="E27" s="714"/>
      <c r="F27" s="714">
        <v>7000</v>
      </c>
      <c r="G27" s="714"/>
      <c r="H27" s="714"/>
      <c r="I27" s="719"/>
      <c r="J27" s="716"/>
      <c r="K27" s="701"/>
      <c r="L27" s="723">
        <f t="shared" si="0"/>
        <v>0</v>
      </c>
      <c r="M27" s="723"/>
      <c r="N27" s="718"/>
      <c r="O27" s="718"/>
      <c r="P27" s="718"/>
    </row>
    <row r="28" spans="1:16" ht="17.25" thickTop="1" x14ac:dyDescent="0.3">
      <c r="A28" s="1093"/>
      <c r="B28" s="694"/>
      <c r="C28" s="683"/>
      <c r="D28" s="708"/>
      <c r="E28" s="695"/>
      <c r="F28" s="695"/>
      <c r="G28" s="695"/>
      <c r="H28" s="691"/>
      <c r="I28" s="718"/>
      <c r="J28" s="692"/>
      <c r="K28" s="692"/>
      <c r="L28" s="723">
        <f t="shared" si="0"/>
        <v>0</v>
      </c>
      <c r="M28" s="723"/>
      <c r="N28" s="718"/>
      <c r="O28" s="718"/>
      <c r="P28" s="718"/>
    </row>
    <row r="29" spans="1:16" x14ac:dyDescent="0.3">
      <c r="A29" s="1093"/>
      <c r="B29" s="683" t="s">
        <v>955</v>
      </c>
      <c r="C29" s="683"/>
      <c r="D29" s="683">
        <v>54104</v>
      </c>
      <c r="E29" s="695"/>
      <c r="F29" s="695">
        <v>2000</v>
      </c>
      <c r="G29" s="695"/>
      <c r="H29" s="691"/>
      <c r="I29" s="718"/>
      <c r="J29" s="692"/>
      <c r="K29" s="692"/>
      <c r="L29" s="723">
        <f t="shared" si="0"/>
        <v>0</v>
      </c>
      <c r="M29" s="723"/>
      <c r="N29" s="718"/>
      <c r="O29" s="718"/>
      <c r="P29" s="718"/>
    </row>
    <row r="30" spans="1:16" x14ac:dyDescent="0.3">
      <c r="A30" s="1093"/>
      <c r="B30" s="694"/>
      <c r="C30" s="683"/>
      <c r="D30" s="683">
        <v>54112</v>
      </c>
      <c r="E30" s="695"/>
      <c r="F30" s="695">
        <v>2000</v>
      </c>
      <c r="G30" s="695"/>
      <c r="H30" s="691"/>
      <c r="I30" s="718"/>
      <c r="J30" s="692"/>
      <c r="K30" s="692"/>
      <c r="L30" s="723">
        <f t="shared" si="0"/>
        <v>0</v>
      </c>
      <c r="M30" s="723"/>
      <c r="N30" s="718"/>
      <c r="O30" s="718"/>
      <c r="P30" s="718"/>
    </row>
    <row r="31" spans="1:16" ht="17.25" thickBot="1" x14ac:dyDescent="0.35">
      <c r="A31" s="1093"/>
      <c r="B31" s="694"/>
      <c r="C31" s="683"/>
      <c r="D31" s="683">
        <v>54399</v>
      </c>
      <c r="E31" s="695"/>
      <c r="F31" s="695">
        <f>2000+N31</f>
        <v>10000</v>
      </c>
      <c r="G31" s="695"/>
      <c r="H31" s="691"/>
      <c r="I31" s="718"/>
      <c r="J31" s="692">
        <f>SUM(F29:F33)</f>
        <v>20000</v>
      </c>
      <c r="K31" s="692"/>
      <c r="L31" s="875">
        <f t="shared" si="0"/>
        <v>1666.6666666666667</v>
      </c>
      <c r="M31" s="875"/>
      <c r="N31" s="876">
        <v>8000</v>
      </c>
      <c r="O31" s="876"/>
      <c r="P31" s="876">
        <f>J31+N31-N31</f>
        <v>20000</v>
      </c>
    </row>
    <row r="32" spans="1:16" ht="17.25" thickTop="1" x14ac:dyDescent="0.3">
      <c r="A32" s="1093"/>
      <c r="B32" s="694"/>
      <c r="C32" s="683"/>
      <c r="D32" s="683">
        <v>51201</v>
      </c>
      <c r="E32" s="695"/>
      <c r="F32" s="695">
        <v>4000</v>
      </c>
      <c r="G32" s="695"/>
      <c r="H32" s="691"/>
      <c r="I32" s="718"/>
      <c r="J32" s="692"/>
      <c r="K32" s="692"/>
      <c r="L32" s="723">
        <f t="shared" si="0"/>
        <v>0</v>
      </c>
      <c r="M32" s="723"/>
      <c r="N32" s="718"/>
      <c r="O32" s="718"/>
      <c r="P32" s="718"/>
    </row>
    <row r="33" spans="1:16" ht="17.25" thickBot="1" x14ac:dyDescent="0.35">
      <c r="A33" s="1093"/>
      <c r="B33" s="689"/>
      <c r="C33" s="690"/>
      <c r="D33" s="690">
        <v>54118</v>
      </c>
      <c r="E33" s="714"/>
      <c r="F33" s="714">
        <v>2000</v>
      </c>
      <c r="G33" s="714"/>
      <c r="H33" s="714"/>
      <c r="I33" s="719"/>
      <c r="J33" s="716"/>
      <c r="K33" s="701"/>
      <c r="L33" s="723">
        <f t="shared" si="0"/>
        <v>0</v>
      </c>
      <c r="M33" s="723"/>
      <c r="N33" s="718"/>
      <c r="O33" s="718"/>
      <c r="P33" s="718"/>
    </row>
    <row r="34" spans="1:16" ht="17.25" thickTop="1" x14ac:dyDescent="0.3">
      <c r="A34" s="1093"/>
      <c r="B34" s="694"/>
      <c r="C34" s="683"/>
      <c r="D34" s="708"/>
      <c r="E34" s="695"/>
      <c r="F34" s="695"/>
      <c r="G34" s="695"/>
      <c r="H34" s="691"/>
      <c r="I34" s="718"/>
      <c r="J34" s="692"/>
      <c r="K34" s="692"/>
      <c r="L34" s="723">
        <f t="shared" si="0"/>
        <v>0</v>
      </c>
      <c r="M34" s="723"/>
      <c r="N34" s="718"/>
      <c r="O34" s="718"/>
      <c r="P34" s="718"/>
    </row>
    <row r="35" spans="1:16" ht="17.25" thickBot="1" x14ac:dyDescent="0.35">
      <c r="A35" s="697"/>
      <c r="B35" s="694"/>
      <c r="C35" s="683"/>
      <c r="D35" s="683">
        <v>54199</v>
      </c>
      <c r="E35" s="695"/>
      <c r="F35" s="695">
        <f>2000+N35</f>
        <v>17000</v>
      </c>
      <c r="G35" s="695"/>
      <c r="H35" s="691"/>
      <c r="I35" s="718"/>
      <c r="J35" s="695">
        <v>36000</v>
      </c>
      <c r="K35" s="695"/>
      <c r="L35" s="875">
        <f t="shared" si="0"/>
        <v>3000</v>
      </c>
      <c r="M35" s="875"/>
      <c r="N35" s="876">
        <v>15000</v>
      </c>
      <c r="O35" s="876"/>
      <c r="P35" s="876">
        <f>J35+N35</f>
        <v>51000</v>
      </c>
    </row>
    <row r="36" spans="1:16" ht="17.25" thickTop="1" x14ac:dyDescent="0.3">
      <c r="A36" s="697" t="s">
        <v>899</v>
      </c>
      <c r="B36" s="683" t="s">
        <v>900</v>
      </c>
      <c r="C36" s="683"/>
      <c r="D36" s="683">
        <v>54101</v>
      </c>
      <c r="E36" s="695"/>
      <c r="F36" s="695">
        <v>25000</v>
      </c>
      <c r="G36" s="695"/>
      <c r="H36" s="691"/>
      <c r="I36" s="718"/>
      <c r="J36" s="701"/>
      <c r="K36" s="701"/>
      <c r="L36" s="723">
        <f t="shared" si="0"/>
        <v>0</v>
      </c>
      <c r="M36" s="723"/>
      <c r="N36" s="718"/>
      <c r="O36" s="718"/>
      <c r="P36" s="718"/>
    </row>
    <row r="37" spans="1:16" ht="17.25" thickBot="1" x14ac:dyDescent="0.35">
      <c r="A37" s="697"/>
      <c r="B37" s="689"/>
      <c r="C37" s="690"/>
      <c r="D37" s="690">
        <v>54118</v>
      </c>
      <c r="E37" s="714"/>
      <c r="F37" s="714">
        <v>9000</v>
      </c>
      <c r="G37" s="714"/>
      <c r="H37" s="714"/>
      <c r="I37" s="719"/>
      <c r="J37" s="716"/>
      <c r="K37" s="701"/>
      <c r="L37" s="723">
        <f t="shared" si="0"/>
        <v>0</v>
      </c>
      <c r="M37" s="723"/>
      <c r="N37" s="718"/>
      <c r="O37" s="718"/>
      <c r="P37" s="718"/>
    </row>
    <row r="38" spans="1:16" ht="17.25" thickTop="1" x14ac:dyDescent="0.3">
      <c r="A38" s="697"/>
      <c r="B38" s="694"/>
      <c r="C38" s="683"/>
      <c r="D38" s="683">
        <v>54112</v>
      </c>
      <c r="E38" s="695"/>
      <c r="F38" s="695">
        <v>20000</v>
      </c>
      <c r="G38" s="683"/>
      <c r="H38" s="691"/>
      <c r="J38" s="701"/>
      <c r="K38" s="701"/>
      <c r="L38" s="723">
        <f t="shared" si="0"/>
        <v>0</v>
      </c>
      <c r="M38" s="723"/>
      <c r="N38" s="718"/>
      <c r="O38" s="718"/>
      <c r="P38" s="718"/>
    </row>
    <row r="39" spans="1:16" ht="17.25" thickBot="1" x14ac:dyDescent="0.35">
      <c r="A39" s="697" t="s">
        <v>901</v>
      </c>
      <c r="B39" s="694"/>
      <c r="C39" s="683"/>
      <c r="D39" s="683">
        <v>54111</v>
      </c>
      <c r="E39" s="683"/>
      <c r="F39" s="695">
        <v>20000</v>
      </c>
      <c r="G39" s="683"/>
      <c r="H39" s="691"/>
      <c r="J39" s="701">
        <v>48000</v>
      </c>
      <c r="K39" s="701"/>
      <c r="L39" s="875">
        <f t="shared" si="0"/>
        <v>4000</v>
      </c>
      <c r="M39" s="875"/>
      <c r="N39" s="876">
        <v>12000</v>
      </c>
      <c r="O39" s="876"/>
      <c r="P39" s="876">
        <f>J39+N39</f>
        <v>60000</v>
      </c>
    </row>
    <row r="40" spans="1:16" ht="18" thickTop="1" thickBot="1" x14ac:dyDescent="0.35">
      <c r="A40" s="697"/>
      <c r="B40" s="689"/>
      <c r="C40" s="690"/>
      <c r="D40" s="690">
        <v>54399</v>
      </c>
      <c r="E40" s="690"/>
      <c r="F40" s="714">
        <f>8000+N39</f>
        <v>20000</v>
      </c>
      <c r="G40" s="690"/>
      <c r="H40" s="714"/>
      <c r="I40" s="704"/>
      <c r="J40" s="714"/>
      <c r="K40" s="691"/>
      <c r="L40" s="723">
        <f t="shared" si="0"/>
        <v>0</v>
      </c>
      <c r="M40" s="723"/>
      <c r="N40" s="718"/>
      <c r="O40" s="718"/>
      <c r="P40" s="718"/>
    </row>
    <row r="41" spans="1:16" ht="17.25" thickTop="1" x14ac:dyDescent="0.3">
      <c r="B41" s="694"/>
      <c r="C41" s="683"/>
      <c r="D41" s="683"/>
      <c r="E41" s="683"/>
      <c r="F41" s="683"/>
      <c r="G41" s="683"/>
      <c r="H41" s="691"/>
      <c r="J41" s="692"/>
      <c r="K41" s="692"/>
      <c r="L41" s="723">
        <f t="shared" si="0"/>
        <v>0</v>
      </c>
      <c r="M41" s="723"/>
      <c r="N41" s="718"/>
      <c r="O41" s="718"/>
      <c r="P41" s="718"/>
    </row>
    <row r="42" spans="1:16" x14ac:dyDescent="0.3">
      <c r="A42" s="697"/>
      <c r="B42" s="694"/>
      <c r="C42" s="683"/>
      <c r="D42" s="683">
        <v>54106</v>
      </c>
      <c r="E42" s="695"/>
      <c r="F42" s="695">
        <v>3000</v>
      </c>
      <c r="G42" s="683"/>
      <c r="H42" s="691"/>
      <c r="J42" s="692"/>
      <c r="K42" s="692"/>
      <c r="L42" s="723">
        <f t="shared" si="0"/>
        <v>0</v>
      </c>
      <c r="M42" s="723"/>
      <c r="N42" s="718"/>
      <c r="O42" s="718"/>
      <c r="P42" s="718"/>
    </row>
    <row r="43" spans="1:16" x14ac:dyDescent="0.3">
      <c r="A43" s="697" t="s">
        <v>902</v>
      </c>
      <c r="B43" s="694"/>
      <c r="C43" s="683"/>
      <c r="D43" s="683">
        <v>54104</v>
      </c>
      <c r="E43" s="695"/>
      <c r="F43" s="695">
        <v>5000</v>
      </c>
      <c r="G43" s="683"/>
      <c r="H43" s="691"/>
      <c r="J43" s="692"/>
      <c r="K43" s="692"/>
      <c r="L43" s="723">
        <f t="shared" si="0"/>
        <v>0</v>
      </c>
      <c r="M43" s="723"/>
      <c r="N43" s="718"/>
      <c r="O43" s="718"/>
      <c r="P43" s="718"/>
    </row>
    <row r="44" spans="1:16" ht="17.25" thickBot="1" x14ac:dyDescent="0.35">
      <c r="A44" s="697"/>
      <c r="B44" s="694"/>
      <c r="C44" s="683"/>
      <c r="D44" s="683">
        <v>54112</v>
      </c>
      <c r="E44" s="695"/>
      <c r="F44" s="695">
        <v>5000</v>
      </c>
      <c r="G44" s="683"/>
      <c r="H44" s="691"/>
      <c r="J44" s="692">
        <v>24000</v>
      </c>
      <c r="K44" s="692"/>
      <c r="L44" s="875">
        <f t="shared" si="0"/>
        <v>2000</v>
      </c>
      <c r="M44" s="875"/>
      <c r="N44" s="876"/>
      <c r="O44" s="876"/>
      <c r="P44" s="876">
        <f>J44+N44</f>
        <v>24000</v>
      </c>
    </row>
    <row r="45" spans="1:16" ht="17.25" thickTop="1" x14ac:dyDescent="0.3">
      <c r="A45" s="697"/>
      <c r="B45" s="694"/>
      <c r="C45" s="683"/>
      <c r="D45" s="683">
        <v>54399</v>
      </c>
      <c r="E45" s="691"/>
      <c r="F45" s="691">
        <v>5000</v>
      </c>
      <c r="G45" s="683"/>
      <c r="H45" s="691"/>
      <c r="J45" s="701"/>
      <c r="K45" s="701"/>
      <c r="L45" s="723">
        <f t="shared" si="0"/>
        <v>0</v>
      </c>
      <c r="M45" s="723"/>
      <c r="N45" s="718"/>
      <c r="O45" s="718"/>
      <c r="P45" s="718"/>
    </row>
    <row r="46" spans="1:16" x14ac:dyDescent="0.3">
      <c r="A46" s="697"/>
      <c r="B46" s="694"/>
      <c r="C46" s="683"/>
      <c r="D46" s="683">
        <v>51201</v>
      </c>
      <c r="E46" s="691"/>
      <c r="F46" s="691">
        <v>6000</v>
      </c>
      <c r="G46" s="683"/>
      <c r="H46" s="691"/>
      <c r="J46" s="701"/>
      <c r="K46" s="701"/>
      <c r="L46" s="723">
        <f t="shared" si="0"/>
        <v>0</v>
      </c>
      <c r="M46" s="723"/>
      <c r="N46" s="718"/>
      <c r="O46" s="718"/>
      <c r="P46" s="718"/>
    </row>
    <row r="47" spans="1:16" x14ac:dyDescent="0.3">
      <c r="A47" s="697"/>
      <c r="B47" s="694"/>
      <c r="C47" s="683"/>
      <c r="D47" s="683"/>
      <c r="E47" s="691"/>
      <c r="F47" s="691"/>
      <c r="G47" s="683"/>
      <c r="H47" s="691"/>
      <c r="J47" s="701"/>
      <c r="K47" s="701"/>
      <c r="L47" s="723"/>
      <c r="M47" s="723"/>
      <c r="N47" s="718"/>
      <c r="O47" s="718"/>
      <c r="P47" s="718"/>
    </row>
    <row r="48" spans="1:16" x14ac:dyDescent="0.3">
      <c r="A48" s="697"/>
      <c r="B48" s="694"/>
      <c r="C48" s="683"/>
      <c r="D48" s="683"/>
      <c r="E48" s="691"/>
      <c r="F48" s="691"/>
      <c r="G48" s="683"/>
      <c r="H48" s="691"/>
      <c r="J48" s="701"/>
      <c r="K48" s="701"/>
      <c r="L48" s="723"/>
      <c r="M48" s="723"/>
      <c r="N48" s="718"/>
      <c r="O48" s="718"/>
      <c r="P48" s="718"/>
    </row>
    <row r="49" spans="1:16" s="870" customFormat="1" ht="17.25" thickBot="1" x14ac:dyDescent="0.35">
      <c r="A49" s="866" t="s">
        <v>919</v>
      </c>
      <c r="B49" s="867"/>
      <c r="C49" s="868"/>
      <c r="D49" s="868">
        <v>54399</v>
      </c>
      <c r="E49" s="869"/>
      <c r="F49" s="869">
        <v>37535.82</v>
      </c>
      <c r="G49" s="868"/>
      <c r="H49" s="869">
        <v>0</v>
      </c>
      <c r="J49" s="871">
        <v>0</v>
      </c>
      <c r="K49" s="871"/>
      <c r="L49" s="878"/>
      <c r="M49" s="878"/>
      <c r="N49" s="879">
        <f>F49</f>
        <v>37535.82</v>
      </c>
      <c r="O49" s="879"/>
      <c r="P49" s="876">
        <f>J49+N49</f>
        <v>37535.82</v>
      </c>
    </row>
    <row r="50" spans="1:16" ht="17.25" thickTop="1" x14ac:dyDescent="0.3">
      <c r="A50" s="697"/>
      <c r="B50" s="694"/>
      <c r="C50" s="683"/>
      <c r="D50" s="683"/>
      <c r="E50" s="691"/>
      <c r="F50" s="691"/>
      <c r="G50" s="683"/>
      <c r="H50" s="691"/>
      <c r="J50" s="701"/>
      <c r="K50" s="701"/>
      <c r="L50" s="723"/>
      <c r="M50" s="723"/>
      <c r="N50" s="718"/>
      <c r="O50" s="718"/>
      <c r="P50" s="718"/>
    </row>
    <row r="51" spans="1:16" x14ac:dyDescent="0.3">
      <c r="A51" s="697"/>
      <c r="B51" s="694"/>
      <c r="C51" s="683"/>
      <c r="D51" s="683"/>
      <c r="E51" s="691"/>
      <c r="F51" s="691"/>
      <c r="G51" s="683"/>
      <c r="H51" s="691"/>
      <c r="J51" s="701"/>
      <c r="K51" s="701"/>
      <c r="L51" s="723"/>
      <c r="M51" s="723"/>
      <c r="N51" s="718"/>
      <c r="O51" s="718"/>
      <c r="P51" s="718"/>
    </row>
    <row r="52" spans="1:16" x14ac:dyDescent="0.3">
      <c r="A52" s="697"/>
      <c r="B52" s="694"/>
      <c r="C52" s="683"/>
      <c r="D52" s="683"/>
      <c r="E52" s="691"/>
      <c r="F52" s="691"/>
      <c r="G52" s="683"/>
      <c r="H52" s="691"/>
      <c r="J52" s="701"/>
      <c r="K52" s="701"/>
      <c r="L52" s="723">
        <f t="shared" si="0"/>
        <v>0</v>
      </c>
      <c r="M52" s="723"/>
      <c r="N52" s="718"/>
      <c r="O52" s="718"/>
      <c r="P52" s="718"/>
    </row>
    <row r="53" spans="1:16" ht="17.25" thickBot="1" x14ac:dyDescent="0.35">
      <c r="A53" s="697" t="s">
        <v>912</v>
      </c>
      <c r="B53" s="694"/>
      <c r="C53" s="683"/>
      <c r="D53" s="683">
        <v>56305</v>
      </c>
      <c r="E53" s="683"/>
      <c r="F53" s="695">
        <f>+N53+60000</f>
        <v>61000</v>
      </c>
      <c r="G53" s="683"/>
      <c r="H53" s="691"/>
      <c r="J53" s="692">
        <v>60000</v>
      </c>
      <c r="K53" s="692"/>
      <c r="L53" s="875">
        <f t="shared" si="0"/>
        <v>5000</v>
      </c>
      <c r="M53" s="875"/>
      <c r="N53" s="876">
        <v>1000</v>
      </c>
      <c r="O53" s="876"/>
      <c r="P53" s="876">
        <f>J53+N53</f>
        <v>61000</v>
      </c>
    </row>
    <row r="54" spans="1:16" ht="18" thickTop="1" thickBot="1" x14ac:dyDescent="0.35">
      <c r="A54" s="698"/>
      <c r="B54" s="699" t="s">
        <v>903</v>
      </c>
      <c r="C54" s="700" t="s">
        <v>891</v>
      </c>
      <c r="D54" s="700"/>
      <c r="E54" s="700"/>
      <c r="F54" s="700"/>
      <c r="G54" s="700"/>
      <c r="H54" s="702"/>
      <c r="I54" s="683" t="s">
        <v>891</v>
      </c>
      <c r="J54" s="722">
        <f>SUM(J4:J53)</f>
        <v>519000</v>
      </c>
      <c r="K54" s="873"/>
      <c r="N54" s="877">
        <f>N3-(SUM(N4:N53))</f>
        <v>1000.0000999999902</v>
      </c>
      <c r="O54" s="718"/>
      <c r="P54" s="877">
        <f>P3-(SUM(P4:P53))</f>
        <v>-610535.81999999995</v>
      </c>
    </row>
    <row r="55" spans="1:16" ht="17.25" thickTop="1" x14ac:dyDescent="0.3">
      <c r="A55" s="1094"/>
      <c r="B55" s="1094"/>
    </row>
  </sheetData>
  <mergeCells count="5">
    <mergeCell ref="A1:H1"/>
    <mergeCell ref="A3:B3"/>
    <mergeCell ref="A15:A34"/>
    <mergeCell ref="A55:B55"/>
    <mergeCell ref="H5:H9"/>
  </mergeCells>
  <pageMargins left="0.70866141732283472" right="0.70866141732283472" top="0.74803149606299213" bottom="0.94488188976377963" header="0.31496062992125984" footer="0.51181102362204722"/>
  <pageSetup paperSize="5" scale="5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8"/>
    <pageSetUpPr fitToPage="1"/>
  </sheetPr>
  <dimension ref="A1:K20"/>
  <sheetViews>
    <sheetView view="pageBreakPreview" topLeftCell="A10" zoomScale="86" zoomScaleNormal="100" zoomScaleSheetLayoutView="86" workbookViewId="0">
      <selection activeCell="K11" sqref="K11"/>
    </sheetView>
  </sheetViews>
  <sheetFormatPr baseColWidth="10" defaultColWidth="11.42578125" defaultRowHeight="12.75" x14ac:dyDescent="0.2"/>
  <cols>
    <col min="1" max="1" width="4.5703125" style="23" customWidth="1"/>
    <col min="2" max="2" width="4.42578125" style="23" customWidth="1"/>
    <col min="3" max="4" width="4.5703125" style="23" customWidth="1"/>
    <col min="5" max="5" width="6.140625" style="23" customWidth="1"/>
    <col min="6" max="6" width="10.28515625" style="23" customWidth="1"/>
    <col min="7" max="7" width="49.28515625" style="19" customWidth="1"/>
    <col min="8" max="8" width="21.28515625" style="4" customWidth="1"/>
    <col min="9" max="9" width="11.42578125" style="64"/>
    <col min="10" max="10" width="14.7109375" style="152" bestFit="1" customWidth="1"/>
    <col min="11" max="11" width="13.7109375" style="21" bestFit="1" customWidth="1"/>
    <col min="12" max="16384" width="11.42578125" style="21"/>
  </cols>
  <sheetData>
    <row r="1" spans="1:11" ht="20.25" x14ac:dyDescent="0.25">
      <c r="A1" s="1046"/>
      <c r="B1" s="1046"/>
      <c r="C1" s="1046"/>
      <c r="D1" s="1046"/>
      <c r="E1" s="1046"/>
      <c r="F1" s="1046"/>
      <c r="G1" s="1046"/>
      <c r="H1" s="1046"/>
      <c r="I1" s="161"/>
    </row>
    <row r="2" spans="1:11" ht="18" x14ac:dyDescent="0.2">
      <c r="A2" s="1045" t="s">
        <v>329</v>
      </c>
      <c r="B2" s="1045"/>
      <c r="C2" s="1045"/>
      <c r="D2" s="1045"/>
      <c r="E2" s="1045"/>
      <c r="F2" s="1045"/>
      <c r="G2" s="1045"/>
      <c r="H2" s="1045"/>
      <c r="I2" s="1045"/>
    </row>
    <row r="3" spans="1:11" ht="15.75" x14ac:dyDescent="0.25">
      <c r="A3" s="1062" t="s">
        <v>192</v>
      </c>
      <c r="B3" s="1063"/>
      <c r="C3" s="1063"/>
      <c r="D3" s="1063"/>
      <c r="E3" s="1063"/>
      <c r="F3" s="1063"/>
      <c r="G3" s="1063"/>
      <c r="H3" s="1063"/>
      <c r="K3" s="63"/>
    </row>
    <row r="4" spans="1:11" ht="15.75" x14ac:dyDescent="0.25">
      <c r="A4" s="1062" t="s">
        <v>711</v>
      </c>
      <c r="B4" s="1063"/>
      <c r="C4" s="1063"/>
      <c r="D4" s="1063"/>
      <c r="E4" s="1063"/>
      <c r="F4" s="1063"/>
      <c r="G4" s="1063"/>
      <c r="H4" s="1063"/>
      <c r="K4" s="63"/>
    </row>
    <row r="5" spans="1:11" ht="15" x14ac:dyDescent="0.2">
      <c r="A5" s="1076" t="s">
        <v>7</v>
      </c>
      <c r="B5" s="1077"/>
      <c r="C5" s="1077"/>
      <c r="D5" s="1077"/>
      <c r="E5" s="1077"/>
      <c r="F5" s="1077"/>
      <c r="G5" s="1077"/>
      <c r="H5" s="1077"/>
    </row>
    <row r="6" spans="1:11" ht="8.25" customHeight="1" x14ac:dyDescent="0.25">
      <c r="A6" s="1080"/>
      <c r="B6" s="1081"/>
      <c r="C6" s="1081"/>
      <c r="D6" s="1081"/>
      <c r="E6" s="1081"/>
      <c r="F6" s="1081"/>
      <c r="G6" s="1081"/>
      <c r="H6" s="1081"/>
    </row>
    <row r="7" spans="1:11" ht="15.75" x14ac:dyDescent="0.25">
      <c r="A7" s="1098" t="s">
        <v>155</v>
      </c>
      <c r="B7" s="1098"/>
      <c r="C7" s="1098"/>
      <c r="D7" s="1098"/>
      <c r="E7" s="1098"/>
      <c r="F7" s="1098"/>
      <c r="G7" s="1098"/>
      <c r="H7" s="1098"/>
      <c r="K7" s="63"/>
    </row>
    <row r="8" spans="1:11" ht="16.5" thickBot="1" x14ac:dyDescent="0.3">
      <c r="A8" s="1099" t="s">
        <v>542</v>
      </c>
      <c r="B8" s="1099"/>
      <c r="C8" s="1099"/>
      <c r="D8" s="1099"/>
      <c r="E8" s="1099"/>
      <c r="F8" s="1099"/>
      <c r="G8" s="1099"/>
      <c r="H8" s="1099"/>
      <c r="K8" s="63"/>
    </row>
    <row r="9" spans="1:11" ht="15.75" thickBot="1" x14ac:dyDescent="0.3">
      <c r="A9" s="1100" t="s">
        <v>0</v>
      </c>
      <c r="B9" s="1101"/>
      <c r="C9" s="1101"/>
      <c r="D9" s="1101"/>
      <c r="E9" s="1101"/>
      <c r="F9" s="1101"/>
      <c r="G9" s="1072" t="s">
        <v>130</v>
      </c>
      <c r="H9" s="1074" t="s">
        <v>131</v>
      </c>
      <c r="K9" s="63"/>
    </row>
    <row r="10" spans="1:11" ht="200.25" customHeight="1" thickBot="1" x14ac:dyDescent="0.25">
      <c r="A10" s="235" t="s">
        <v>124</v>
      </c>
      <c r="B10" s="236" t="s">
        <v>125</v>
      </c>
      <c r="C10" s="236" t="s">
        <v>104</v>
      </c>
      <c r="D10" s="236" t="s">
        <v>126</v>
      </c>
      <c r="E10" s="237" t="s">
        <v>132</v>
      </c>
      <c r="F10" s="238" t="s">
        <v>89</v>
      </c>
      <c r="G10" s="1102"/>
      <c r="H10" s="1075"/>
      <c r="J10" s="157"/>
    </row>
    <row r="11" spans="1:11" ht="35.25" customHeight="1" x14ac:dyDescent="0.2">
      <c r="A11" s="50">
        <v>1</v>
      </c>
      <c r="B11" s="49" t="s">
        <v>44</v>
      </c>
      <c r="C11" s="202" t="s">
        <v>44</v>
      </c>
      <c r="D11" s="49" t="s">
        <v>886</v>
      </c>
      <c r="E11" s="202" t="s">
        <v>1183</v>
      </c>
      <c r="F11" s="291">
        <v>54101</v>
      </c>
      <c r="G11" s="322" t="s">
        <v>605</v>
      </c>
      <c r="H11" s="292">
        <v>500</v>
      </c>
    </row>
    <row r="12" spans="1:11" ht="35.25" customHeight="1" x14ac:dyDescent="0.2">
      <c r="A12" s="50">
        <v>1</v>
      </c>
      <c r="B12" s="49" t="s">
        <v>44</v>
      </c>
      <c r="C12" s="202" t="s">
        <v>44</v>
      </c>
      <c r="D12" s="49" t="s">
        <v>886</v>
      </c>
      <c r="E12" s="202" t="s">
        <v>1183</v>
      </c>
      <c r="F12" s="291">
        <v>54199</v>
      </c>
      <c r="G12" s="322" t="s">
        <v>606</v>
      </c>
      <c r="H12" s="323">
        <v>500</v>
      </c>
    </row>
    <row r="13" spans="1:11" ht="35.25" customHeight="1" thickBot="1" x14ac:dyDescent="0.25">
      <c r="A13" s="50">
        <v>1</v>
      </c>
      <c r="B13" s="49" t="s">
        <v>44</v>
      </c>
      <c r="C13" s="202" t="s">
        <v>44</v>
      </c>
      <c r="D13" s="49" t="s">
        <v>886</v>
      </c>
      <c r="E13" s="202" t="s">
        <v>1183</v>
      </c>
      <c r="F13" s="291">
        <v>54399</v>
      </c>
      <c r="G13" s="293" t="s">
        <v>1184</v>
      </c>
      <c r="H13" s="295">
        <f>500+217.76</f>
        <v>717.76</v>
      </c>
    </row>
    <row r="14" spans="1:11" ht="27.75" customHeight="1" thickBot="1" x14ac:dyDescent="0.35">
      <c r="A14" s="1103"/>
      <c r="B14" s="1104"/>
      <c r="C14" s="1104"/>
      <c r="D14" s="1104"/>
      <c r="E14" s="1104"/>
      <c r="F14" s="1105"/>
      <c r="G14" s="294" t="s">
        <v>541</v>
      </c>
      <c r="H14" s="296">
        <f>SUM(H11:H13)</f>
        <v>1717.76</v>
      </c>
      <c r="J14" s="156"/>
      <c r="K14" s="63"/>
    </row>
    <row r="15" spans="1:11" x14ac:dyDescent="0.2">
      <c r="A15" s="22"/>
      <c r="B15" s="22"/>
      <c r="C15" s="22"/>
      <c r="D15" s="22"/>
      <c r="E15" s="22"/>
      <c r="F15" s="22"/>
      <c r="H15" s="34"/>
      <c r="K15" s="153"/>
    </row>
    <row r="16" spans="1:11" ht="15.75" x14ac:dyDescent="0.25">
      <c r="A16" s="22"/>
      <c r="B16" s="22"/>
      <c r="C16" s="22"/>
      <c r="D16" s="22"/>
      <c r="E16" s="22"/>
      <c r="F16" s="22"/>
      <c r="G16" s="35"/>
      <c r="H16" s="162"/>
      <c r="K16" s="153"/>
    </row>
    <row r="17" spans="1:11" ht="19.5" customHeight="1" x14ac:dyDescent="0.2">
      <c r="A17" s="1106" t="s">
        <v>8</v>
      </c>
      <c r="B17" s="1106"/>
      <c r="C17" s="1106"/>
      <c r="D17" s="1106"/>
      <c r="E17" s="1106"/>
      <c r="F17" s="1106"/>
      <c r="H17" s="163"/>
      <c r="K17" s="179"/>
    </row>
    <row r="18" spans="1:11" x14ac:dyDescent="0.2">
      <c r="A18" s="1097" t="s">
        <v>1</v>
      </c>
      <c r="B18" s="1097"/>
      <c r="C18" s="1097"/>
      <c r="D18" s="1097"/>
      <c r="E18" s="1097"/>
      <c r="F18" s="1097"/>
      <c r="G18" s="1097"/>
    </row>
    <row r="19" spans="1:11" x14ac:dyDescent="0.2">
      <c r="A19" s="1097" t="s">
        <v>1185</v>
      </c>
      <c r="B19" s="1097"/>
      <c r="C19" s="1097"/>
      <c r="D19" s="1097"/>
      <c r="E19" s="1097"/>
      <c r="F19" s="1097"/>
      <c r="G19" s="1097"/>
    </row>
    <row r="20" spans="1:11" x14ac:dyDescent="0.2">
      <c r="A20" s="1097"/>
      <c r="B20" s="1097"/>
      <c r="C20" s="1097"/>
      <c r="D20" s="1097"/>
      <c r="E20" s="1097"/>
      <c r="F20" s="1097"/>
      <c r="G20" s="1097"/>
    </row>
  </sheetData>
  <mergeCells count="17">
    <mergeCell ref="A20:G20"/>
    <mergeCell ref="A6:H6"/>
    <mergeCell ref="A7:H7"/>
    <mergeCell ref="A8:H8"/>
    <mergeCell ref="A9:F9"/>
    <mergeCell ref="G9:G10"/>
    <mergeCell ref="H9:H10"/>
    <mergeCell ref="A14:F14"/>
    <mergeCell ref="A17:F17"/>
    <mergeCell ref="A18:G18"/>
    <mergeCell ref="A19:G19"/>
    <mergeCell ref="A5:H5"/>
    <mergeCell ref="A1:D1"/>
    <mergeCell ref="E1:H1"/>
    <mergeCell ref="A2:I2"/>
    <mergeCell ref="A3:H3"/>
    <mergeCell ref="A4:H4"/>
  </mergeCells>
  <printOptions horizontalCentered="1"/>
  <pageMargins left="0.70866141732283472" right="0.70866141732283472" top="0.74803149606299213" bottom="0.74803149606299213" header="0.31496062992125984" footer="0.31496062992125984"/>
  <pageSetup paperSize="5" scale="87"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pageSetUpPr fitToPage="1"/>
  </sheetPr>
  <dimension ref="A1:K52"/>
  <sheetViews>
    <sheetView view="pageBreakPreview" topLeftCell="A10" zoomScale="86" zoomScaleNormal="100" zoomScaleSheetLayoutView="86" workbookViewId="0">
      <selection activeCell="C40" sqref="C40"/>
    </sheetView>
  </sheetViews>
  <sheetFormatPr baseColWidth="10" defaultColWidth="11.42578125" defaultRowHeight="12.75" x14ac:dyDescent="0.2"/>
  <cols>
    <col min="1" max="1" width="4.5703125" style="23" customWidth="1"/>
    <col min="2" max="2" width="4.42578125" style="23" customWidth="1"/>
    <col min="3" max="4" width="4.5703125" style="23" customWidth="1"/>
    <col min="5" max="5" width="6.140625" style="23" customWidth="1"/>
    <col min="6" max="6" width="10.28515625" style="23" customWidth="1"/>
    <col min="7" max="7" width="49.28515625" style="19" customWidth="1"/>
    <col min="8" max="8" width="21.28515625" style="4" customWidth="1"/>
    <col min="9" max="9" width="11.42578125" style="64"/>
    <col min="10" max="10" width="14.7109375" style="152" bestFit="1" customWidth="1"/>
    <col min="11" max="11" width="13.7109375" style="21" bestFit="1" customWidth="1"/>
    <col min="12" max="16384" width="11.42578125" style="21"/>
  </cols>
  <sheetData>
    <row r="1" spans="1:11" ht="20.25" x14ac:dyDescent="0.25">
      <c r="A1" s="1046"/>
      <c r="B1" s="1046"/>
      <c r="C1" s="1046"/>
      <c r="D1" s="1046"/>
      <c r="E1" s="1046"/>
      <c r="F1" s="1046"/>
      <c r="G1" s="1046"/>
      <c r="H1" s="1046"/>
      <c r="I1" s="161"/>
    </row>
    <row r="2" spans="1:11" ht="18" x14ac:dyDescent="0.2">
      <c r="A2" s="1045" t="s">
        <v>329</v>
      </c>
      <c r="B2" s="1045"/>
      <c r="C2" s="1045"/>
      <c r="D2" s="1045"/>
      <c r="E2" s="1045"/>
      <c r="F2" s="1045"/>
      <c r="G2" s="1045"/>
      <c r="H2" s="1045"/>
      <c r="I2" s="1045"/>
    </row>
    <row r="3" spans="1:11" ht="15.75" x14ac:dyDescent="0.25">
      <c r="A3" s="1062" t="s">
        <v>192</v>
      </c>
      <c r="B3" s="1063"/>
      <c r="C3" s="1063"/>
      <c r="D3" s="1063"/>
      <c r="E3" s="1063"/>
      <c r="F3" s="1063"/>
      <c r="G3" s="1063"/>
      <c r="H3" s="1063"/>
      <c r="K3" s="63"/>
    </row>
    <row r="4" spans="1:11" ht="15.75" x14ac:dyDescent="0.25">
      <c r="A4" s="1062" t="s">
        <v>711</v>
      </c>
      <c r="B4" s="1063"/>
      <c r="C4" s="1063"/>
      <c r="D4" s="1063"/>
      <c r="E4" s="1063"/>
      <c r="F4" s="1063"/>
      <c r="G4" s="1063"/>
      <c r="H4" s="1063"/>
      <c r="K4" s="63"/>
    </row>
    <row r="5" spans="1:11" ht="15" x14ac:dyDescent="0.2">
      <c r="A5" s="1076" t="s">
        <v>7</v>
      </c>
      <c r="B5" s="1077"/>
      <c r="C5" s="1077"/>
      <c r="D5" s="1077"/>
      <c r="E5" s="1077"/>
      <c r="F5" s="1077"/>
      <c r="G5" s="1077"/>
      <c r="H5" s="1077"/>
    </row>
    <row r="6" spans="1:11" ht="8.25" customHeight="1" x14ac:dyDescent="0.25">
      <c r="A6" s="1080"/>
      <c r="B6" s="1081"/>
      <c r="C6" s="1081"/>
      <c r="D6" s="1081"/>
      <c r="E6" s="1081"/>
      <c r="F6" s="1081"/>
      <c r="G6" s="1081"/>
      <c r="H6" s="1081"/>
    </row>
    <row r="7" spans="1:11" ht="15.75" x14ac:dyDescent="0.25">
      <c r="A7" s="1098" t="s">
        <v>155</v>
      </c>
      <c r="B7" s="1098"/>
      <c r="C7" s="1098"/>
      <c r="D7" s="1098"/>
      <c r="E7" s="1098"/>
      <c r="F7" s="1098"/>
      <c r="G7" s="1098"/>
      <c r="H7" s="1098"/>
      <c r="K7" s="63"/>
    </row>
    <row r="8" spans="1:11" ht="16.5" thickBot="1" x14ac:dyDescent="0.3">
      <c r="A8" s="1099" t="s">
        <v>583</v>
      </c>
      <c r="B8" s="1099"/>
      <c r="C8" s="1099"/>
      <c r="D8" s="1099"/>
      <c r="E8" s="1099"/>
      <c r="F8" s="1099"/>
      <c r="G8" s="1099"/>
      <c r="H8" s="1099"/>
      <c r="K8" s="63"/>
    </row>
    <row r="9" spans="1:11" ht="15.75" thickBot="1" x14ac:dyDescent="0.3">
      <c r="A9" s="1100" t="s">
        <v>0</v>
      </c>
      <c r="B9" s="1101"/>
      <c r="C9" s="1101"/>
      <c r="D9" s="1101"/>
      <c r="E9" s="1101"/>
      <c r="F9" s="1101"/>
      <c r="G9" s="1072" t="s">
        <v>130</v>
      </c>
      <c r="H9" s="1074" t="s">
        <v>131</v>
      </c>
      <c r="K9" s="63"/>
    </row>
    <row r="10" spans="1:11" ht="200.25" customHeight="1" thickBot="1" x14ac:dyDescent="0.25">
      <c r="A10" s="235" t="s">
        <v>124</v>
      </c>
      <c r="B10" s="236" t="s">
        <v>125</v>
      </c>
      <c r="C10" s="236" t="s">
        <v>104</v>
      </c>
      <c r="D10" s="236" t="s">
        <v>126</v>
      </c>
      <c r="E10" s="237" t="s">
        <v>132</v>
      </c>
      <c r="F10" s="238" t="s">
        <v>89</v>
      </c>
      <c r="G10" s="1073"/>
      <c r="H10" s="1075"/>
      <c r="J10" s="157"/>
    </row>
    <row r="11" spans="1:11" s="64" customFormat="1" ht="15.75" customHeight="1" x14ac:dyDescent="0.2">
      <c r="A11" s="8">
        <v>4</v>
      </c>
      <c r="B11" s="1" t="s">
        <v>348</v>
      </c>
      <c r="C11" s="10" t="s">
        <v>44</v>
      </c>
      <c r="D11" s="1" t="s">
        <v>46</v>
      </c>
      <c r="E11" s="10" t="s">
        <v>585</v>
      </c>
      <c r="F11" s="159">
        <v>54101</v>
      </c>
      <c r="G11" s="160" t="s">
        <v>34</v>
      </c>
      <c r="H11" s="186"/>
      <c r="J11" s="152"/>
      <c r="K11" s="21"/>
    </row>
    <row r="12" spans="1:11" s="64" customFormat="1" ht="15.75" customHeight="1" x14ac:dyDescent="0.2">
      <c r="A12" s="8">
        <v>4</v>
      </c>
      <c r="B12" s="1" t="s">
        <v>348</v>
      </c>
      <c r="C12" s="10" t="s">
        <v>44</v>
      </c>
      <c r="D12" s="1" t="s">
        <v>46</v>
      </c>
      <c r="E12" s="10" t="s">
        <v>585</v>
      </c>
      <c r="F12" s="2">
        <v>54103</v>
      </c>
      <c r="G12" s="6" t="s">
        <v>156</v>
      </c>
      <c r="H12" s="186"/>
      <c r="J12" s="152"/>
      <c r="K12" s="21"/>
    </row>
    <row r="13" spans="1:11" s="64" customFormat="1" ht="15.75" customHeight="1" x14ac:dyDescent="0.2">
      <c r="A13" s="8">
        <v>4</v>
      </c>
      <c r="B13" s="1" t="s">
        <v>348</v>
      </c>
      <c r="C13" s="10" t="s">
        <v>44</v>
      </c>
      <c r="D13" s="1" t="s">
        <v>46</v>
      </c>
      <c r="E13" s="10" t="s">
        <v>585</v>
      </c>
      <c r="F13" s="2">
        <v>54104</v>
      </c>
      <c r="G13" s="6" t="s">
        <v>135</v>
      </c>
      <c r="H13" s="186"/>
      <c r="J13" s="152"/>
      <c r="K13" s="21"/>
    </row>
    <row r="14" spans="1:11" s="64" customFormat="1" ht="15.75" customHeight="1" x14ac:dyDescent="0.2">
      <c r="A14" s="8">
        <v>4</v>
      </c>
      <c r="B14" s="1" t="s">
        <v>348</v>
      </c>
      <c r="C14" s="10" t="s">
        <v>44</v>
      </c>
      <c r="D14" s="1" t="s">
        <v>46</v>
      </c>
      <c r="E14" s="10" t="s">
        <v>585</v>
      </c>
      <c r="F14" s="2">
        <v>54105</v>
      </c>
      <c r="G14" s="6" t="s">
        <v>492</v>
      </c>
      <c r="H14" s="186"/>
      <c r="J14" s="152"/>
      <c r="K14" s="21"/>
    </row>
    <row r="15" spans="1:11" s="64" customFormat="1" ht="15.75" customHeight="1" x14ac:dyDescent="0.2">
      <c r="A15" s="8">
        <v>4</v>
      </c>
      <c r="B15" s="1" t="s">
        <v>348</v>
      </c>
      <c r="C15" s="10" t="s">
        <v>44</v>
      </c>
      <c r="D15" s="1" t="s">
        <v>46</v>
      </c>
      <c r="E15" s="10" t="s">
        <v>585</v>
      </c>
      <c r="F15" s="2">
        <v>54106</v>
      </c>
      <c r="G15" s="6" t="s">
        <v>157</v>
      </c>
      <c r="H15" s="186"/>
      <c r="J15" s="152"/>
      <c r="K15" s="21"/>
    </row>
    <row r="16" spans="1:11" s="64" customFormat="1" ht="15.75" customHeight="1" x14ac:dyDescent="0.2">
      <c r="A16" s="8">
        <v>4</v>
      </c>
      <c r="B16" s="1" t="s">
        <v>348</v>
      </c>
      <c r="C16" s="10" t="s">
        <v>44</v>
      </c>
      <c r="D16" s="1" t="s">
        <v>46</v>
      </c>
      <c r="E16" s="10" t="s">
        <v>585</v>
      </c>
      <c r="F16" s="2">
        <v>54107</v>
      </c>
      <c r="G16" s="6" t="s">
        <v>137</v>
      </c>
      <c r="H16" s="186">
        <v>3582</v>
      </c>
      <c r="J16" s="152"/>
      <c r="K16" s="21"/>
    </row>
    <row r="17" spans="1:11" s="64" customFormat="1" ht="15.75" customHeight="1" x14ac:dyDescent="0.2">
      <c r="A17" s="8">
        <v>4</v>
      </c>
      <c r="B17" s="1" t="s">
        <v>348</v>
      </c>
      <c r="C17" s="10" t="s">
        <v>44</v>
      </c>
      <c r="D17" s="1" t="s">
        <v>46</v>
      </c>
      <c r="E17" s="10" t="s">
        <v>585</v>
      </c>
      <c r="F17" s="2">
        <v>54109</v>
      </c>
      <c r="G17" s="6" t="s">
        <v>314</v>
      </c>
      <c r="H17" s="186"/>
      <c r="J17" s="152"/>
      <c r="K17" s="21"/>
    </row>
    <row r="18" spans="1:11" s="64" customFormat="1" ht="15.75" customHeight="1" x14ac:dyDescent="0.2">
      <c r="A18" s="8">
        <v>4</v>
      </c>
      <c r="B18" s="1" t="s">
        <v>348</v>
      </c>
      <c r="C18" s="10" t="s">
        <v>44</v>
      </c>
      <c r="D18" s="1" t="s">
        <v>46</v>
      </c>
      <c r="E18" s="10" t="s">
        <v>585</v>
      </c>
      <c r="F18" s="2">
        <v>54110</v>
      </c>
      <c r="G18" s="6" t="s">
        <v>36</v>
      </c>
      <c r="H18" s="186"/>
      <c r="J18" s="152"/>
      <c r="K18" s="21"/>
    </row>
    <row r="19" spans="1:11" s="64" customFormat="1" ht="15.75" customHeight="1" x14ac:dyDescent="0.2">
      <c r="A19" s="8">
        <v>4</v>
      </c>
      <c r="B19" s="1" t="s">
        <v>348</v>
      </c>
      <c r="C19" s="10" t="s">
        <v>44</v>
      </c>
      <c r="D19" s="1" t="s">
        <v>46</v>
      </c>
      <c r="E19" s="10" t="s">
        <v>585</v>
      </c>
      <c r="F19" s="2">
        <v>54111</v>
      </c>
      <c r="G19" s="6" t="s">
        <v>42</v>
      </c>
      <c r="H19" s="186">
        <v>10000</v>
      </c>
      <c r="J19" s="152"/>
      <c r="K19" s="21"/>
    </row>
    <row r="20" spans="1:11" s="64" customFormat="1" ht="15.75" customHeight="1" x14ac:dyDescent="0.2">
      <c r="A20" s="8">
        <v>4</v>
      </c>
      <c r="B20" s="1" t="s">
        <v>348</v>
      </c>
      <c r="C20" s="10" t="s">
        <v>44</v>
      </c>
      <c r="D20" s="1" t="s">
        <v>46</v>
      </c>
      <c r="E20" s="10" t="s">
        <v>585</v>
      </c>
      <c r="F20" s="2">
        <v>54112</v>
      </c>
      <c r="G20" s="6" t="s">
        <v>41</v>
      </c>
      <c r="H20" s="186">
        <v>10000</v>
      </c>
      <c r="J20" s="152"/>
      <c r="K20" s="21"/>
    </row>
    <row r="21" spans="1:11" s="64" customFormat="1" ht="26.25" customHeight="1" x14ac:dyDescent="0.2">
      <c r="A21" s="8">
        <v>4</v>
      </c>
      <c r="B21" s="1" t="s">
        <v>348</v>
      </c>
      <c r="C21" s="10" t="s">
        <v>44</v>
      </c>
      <c r="D21" s="1" t="s">
        <v>46</v>
      </c>
      <c r="E21" s="10" t="s">
        <v>585</v>
      </c>
      <c r="F21" s="2">
        <v>54113</v>
      </c>
      <c r="G21" s="282" t="s">
        <v>584</v>
      </c>
      <c r="H21" s="186"/>
      <c r="J21" s="152"/>
      <c r="K21" s="21"/>
    </row>
    <row r="22" spans="1:11" s="64" customFormat="1" ht="15.75" customHeight="1" x14ac:dyDescent="0.2">
      <c r="A22" s="8">
        <v>4</v>
      </c>
      <c r="B22" s="1" t="s">
        <v>348</v>
      </c>
      <c r="C22" s="10" t="s">
        <v>44</v>
      </c>
      <c r="D22" s="1" t="s">
        <v>46</v>
      </c>
      <c r="E22" s="10" t="s">
        <v>585</v>
      </c>
      <c r="F22" s="2">
        <v>54115</v>
      </c>
      <c r="G22" s="6" t="s">
        <v>503</v>
      </c>
      <c r="H22" s="186"/>
      <c r="J22" s="152"/>
      <c r="K22" s="21"/>
    </row>
    <row r="23" spans="1:11" s="64" customFormat="1" ht="15.75" customHeight="1" x14ac:dyDescent="0.2">
      <c r="A23" s="8">
        <v>4</v>
      </c>
      <c r="B23" s="1" t="s">
        <v>348</v>
      </c>
      <c r="C23" s="10" t="s">
        <v>44</v>
      </c>
      <c r="D23" s="1" t="s">
        <v>46</v>
      </c>
      <c r="E23" s="10" t="s">
        <v>585</v>
      </c>
      <c r="F23" s="2">
        <v>54118</v>
      </c>
      <c r="G23" s="6" t="s">
        <v>320</v>
      </c>
      <c r="H23" s="186"/>
      <c r="J23" s="152"/>
      <c r="K23" s="21"/>
    </row>
    <row r="24" spans="1:11" s="64" customFormat="1" ht="15.75" customHeight="1" x14ac:dyDescent="0.2">
      <c r="A24" s="8"/>
      <c r="B24" s="1"/>
      <c r="C24" s="10"/>
      <c r="D24" s="1"/>
      <c r="E24" s="10" t="s">
        <v>585</v>
      </c>
      <c r="F24" s="2">
        <v>54119</v>
      </c>
      <c r="G24" s="6" t="s">
        <v>79</v>
      </c>
      <c r="H24" s="186"/>
      <c r="J24" s="152"/>
      <c r="K24" s="21"/>
    </row>
    <row r="25" spans="1:11" s="64" customFormat="1" ht="15.75" customHeight="1" x14ac:dyDescent="0.2">
      <c r="A25" s="8"/>
      <c r="B25" s="1"/>
      <c r="C25" s="10"/>
      <c r="D25" s="1"/>
      <c r="E25" s="10" t="s">
        <v>585</v>
      </c>
      <c r="F25" s="2">
        <v>54199</v>
      </c>
      <c r="G25" s="6" t="s">
        <v>88</v>
      </c>
      <c r="H25" s="186"/>
      <c r="J25" s="152"/>
      <c r="K25" s="21"/>
    </row>
    <row r="26" spans="1:11" s="64" customFormat="1" ht="15.75" customHeight="1" x14ac:dyDescent="0.2">
      <c r="A26" s="8"/>
      <c r="B26" s="1"/>
      <c r="C26" s="10"/>
      <c r="D26" s="1"/>
      <c r="E26" s="10" t="s">
        <v>585</v>
      </c>
      <c r="F26" s="2">
        <v>61105</v>
      </c>
      <c r="G26" s="6" t="s">
        <v>609</v>
      </c>
      <c r="H26" s="299"/>
      <c r="J26" s="152"/>
      <c r="K26" s="21"/>
    </row>
    <row r="27" spans="1:11" s="64" customFormat="1" ht="15.75" customHeight="1" x14ac:dyDescent="0.2">
      <c r="A27" s="8"/>
      <c r="B27" s="1"/>
      <c r="C27" s="10"/>
      <c r="D27" s="1"/>
      <c r="E27" s="10" t="s">
        <v>585</v>
      </c>
      <c r="F27" s="2">
        <v>61108</v>
      </c>
      <c r="G27" s="6" t="s">
        <v>494</v>
      </c>
      <c r="H27" s="186"/>
      <c r="J27" s="152"/>
      <c r="K27" s="21"/>
    </row>
    <row r="28" spans="1:11" s="64" customFormat="1" ht="15.75" customHeight="1" x14ac:dyDescent="0.2">
      <c r="A28" s="8"/>
      <c r="B28" s="1"/>
      <c r="C28" s="10"/>
      <c r="D28" s="1"/>
      <c r="E28" s="10" t="s">
        <v>585</v>
      </c>
      <c r="F28" s="2">
        <v>61109</v>
      </c>
      <c r="G28" s="6" t="s">
        <v>495</v>
      </c>
      <c r="H28" s="186"/>
      <c r="J28" s="152"/>
      <c r="K28" s="21"/>
    </row>
    <row r="29" spans="1:11" s="64" customFormat="1" ht="15.75" customHeight="1" x14ac:dyDescent="0.2">
      <c r="A29" s="8"/>
      <c r="B29" s="1"/>
      <c r="C29" s="10"/>
      <c r="D29" s="1"/>
      <c r="E29" s="10" t="s">
        <v>585</v>
      </c>
      <c r="F29" s="2">
        <v>61199</v>
      </c>
      <c r="G29" s="6" t="s">
        <v>149</v>
      </c>
      <c r="H29" s="186"/>
      <c r="J29" s="152"/>
      <c r="K29" s="21"/>
    </row>
    <row r="30" spans="1:11" s="64" customFormat="1" ht="15.75" customHeight="1" x14ac:dyDescent="0.2">
      <c r="A30" s="8">
        <v>4</v>
      </c>
      <c r="B30" s="1" t="s">
        <v>348</v>
      </c>
      <c r="C30" s="10" t="s">
        <v>44</v>
      </c>
      <c r="D30" s="1" t="s">
        <v>46</v>
      </c>
      <c r="E30" s="10" t="s">
        <v>585</v>
      </c>
      <c r="F30" s="2">
        <v>61501</v>
      </c>
      <c r="G30" s="6" t="s">
        <v>216</v>
      </c>
      <c r="H30" s="186"/>
      <c r="J30" s="152"/>
      <c r="K30" s="21"/>
    </row>
    <row r="31" spans="1:11" s="64" customFormat="1" ht="15.75" customHeight="1" x14ac:dyDescent="0.2">
      <c r="A31" s="8">
        <v>4</v>
      </c>
      <c r="B31" s="1" t="s">
        <v>348</v>
      </c>
      <c r="C31" s="10" t="s">
        <v>44</v>
      </c>
      <c r="D31" s="1" t="s">
        <v>46</v>
      </c>
      <c r="E31" s="10" t="s">
        <v>585</v>
      </c>
      <c r="F31" s="2">
        <v>61502</v>
      </c>
      <c r="G31" s="6" t="s">
        <v>217</v>
      </c>
      <c r="H31" s="186"/>
      <c r="J31" s="152"/>
      <c r="K31" s="21"/>
    </row>
    <row r="32" spans="1:11" ht="15.75" customHeight="1" x14ac:dyDescent="0.2">
      <c r="A32" s="8">
        <v>4</v>
      </c>
      <c r="B32" s="1" t="s">
        <v>348</v>
      </c>
      <c r="C32" s="10" t="s">
        <v>44</v>
      </c>
      <c r="D32" s="1" t="s">
        <v>46</v>
      </c>
      <c r="E32" s="10" t="s">
        <v>585</v>
      </c>
      <c r="F32" s="2">
        <v>61503</v>
      </c>
      <c r="G32" s="6" t="s">
        <v>218</v>
      </c>
      <c r="H32" s="186"/>
    </row>
    <row r="33" spans="1:11" ht="15.75" customHeight="1" x14ac:dyDescent="0.2">
      <c r="A33" s="8">
        <v>4</v>
      </c>
      <c r="B33" s="1" t="s">
        <v>348</v>
      </c>
      <c r="C33" s="10" t="s">
        <v>44</v>
      </c>
      <c r="D33" s="1" t="s">
        <v>46</v>
      </c>
      <c r="E33" s="10" t="s">
        <v>585</v>
      </c>
      <c r="F33" s="2">
        <v>61599</v>
      </c>
      <c r="G33" s="6" t="s">
        <v>166</v>
      </c>
      <c r="H33" s="186"/>
    </row>
    <row r="34" spans="1:11" ht="15.75" customHeight="1" x14ac:dyDescent="0.2">
      <c r="A34" s="8">
        <v>4</v>
      </c>
      <c r="B34" s="1" t="s">
        <v>348</v>
      </c>
      <c r="C34" s="10" t="s">
        <v>44</v>
      </c>
      <c r="D34" s="1" t="s">
        <v>46</v>
      </c>
      <c r="E34" s="10" t="s">
        <v>585</v>
      </c>
      <c r="F34" s="2">
        <v>61601</v>
      </c>
      <c r="G34" s="6" t="s">
        <v>167</v>
      </c>
      <c r="H34" s="186"/>
    </row>
    <row r="35" spans="1:11" ht="15.75" customHeight="1" x14ac:dyDescent="0.2">
      <c r="A35" s="8">
        <v>4</v>
      </c>
      <c r="B35" s="1" t="s">
        <v>348</v>
      </c>
      <c r="C35" s="10" t="s">
        <v>44</v>
      </c>
      <c r="D35" s="1" t="s">
        <v>46</v>
      </c>
      <c r="E35" s="10" t="s">
        <v>585</v>
      </c>
      <c r="F35" s="2">
        <v>61602</v>
      </c>
      <c r="G35" s="6" t="s">
        <v>219</v>
      </c>
      <c r="H35" s="186"/>
    </row>
    <row r="36" spans="1:11" ht="15.75" customHeight="1" x14ac:dyDescent="0.2">
      <c r="A36" s="8">
        <v>4</v>
      </c>
      <c r="B36" s="1" t="s">
        <v>348</v>
      </c>
      <c r="C36" s="10" t="s">
        <v>44</v>
      </c>
      <c r="D36" s="1" t="s">
        <v>46</v>
      </c>
      <c r="E36" s="10" t="s">
        <v>585</v>
      </c>
      <c r="F36" s="2">
        <v>61603</v>
      </c>
      <c r="G36" s="6" t="s">
        <v>220</v>
      </c>
      <c r="H36" s="186"/>
    </row>
    <row r="37" spans="1:11" ht="15.75" customHeight="1" x14ac:dyDescent="0.2">
      <c r="A37" s="8">
        <v>4</v>
      </c>
      <c r="B37" s="1" t="s">
        <v>348</v>
      </c>
      <c r="C37" s="10" t="s">
        <v>44</v>
      </c>
      <c r="D37" s="1" t="s">
        <v>46</v>
      </c>
      <c r="E37" s="10" t="s">
        <v>585</v>
      </c>
      <c r="F37" s="2">
        <v>61604</v>
      </c>
      <c r="G37" s="6" t="s">
        <v>221</v>
      </c>
      <c r="H37" s="186"/>
    </row>
    <row r="38" spans="1:11" ht="15.75" customHeight="1" x14ac:dyDescent="0.2">
      <c r="A38" s="8">
        <v>4</v>
      </c>
      <c r="B38" s="1" t="s">
        <v>348</v>
      </c>
      <c r="C38" s="10" t="s">
        <v>44</v>
      </c>
      <c r="D38" s="1" t="s">
        <v>46</v>
      </c>
      <c r="E38" s="10" t="s">
        <v>585</v>
      </c>
      <c r="F38" s="2">
        <v>61606</v>
      </c>
      <c r="G38" s="6" t="s">
        <v>222</v>
      </c>
      <c r="H38" s="186"/>
    </row>
    <row r="39" spans="1:11" ht="15.75" customHeight="1" x14ac:dyDescent="0.2">
      <c r="A39" s="8">
        <v>4</v>
      </c>
      <c r="B39" s="1" t="s">
        <v>348</v>
      </c>
      <c r="C39" s="10" t="s">
        <v>44</v>
      </c>
      <c r="D39" s="1" t="s">
        <v>46</v>
      </c>
      <c r="E39" s="10" t="s">
        <v>585</v>
      </c>
      <c r="F39" s="2">
        <v>61607</v>
      </c>
      <c r="G39" s="6" t="s">
        <v>168</v>
      </c>
      <c r="H39" s="186"/>
    </row>
    <row r="40" spans="1:11" ht="15.75" customHeight="1" x14ac:dyDescent="0.2">
      <c r="A40" s="8">
        <v>4</v>
      </c>
      <c r="B40" s="1" t="s">
        <v>348</v>
      </c>
      <c r="C40" s="10" t="s">
        <v>44</v>
      </c>
      <c r="D40" s="1" t="s">
        <v>46</v>
      </c>
      <c r="E40" s="10" t="s">
        <v>585</v>
      </c>
      <c r="F40" s="2">
        <v>61608</v>
      </c>
      <c r="G40" s="6" t="s">
        <v>169</v>
      </c>
      <c r="H40" s="186"/>
    </row>
    <row r="41" spans="1:11" ht="15.75" customHeight="1" x14ac:dyDescent="0.2">
      <c r="A41" s="8">
        <v>4</v>
      </c>
      <c r="B41" s="1" t="s">
        <v>348</v>
      </c>
      <c r="C41" s="10" t="s">
        <v>44</v>
      </c>
      <c r="D41" s="1" t="s">
        <v>46</v>
      </c>
      <c r="E41" s="10" t="s">
        <v>585</v>
      </c>
      <c r="F41" s="2">
        <v>61609</v>
      </c>
      <c r="G41" s="6" t="s">
        <v>495</v>
      </c>
      <c r="H41" s="186"/>
    </row>
    <row r="42" spans="1:11" ht="15.75" customHeight="1" x14ac:dyDescent="0.2">
      <c r="A42" s="8">
        <v>4</v>
      </c>
      <c r="B42" s="1" t="s">
        <v>348</v>
      </c>
      <c r="C42" s="10" t="s">
        <v>44</v>
      </c>
      <c r="D42" s="1" t="s">
        <v>46</v>
      </c>
      <c r="E42" s="10" t="s">
        <v>585</v>
      </c>
      <c r="F42" s="2">
        <v>61699</v>
      </c>
      <c r="G42" s="6" t="s">
        <v>170</v>
      </c>
      <c r="H42" s="186"/>
    </row>
    <row r="43" spans="1:11" ht="15.75" customHeight="1" x14ac:dyDescent="0.2">
      <c r="A43" s="18"/>
      <c r="B43" s="16"/>
      <c r="C43" s="1"/>
      <c r="D43" s="16"/>
      <c r="E43" s="10" t="s">
        <v>585</v>
      </c>
      <c r="F43" s="178">
        <v>61201</v>
      </c>
      <c r="G43" s="7" t="s">
        <v>321</v>
      </c>
      <c r="H43" s="187"/>
    </row>
    <row r="44" spans="1:11" ht="15.75" customHeight="1" thickBot="1" x14ac:dyDescent="0.25">
      <c r="A44" s="18"/>
      <c r="B44" s="16"/>
      <c r="C44" s="177"/>
      <c r="D44" s="16"/>
      <c r="E44" s="177"/>
      <c r="F44" s="178">
        <v>72101</v>
      </c>
      <c r="G44" s="7" t="s">
        <v>524</v>
      </c>
      <c r="H44" s="187"/>
    </row>
    <row r="45" spans="1:11" ht="27.75" customHeight="1" thickBot="1" x14ac:dyDescent="0.35">
      <c r="A45" s="1103"/>
      <c r="B45" s="1104"/>
      <c r="C45" s="1104"/>
      <c r="D45" s="1104"/>
      <c r="E45" s="1104"/>
      <c r="F45" s="1105"/>
      <c r="G45" s="283" t="s">
        <v>171</v>
      </c>
      <c r="H45" s="241">
        <f>SUM(H11:H44)</f>
        <v>23582</v>
      </c>
      <c r="J45" s="156"/>
      <c r="K45" s="63"/>
    </row>
    <row r="46" spans="1:11" x14ac:dyDescent="0.2">
      <c r="A46" s="22"/>
      <c r="B46" s="22"/>
      <c r="C46" s="22"/>
      <c r="D46" s="22"/>
      <c r="E46" s="22"/>
      <c r="F46" s="22"/>
      <c r="H46" s="34"/>
      <c r="K46" s="153"/>
    </row>
    <row r="47" spans="1:11" ht="15.75" x14ac:dyDescent="0.25">
      <c r="A47" s="22"/>
      <c r="B47" s="22"/>
      <c r="C47" s="22"/>
      <c r="D47" s="22"/>
      <c r="E47" s="22"/>
      <c r="F47" s="22"/>
      <c r="G47" s="35"/>
      <c r="H47" s="162"/>
      <c r="K47" s="153"/>
    </row>
    <row r="48" spans="1:11" ht="19.5" customHeight="1" x14ac:dyDescent="0.2">
      <c r="A48" s="1106" t="s">
        <v>8</v>
      </c>
      <c r="B48" s="1106"/>
      <c r="C48" s="1106"/>
      <c r="D48" s="1106"/>
      <c r="E48" s="1106"/>
      <c r="F48" s="1106"/>
      <c r="H48" s="163">
        <f>+H45-H47</f>
        <v>23582</v>
      </c>
      <c r="K48" s="179"/>
    </row>
    <row r="49" spans="1:8" x14ac:dyDescent="0.2">
      <c r="A49" s="1097" t="s">
        <v>1</v>
      </c>
      <c r="B49" s="1097"/>
      <c r="C49" s="1097"/>
      <c r="D49" s="1097"/>
      <c r="E49" s="1097"/>
      <c r="F49" s="1097"/>
      <c r="G49" s="1097"/>
    </row>
    <row r="50" spans="1:8" x14ac:dyDescent="0.2">
      <c r="A50" s="1097" t="s">
        <v>586</v>
      </c>
      <c r="B50" s="1097"/>
      <c r="C50" s="1097"/>
      <c r="D50" s="1097"/>
      <c r="E50" s="1097"/>
      <c r="F50" s="1097"/>
      <c r="G50" s="1097"/>
      <c r="H50" s="65"/>
    </row>
    <row r="51" spans="1:8" x14ac:dyDescent="0.2">
      <c r="A51" s="1097" t="s">
        <v>5</v>
      </c>
      <c r="B51" s="1097"/>
      <c r="C51" s="1097"/>
      <c r="D51" s="1097"/>
      <c r="E51" s="1097"/>
      <c r="F51" s="1097"/>
      <c r="G51" s="1097"/>
    </row>
    <row r="52" spans="1:8" x14ac:dyDescent="0.2">
      <c r="A52" s="1097"/>
      <c r="B52" s="1097"/>
      <c r="C52" s="1097"/>
      <c r="D52" s="1097"/>
      <c r="E52" s="1097"/>
      <c r="F52" s="1097"/>
      <c r="G52" s="1097"/>
    </row>
  </sheetData>
  <mergeCells count="18">
    <mergeCell ref="A52:G52"/>
    <mergeCell ref="A6:H6"/>
    <mergeCell ref="A7:H7"/>
    <mergeCell ref="A8:H8"/>
    <mergeCell ref="A9:F9"/>
    <mergeCell ref="G9:G10"/>
    <mergeCell ref="H9:H10"/>
    <mergeCell ref="A45:F45"/>
    <mergeCell ref="A48:F48"/>
    <mergeCell ref="A49:G49"/>
    <mergeCell ref="A50:G50"/>
    <mergeCell ref="A51:G51"/>
    <mergeCell ref="A5:H5"/>
    <mergeCell ref="A1:D1"/>
    <mergeCell ref="E1:H1"/>
    <mergeCell ref="A2:I2"/>
    <mergeCell ref="A3:H3"/>
    <mergeCell ref="A4:H4"/>
  </mergeCells>
  <printOptions horizontalCentered="1"/>
  <pageMargins left="0.70866141732283472" right="0.70866141732283472" top="0.74803149606299213" bottom="0.74803149606299213" header="0.31496062992125984" footer="0.31496062992125984"/>
  <pageSetup paperSize="5"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E111A-0729-4104-A9F8-2F8A50AC66AA}">
  <sheetPr>
    <tabColor rgb="FF00B0F0"/>
  </sheetPr>
  <dimension ref="A1:K22"/>
  <sheetViews>
    <sheetView topLeftCell="A10" workbookViewId="0">
      <selection activeCell="H14" sqref="H14"/>
    </sheetView>
  </sheetViews>
  <sheetFormatPr baseColWidth="10" defaultColWidth="11.42578125" defaultRowHeight="12.75" x14ac:dyDescent="0.2"/>
  <cols>
    <col min="1" max="1" width="4.5703125" style="23" customWidth="1"/>
    <col min="2" max="2" width="4.42578125" style="23" customWidth="1"/>
    <col min="3" max="4" width="4.5703125" style="23" customWidth="1"/>
    <col min="5" max="5" width="6.140625" style="23" customWidth="1"/>
    <col min="6" max="6" width="10.28515625" style="23" customWidth="1"/>
    <col min="7" max="7" width="49.28515625" style="19" customWidth="1"/>
    <col min="8" max="8" width="21.28515625" style="4" customWidth="1"/>
    <col min="9" max="9" width="11.42578125" style="64"/>
    <col min="10" max="10" width="14.7109375" style="152" bestFit="1" customWidth="1"/>
    <col min="11" max="11" width="13.7109375" style="21" bestFit="1" customWidth="1"/>
    <col min="12" max="16384" width="11.42578125" style="21"/>
  </cols>
  <sheetData>
    <row r="1" spans="1:11" ht="20.25" x14ac:dyDescent="0.25">
      <c r="A1" s="1046"/>
      <c r="B1" s="1046"/>
      <c r="C1" s="1046"/>
      <c r="D1" s="1046"/>
      <c r="E1" s="1046"/>
      <c r="F1" s="1046"/>
      <c r="G1" s="1046"/>
      <c r="H1" s="1046"/>
      <c r="I1" s="161"/>
    </row>
    <row r="2" spans="1:11" ht="18" x14ac:dyDescent="0.2">
      <c r="A2" s="1045" t="s">
        <v>329</v>
      </c>
      <c r="B2" s="1045"/>
      <c r="C2" s="1045"/>
      <c r="D2" s="1045"/>
      <c r="E2" s="1045"/>
      <c r="F2" s="1045"/>
      <c r="G2" s="1045"/>
      <c r="H2" s="1045"/>
      <c r="I2" s="1045"/>
    </row>
    <row r="3" spans="1:11" ht="15.75" x14ac:dyDescent="0.25">
      <c r="A3" s="1062" t="s">
        <v>192</v>
      </c>
      <c r="B3" s="1063"/>
      <c r="C3" s="1063"/>
      <c r="D3" s="1063"/>
      <c r="E3" s="1063"/>
      <c r="F3" s="1063"/>
      <c r="G3" s="1063"/>
      <c r="H3" s="1063"/>
      <c r="K3" s="63"/>
    </row>
    <row r="4" spans="1:11" ht="15.75" x14ac:dyDescent="0.25">
      <c r="A4" s="1062" t="s">
        <v>711</v>
      </c>
      <c r="B4" s="1063"/>
      <c r="C4" s="1063"/>
      <c r="D4" s="1063"/>
      <c r="E4" s="1063"/>
      <c r="F4" s="1063"/>
      <c r="G4" s="1063"/>
      <c r="H4" s="1063"/>
      <c r="K4" s="63"/>
    </row>
    <row r="5" spans="1:11" ht="15" x14ac:dyDescent="0.2">
      <c r="A5" s="1076" t="s">
        <v>7</v>
      </c>
      <c r="B5" s="1077"/>
      <c r="C5" s="1077"/>
      <c r="D5" s="1077"/>
      <c r="E5" s="1077"/>
      <c r="F5" s="1077"/>
      <c r="G5" s="1077"/>
      <c r="H5" s="1077"/>
    </row>
    <row r="6" spans="1:11" ht="8.25" customHeight="1" x14ac:dyDescent="0.25">
      <c r="A6" s="1080"/>
      <c r="B6" s="1081"/>
      <c r="C6" s="1081"/>
      <c r="D6" s="1081"/>
      <c r="E6" s="1081"/>
      <c r="F6" s="1081"/>
      <c r="G6" s="1081"/>
      <c r="H6" s="1081"/>
    </row>
    <row r="7" spans="1:11" ht="15.75" x14ac:dyDescent="0.25">
      <c r="A7" s="1098" t="s">
        <v>155</v>
      </c>
      <c r="B7" s="1098"/>
      <c r="C7" s="1098"/>
      <c r="D7" s="1098"/>
      <c r="E7" s="1098"/>
      <c r="F7" s="1098"/>
      <c r="G7" s="1098"/>
      <c r="H7" s="1098"/>
      <c r="K7" s="63"/>
    </row>
    <row r="8" spans="1:11" ht="16.5" thickBot="1" x14ac:dyDescent="0.3">
      <c r="A8" s="1099" t="s">
        <v>542</v>
      </c>
      <c r="B8" s="1099"/>
      <c r="C8" s="1099"/>
      <c r="D8" s="1099"/>
      <c r="E8" s="1099"/>
      <c r="F8" s="1099"/>
      <c r="G8" s="1099"/>
      <c r="H8" s="1099"/>
      <c r="K8" s="63"/>
    </row>
    <row r="9" spans="1:11" ht="15.75" thickBot="1" x14ac:dyDescent="0.3">
      <c r="A9" s="1100" t="s">
        <v>0</v>
      </c>
      <c r="B9" s="1101"/>
      <c r="C9" s="1101"/>
      <c r="D9" s="1101"/>
      <c r="E9" s="1101"/>
      <c r="F9" s="1101"/>
      <c r="G9" s="1072" t="s">
        <v>130</v>
      </c>
      <c r="H9" s="1074" t="s">
        <v>131</v>
      </c>
      <c r="K9" s="63"/>
    </row>
    <row r="10" spans="1:11" ht="200.25" customHeight="1" thickBot="1" x14ac:dyDescent="0.25">
      <c r="A10" s="235" t="s">
        <v>124</v>
      </c>
      <c r="B10" s="236" t="s">
        <v>125</v>
      </c>
      <c r="C10" s="236" t="s">
        <v>104</v>
      </c>
      <c r="D10" s="236" t="s">
        <v>126</v>
      </c>
      <c r="E10" s="237" t="s">
        <v>132</v>
      </c>
      <c r="F10" s="238" t="s">
        <v>89</v>
      </c>
      <c r="G10" s="1102"/>
      <c r="H10" s="1075"/>
      <c r="J10" s="157"/>
    </row>
    <row r="11" spans="1:11" ht="35.25" customHeight="1" x14ac:dyDescent="0.2">
      <c r="A11" s="50">
        <v>1</v>
      </c>
      <c r="B11" s="49" t="s">
        <v>44</v>
      </c>
      <c r="C11" s="202" t="s">
        <v>44</v>
      </c>
      <c r="D11" s="49" t="s">
        <v>348</v>
      </c>
      <c r="E11" s="202" t="s">
        <v>585</v>
      </c>
      <c r="F11" s="291">
        <v>54101</v>
      </c>
      <c r="G11" s="322" t="s">
        <v>605</v>
      </c>
      <c r="H11" s="292">
        <v>6827.7</v>
      </c>
    </row>
    <row r="12" spans="1:11" ht="35.25" customHeight="1" x14ac:dyDescent="0.2">
      <c r="A12" s="50">
        <v>1</v>
      </c>
      <c r="B12" s="49" t="s">
        <v>44</v>
      </c>
      <c r="C12" s="202" t="s">
        <v>44</v>
      </c>
      <c r="D12" s="49" t="s">
        <v>348</v>
      </c>
      <c r="E12" s="202" t="s">
        <v>585</v>
      </c>
      <c r="F12" s="291">
        <v>54199</v>
      </c>
      <c r="G12" s="322" t="s">
        <v>606</v>
      </c>
      <c r="H12" s="295">
        <v>884.93</v>
      </c>
    </row>
    <row r="13" spans="1:11" ht="35.25" customHeight="1" x14ac:dyDescent="0.2">
      <c r="A13" s="50">
        <v>1</v>
      </c>
      <c r="B13" s="49" t="s">
        <v>44</v>
      </c>
      <c r="C13" s="202" t="s">
        <v>44</v>
      </c>
      <c r="D13" s="49" t="s">
        <v>348</v>
      </c>
      <c r="E13" s="202" t="s">
        <v>585</v>
      </c>
      <c r="F13" s="291">
        <v>55603</v>
      </c>
      <c r="G13" s="293" t="s">
        <v>567</v>
      </c>
      <c r="H13" s="295">
        <f>15+1362.52</f>
        <v>1377.52</v>
      </c>
    </row>
    <row r="14" spans="1:11" ht="35.25" customHeight="1" thickBot="1" x14ac:dyDescent="0.25">
      <c r="A14" s="50">
        <v>1</v>
      </c>
      <c r="B14" s="49" t="s">
        <v>44</v>
      </c>
      <c r="C14" s="202" t="s">
        <v>44</v>
      </c>
      <c r="D14" s="49" t="s">
        <v>348</v>
      </c>
      <c r="E14" s="202" t="s">
        <v>585</v>
      </c>
      <c r="F14" s="291">
        <v>56304</v>
      </c>
      <c r="G14" s="293" t="s">
        <v>540</v>
      </c>
      <c r="H14" s="295">
        <v>4000</v>
      </c>
    </row>
    <row r="15" spans="1:11" ht="27.75" customHeight="1" thickBot="1" x14ac:dyDescent="0.35">
      <c r="A15" s="1103"/>
      <c r="B15" s="1104"/>
      <c r="C15" s="1104"/>
      <c r="D15" s="1104"/>
      <c r="E15" s="1104"/>
      <c r="F15" s="1105"/>
      <c r="G15" s="294" t="s">
        <v>541</v>
      </c>
      <c r="H15" s="296">
        <f>SUM(H11:H14)</f>
        <v>13090.15</v>
      </c>
      <c r="J15" s="156"/>
      <c r="K15" s="63"/>
    </row>
    <row r="16" spans="1:11" x14ac:dyDescent="0.2">
      <c r="A16" s="22"/>
      <c r="B16" s="22"/>
      <c r="C16" s="22"/>
      <c r="D16" s="22"/>
      <c r="E16" s="22"/>
      <c r="F16" s="22"/>
      <c r="H16" s="34"/>
      <c r="K16" s="153"/>
    </row>
    <row r="17" spans="1:11" ht="15.75" x14ac:dyDescent="0.25">
      <c r="A17" s="22"/>
      <c r="B17" s="22"/>
      <c r="C17" s="22"/>
      <c r="D17" s="22"/>
      <c r="E17" s="22"/>
      <c r="F17" s="22"/>
      <c r="G17" s="35"/>
      <c r="H17" s="162"/>
      <c r="K17" s="153"/>
    </row>
    <row r="18" spans="1:11" ht="19.5" customHeight="1" x14ac:dyDescent="0.2">
      <c r="A18" s="1106" t="s">
        <v>8</v>
      </c>
      <c r="B18" s="1106"/>
      <c r="C18" s="1106"/>
      <c r="D18" s="1106"/>
      <c r="E18" s="1106"/>
      <c r="F18" s="1106"/>
      <c r="H18" s="163"/>
      <c r="K18" s="179"/>
    </row>
    <row r="19" spans="1:11" x14ac:dyDescent="0.2">
      <c r="A19" s="1097" t="s">
        <v>1</v>
      </c>
      <c r="B19" s="1097"/>
      <c r="C19" s="1097"/>
      <c r="D19" s="1097"/>
      <c r="E19" s="1097"/>
      <c r="F19" s="1097"/>
      <c r="G19" s="1097"/>
    </row>
    <row r="20" spans="1:11" x14ac:dyDescent="0.2">
      <c r="A20" s="1097" t="s">
        <v>4</v>
      </c>
      <c r="B20" s="1097"/>
      <c r="C20" s="1097"/>
      <c r="D20" s="1097"/>
      <c r="E20" s="1097"/>
      <c r="F20" s="1097"/>
      <c r="G20" s="1097"/>
      <c r="H20" s="65"/>
    </row>
    <row r="21" spans="1:11" x14ac:dyDescent="0.2">
      <c r="A21" s="1097" t="s">
        <v>5</v>
      </c>
      <c r="B21" s="1097"/>
      <c r="C21" s="1097"/>
      <c r="D21" s="1097"/>
      <c r="E21" s="1097"/>
      <c r="F21" s="1097"/>
      <c r="G21" s="1097"/>
    </row>
    <row r="22" spans="1:11" x14ac:dyDescent="0.2">
      <c r="A22" s="1097"/>
      <c r="B22" s="1097"/>
      <c r="C22" s="1097"/>
      <c r="D22" s="1097"/>
      <c r="E22" s="1097"/>
      <c r="F22" s="1097"/>
      <c r="G22" s="1097"/>
    </row>
  </sheetData>
  <mergeCells count="18">
    <mergeCell ref="A22:G22"/>
    <mergeCell ref="A6:H6"/>
    <mergeCell ref="A7:H7"/>
    <mergeCell ref="A8:H8"/>
    <mergeCell ref="A9:F9"/>
    <mergeCell ref="G9:G10"/>
    <mergeCell ref="H9:H10"/>
    <mergeCell ref="A15:F15"/>
    <mergeCell ref="A18:F18"/>
    <mergeCell ref="A19:G19"/>
    <mergeCell ref="A20:G20"/>
    <mergeCell ref="A21:G21"/>
    <mergeCell ref="A5:H5"/>
    <mergeCell ref="A1:D1"/>
    <mergeCell ref="E1:H1"/>
    <mergeCell ref="A2:I2"/>
    <mergeCell ref="A3:H3"/>
    <mergeCell ref="A4:H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pageSetUpPr fitToPage="1"/>
  </sheetPr>
  <dimension ref="A1:K19"/>
  <sheetViews>
    <sheetView view="pageBreakPreview" zoomScale="86" zoomScaleNormal="100" zoomScaleSheetLayoutView="86" workbookViewId="0">
      <selection activeCell="H12" sqref="H12"/>
    </sheetView>
  </sheetViews>
  <sheetFormatPr baseColWidth="10" defaultColWidth="11.42578125" defaultRowHeight="12.75" x14ac:dyDescent="0.2"/>
  <cols>
    <col min="1" max="1" width="4.5703125" style="23" customWidth="1"/>
    <col min="2" max="2" width="4.42578125" style="23" customWidth="1"/>
    <col min="3" max="4" width="4.5703125" style="23" customWidth="1"/>
    <col min="5" max="5" width="6.140625" style="23" customWidth="1"/>
    <col min="6" max="6" width="10.28515625" style="23" customWidth="1"/>
    <col min="7" max="7" width="49.28515625" style="19" customWidth="1"/>
    <col min="8" max="8" width="21.28515625" style="4" customWidth="1"/>
    <col min="9" max="9" width="11.42578125" style="64"/>
    <col min="10" max="10" width="14.7109375" style="152" bestFit="1" customWidth="1"/>
    <col min="11" max="11" width="13.7109375" style="21" bestFit="1" customWidth="1"/>
    <col min="12" max="16384" width="11.42578125" style="21"/>
  </cols>
  <sheetData>
    <row r="1" spans="1:11" ht="20.25" x14ac:dyDescent="0.25">
      <c r="A1" s="1046"/>
      <c r="B1" s="1046"/>
      <c r="C1" s="1046"/>
      <c r="D1" s="1046"/>
      <c r="E1" s="1046"/>
      <c r="F1" s="1046"/>
      <c r="G1" s="1046"/>
      <c r="H1" s="1046"/>
      <c r="I1" s="161"/>
    </row>
    <row r="2" spans="1:11" ht="18" x14ac:dyDescent="0.2">
      <c r="A2" s="1045" t="s">
        <v>329</v>
      </c>
      <c r="B2" s="1045"/>
      <c r="C2" s="1045"/>
      <c r="D2" s="1045"/>
      <c r="E2" s="1045"/>
      <c r="F2" s="1045"/>
      <c r="G2" s="1045"/>
      <c r="H2" s="1045"/>
      <c r="I2" s="1045"/>
    </row>
    <row r="3" spans="1:11" ht="15.75" x14ac:dyDescent="0.25">
      <c r="A3" s="1062" t="s">
        <v>192</v>
      </c>
      <c r="B3" s="1063"/>
      <c r="C3" s="1063"/>
      <c r="D3" s="1063"/>
      <c r="E3" s="1063"/>
      <c r="F3" s="1063"/>
      <c r="G3" s="1063"/>
      <c r="H3" s="1063"/>
      <c r="K3" s="63"/>
    </row>
    <row r="4" spans="1:11" ht="15.75" x14ac:dyDescent="0.25">
      <c r="A4" s="1062" t="s">
        <v>711</v>
      </c>
      <c r="B4" s="1063"/>
      <c r="C4" s="1063"/>
      <c r="D4" s="1063"/>
      <c r="E4" s="1063"/>
      <c r="F4" s="1063"/>
      <c r="G4" s="1063"/>
      <c r="H4" s="1063"/>
      <c r="K4" s="63"/>
    </row>
    <row r="5" spans="1:11" ht="15" x14ac:dyDescent="0.2">
      <c r="A5" s="1076" t="s">
        <v>7</v>
      </c>
      <c r="B5" s="1077"/>
      <c r="C5" s="1077"/>
      <c r="D5" s="1077"/>
      <c r="E5" s="1077"/>
      <c r="F5" s="1077"/>
      <c r="G5" s="1077"/>
      <c r="H5" s="1077"/>
    </row>
    <row r="6" spans="1:11" ht="8.25" customHeight="1" x14ac:dyDescent="0.25">
      <c r="A6" s="1080"/>
      <c r="B6" s="1081"/>
      <c r="C6" s="1081"/>
      <c r="D6" s="1081"/>
      <c r="E6" s="1081"/>
      <c r="F6" s="1081"/>
      <c r="G6" s="1081"/>
      <c r="H6" s="1081"/>
    </row>
    <row r="7" spans="1:11" ht="15.75" x14ac:dyDescent="0.25">
      <c r="A7" s="1098" t="s">
        <v>155</v>
      </c>
      <c r="B7" s="1098"/>
      <c r="C7" s="1098"/>
      <c r="D7" s="1098"/>
      <c r="E7" s="1098"/>
      <c r="F7" s="1098"/>
      <c r="G7" s="1098"/>
      <c r="H7" s="1098"/>
      <c r="K7" s="63"/>
    </row>
    <row r="8" spans="1:11" ht="16.5" thickBot="1" x14ac:dyDescent="0.3">
      <c r="A8" s="1099" t="s">
        <v>539</v>
      </c>
      <c r="B8" s="1099"/>
      <c r="C8" s="1099"/>
      <c r="D8" s="1099"/>
      <c r="E8" s="1099"/>
      <c r="F8" s="1099"/>
      <c r="G8" s="1099"/>
      <c r="H8" s="1099"/>
      <c r="K8" s="63"/>
    </row>
    <row r="9" spans="1:11" ht="15.75" thickBot="1" x14ac:dyDescent="0.3">
      <c r="A9" s="1100" t="s">
        <v>0</v>
      </c>
      <c r="B9" s="1101"/>
      <c r="C9" s="1101"/>
      <c r="D9" s="1101"/>
      <c r="E9" s="1101"/>
      <c r="F9" s="1101"/>
      <c r="G9" s="1072" t="s">
        <v>130</v>
      </c>
      <c r="H9" s="1074" t="s">
        <v>131</v>
      </c>
      <c r="K9" s="63"/>
    </row>
    <row r="10" spans="1:11" ht="200.25" customHeight="1" thickBot="1" x14ac:dyDescent="0.25">
      <c r="A10" s="235" t="s">
        <v>124</v>
      </c>
      <c r="B10" s="236" t="s">
        <v>125</v>
      </c>
      <c r="C10" s="236" t="s">
        <v>104</v>
      </c>
      <c r="D10" s="236" t="s">
        <v>126</v>
      </c>
      <c r="E10" s="237" t="s">
        <v>132</v>
      </c>
      <c r="F10" s="238" t="s">
        <v>89</v>
      </c>
      <c r="G10" s="1073"/>
      <c r="H10" s="1075"/>
      <c r="J10" s="157"/>
    </row>
    <row r="11" spans="1:11" ht="30" customHeight="1" thickBot="1" x14ac:dyDescent="0.25">
      <c r="A11" s="50">
        <v>3</v>
      </c>
      <c r="B11" s="49" t="s">
        <v>47</v>
      </c>
      <c r="C11" s="202" t="s">
        <v>193</v>
      </c>
      <c r="D11" s="49" t="s">
        <v>44</v>
      </c>
      <c r="E11" s="202" t="s">
        <v>44</v>
      </c>
      <c r="F11" s="178">
        <v>72101</v>
      </c>
      <c r="G11" s="48" t="s">
        <v>524</v>
      </c>
      <c r="H11" s="203">
        <v>1265.92</v>
      </c>
    </row>
    <row r="12" spans="1:11" ht="27.75" customHeight="1" thickBot="1" x14ac:dyDescent="0.35">
      <c r="A12" s="1103"/>
      <c r="B12" s="1104"/>
      <c r="C12" s="1104"/>
      <c r="D12" s="1104"/>
      <c r="E12" s="1104"/>
      <c r="F12" s="1105"/>
      <c r="G12" s="242" t="s">
        <v>171</v>
      </c>
      <c r="H12" s="243">
        <f>SUM(H11:H11)</f>
        <v>1265.92</v>
      </c>
      <c r="J12" s="156"/>
      <c r="K12" s="63"/>
    </row>
    <row r="13" spans="1:11" x14ac:dyDescent="0.2">
      <c r="A13" s="22"/>
      <c r="B13" s="22"/>
      <c r="C13" s="22"/>
      <c r="D13" s="22"/>
      <c r="E13" s="22"/>
      <c r="F13" s="22"/>
      <c r="H13" s="34"/>
      <c r="K13" s="153"/>
    </row>
    <row r="14" spans="1:11" ht="15.75" x14ac:dyDescent="0.25">
      <c r="A14" s="22"/>
      <c r="B14" s="22"/>
      <c r="C14" s="22"/>
      <c r="D14" s="22"/>
      <c r="E14" s="22"/>
      <c r="F14" s="22"/>
      <c r="G14" s="35"/>
      <c r="H14" s="162"/>
      <c r="K14" s="153"/>
    </row>
    <row r="15" spans="1:11" ht="19.5" customHeight="1" x14ac:dyDescent="0.2">
      <c r="A15" s="1106" t="s">
        <v>8</v>
      </c>
      <c r="B15" s="1106"/>
      <c r="C15" s="1106"/>
      <c r="D15" s="1106"/>
      <c r="E15" s="1106"/>
      <c r="F15" s="1106"/>
      <c r="H15" s="163"/>
      <c r="K15" s="179"/>
    </row>
    <row r="16" spans="1:11" x14ac:dyDescent="0.2">
      <c r="A16" s="1097" t="s">
        <v>1</v>
      </c>
      <c r="B16" s="1097"/>
      <c r="C16" s="1097"/>
      <c r="D16" s="1097"/>
      <c r="E16" s="1097"/>
      <c r="F16" s="1097"/>
      <c r="G16" s="1097"/>
    </row>
    <row r="17" spans="1:8" x14ac:dyDescent="0.2">
      <c r="A17" s="1097" t="s">
        <v>4</v>
      </c>
      <c r="B17" s="1097"/>
      <c r="C17" s="1097"/>
      <c r="D17" s="1097"/>
      <c r="E17" s="1097"/>
      <c r="F17" s="1097"/>
      <c r="G17" s="1097"/>
      <c r="H17" s="65"/>
    </row>
    <row r="18" spans="1:8" x14ac:dyDescent="0.2">
      <c r="A18" s="1097" t="s">
        <v>5</v>
      </c>
      <c r="B18" s="1097"/>
      <c r="C18" s="1097"/>
      <c r="D18" s="1097"/>
      <c r="E18" s="1097"/>
      <c r="F18" s="1097"/>
      <c r="G18" s="1097"/>
    </row>
    <row r="19" spans="1:8" x14ac:dyDescent="0.2">
      <c r="A19" s="1097"/>
      <c r="B19" s="1097"/>
      <c r="C19" s="1097"/>
      <c r="D19" s="1097"/>
      <c r="E19" s="1097"/>
      <c r="F19" s="1097"/>
      <c r="G19" s="1097"/>
    </row>
  </sheetData>
  <mergeCells count="18">
    <mergeCell ref="A1:D1"/>
    <mergeCell ref="E1:H1"/>
    <mergeCell ref="A2:I2"/>
    <mergeCell ref="A3:H3"/>
    <mergeCell ref="A4:H4"/>
    <mergeCell ref="A5:H5"/>
    <mergeCell ref="A6:H6"/>
    <mergeCell ref="A7:H7"/>
    <mergeCell ref="A8:H8"/>
    <mergeCell ref="A9:F9"/>
    <mergeCell ref="G9:G10"/>
    <mergeCell ref="H9:H10"/>
    <mergeCell ref="A19:G19"/>
    <mergeCell ref="A12:F12"/>
    <mergeCell ref="A15:F15"/>
    <mergeCell ref="A16:G16"/>
    <mergeCell ref="A17:G17"/>
    <mergeCell ref="A18:G18"/>
  </mergeCells>
  <printOptions horizontalCentered="1"/>
  <pageMargins left="0.70866141732283472" right="0.70866141732283472" top="0.74803149606299213" bottom="0.74803149606299213" header="0.31496062992125984" footer="0.31496062992125984"/>
  <pageSetup paperSize="5" scale="87"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pageSetUpPr fitToPage="1"/>
  </sheetPr>
  <dimension ref="A1:L130"/>
  <sheetViews>
    <sheetView zoomScaleNormal="100" workbookViewId="0">
      <pane ySplit="2310" topLeftCell="A101" activePane="bottomLeft"/>
      <selection activeCell="H5" sqref="H5:H6"/>
      <selection pane="bottomLeft" activeCell="I107" sqref="I107"/>
    </sheetView>
  </sheetViews>
  <sheetFormatPr baseColWidth="10" defaultColWidth="11.42578125" defaultRowHeight="12.75" x14ac:dyDescent="0.2"/>
  <cols>
    <col min="1" max="1" width="7" style="39" customWidth="1"/>
    <col min="2" max="2" width="18.85546875" style="39" customWidth="1"/>
    <col min="3" max="3" width="17.85546875" style="568" customWidth="1"/>
    <col min="4" max="4" width="19.140625" style="39" customWidth="1"/>
    <col min="5" max="5" width="28.28515625" style="39" customWidth="1"/>
    <col min="6" max="6" width="14.5703125" style="39" customWidth="1"/>
    <col min="7" max="7" width="12" style="39" customWidth="1"/>
    <col min="8" max="9" width="15.140625" style="39" customWidth="1"/>
    <col min="10" max="10" width="16.28515625" style="39" customWidth="1"/>
    <col min="11" max="16384" width="11.42578125" style="39"/>
  </cols>
  <sheetData>
    <row r="1" spans="1:12" ht="14.25" x14ac:dyDescent="0.2">
      <c r="A1" s="1115"/>
      <c r="B1" s="1115"/>
      <c r="C1" s="1115"/>
      <c r="D1" s="1115"/>
      <c r="E1" s="1115"/>
      <c r="F1" s="1115"/>
      <c r="G1" s="1115"/>
      <c r="H1" s="1115"/>
      <c r="I1" s="1115"/>
      <c r="J1" s="1115"/>
    </row>
    <row r="2" spans="1:12" x14ac:dyDescent="0.2">
      <c r="A2" s="959" t="s">
        <v>329</v>
      </c>
      <c r="B2" s="959"/>
      <c r="C2" s="959"/>
      <c r="D2" s="959"/>
      <c r="E2" s="959"/>
      <c r="F2" s="959"/>
      <c r="G2" s="959"/>
      <c r="H2" s="959"/>
      <c r="I2" s="959"/>
      <c r="J2" s="959"/>
    </row>
    <row r="3" spans="1:12" ht="19.5" customHeight="1" thickBot="1" x14ac:dyDescent="0.25">
      <c r="A3" s="1049" t="s">
        <v>853</v>
      </c>
      <c r="B3" s="1049"/>
      <c r="C3" s="1049"/>
      <c r="D3" s="1049"/>
      <c r="E3" s="1049"/>
      <c r="F3" s="1049"/>
      <c r="G3" s="1049"/>
      <c r="H3" s="1049"/>
      <c r="I3" s="1049"/>
      <c r="J3" s="1049"/>
    </row>
    <row r="4" spans="1:12" ht="30" customHeight="1" x14ac:dyDescent="0.2">
      <c r="A4" s="1116" t="s">
        <v>223</v>
      </c>
      <c r="B4" s="1119" t="s">
        <v>479</v>
      </c>
      <c r="C4" s="1109" t="s">
        <v>855</v>
      </c>
      <c r="D4" s="1109" t="s">
        <v>482</v>
      </c>
      <c r="E4" s="1135" t="s">
        <v>480</v>
      </c>
      <c r="F4" s="1129" t="s">
        <v>227</v>
      </c>
      <c r="G4" s="1130"/>
      <c r="H4" s="1130"/>
      <c r="I4" s="1131"/>
      <c r="J4" s="1126" t="s">
        <v>544</v>
      </c>
    </row>
    <row r="5" spans="1:12" ht="12.75" customHeight="1" x14ac:dyDescent="0.2">
      <c r="A5" s="1117"/>
      <c r="B5" s="1120"/>
      <c r="C5" s="1110"/>
      <c r="D5" s="1110"/>
      <c r="E5" s="1136"/>
      <c r="F5" s="1124" t="s">
        <v>543</v>
      </c>
      <c r="G5" s="1124" t="s">
        <v>344</v>
      </c>
      <c r="H5" s="1132" t="s">
        <v>712</v>
      </c>
      <c r="I5" s="1134" t="s">
        <v>483</v>
      </c>
      <c r="J5" s="1127"/>
    </row>
    <row r="6" spans="1:12" ht="13.5" thickBot="1" x14ac:dyDescent="0.25">
      <c r="A6" s="1118"/>
      <c r="B6" s="1121"/>
      <c r="C6" s="1111"/>
      <c r="D6" s="1111"/>
      <c r="E6" s="1137"/>
      <c r="F6" s="1125"/>
      <c r="G6" s="1125"/>
      <c r="H6" s="1133"/>
      <c r="I6" s="1111"/>
      <c r="J6" s="1128"/>
    </row>
    <row r="7" spans="1:12" ht="15.95" customHeight="1" x14ac:dyDescent="0.2">
      <c r="A7" s="246">
        <v>1</v>
      </c>
      <c r="B7" s="40" t="s">
        <v>78</v>
      </c>
      <c r="C7" s="569">
        <v>200</v>
      </c>
      <c r="D7" s="249">
        <v>2500</v>
      </c>
      <c r="E7" s="249">
        <v>2500</v>
      </c>
      <c r="F7" s="252">
        <f>E7*7.5/100*12</f>
        <v>2250</v>
      </c>
      <c r="G7" s="252">
        <f>E7*1/100*12</f>
        <v>300</v>
      </c>
      <c r="H7" s="252">
        <f>E7*8.75/100*12</f>
        <v>2625</v>
      </c>
      <c r="I7" s="250">
        <f>+E7*12</f>
        <v>30000</v>
      </c>
      <c r="J7" s="251">
        <f>I7</f>
        <v>30000</v>
      </c>
    </row>
    <row r="8" spans="1:12" ht="15.95" customHeight="1" x14ac:dyDescent="0.2">
      <c r="A8" s="66">
        <v>2</v>
      </c>
      <c r="B8" s="40" t="s">
        <v>78</v>
      </c>
      <c r="C8" s="569">
        <v>200</v>
      </c>
      <c r="D8" s="249">
        <v>500</v>
      </c>
      <c r="E8" s="249">
        <v>500</v>
      </c>
      <c r="F8" s="252">
        <f>E8*7.5/100*12</f>
        <v>450</v>
      </c>
      <c r="G8" s="252">
        <f>E8*1/100*12</f>
        <v>60</v>
      </c>
      <c r="H8" s="252">
        <f>E8*8.75/100*12</f>
        <v>525</v>
      </c>
      <c r="I8" s="252">
        <f>+E8*12</f>
        <v>6000</v>
      </c>
      <c r="J8" s="253">
        <f>F8+G8+H8+I8</f>
        <v>7035</v>
      </c>
      <c r="L8" s="39">
        <f>30000+6000+21600+15600+12000</f>
        <v>85200</v>
      </c>
    </row>
    <row r="9" spans="1:12" ht="15.95" customHeight="1" x14ac:dyDescent="0.2">
      <c r="A9" s="66">
        <v>3</v>
      </c>
      <c r="B9" s="40" t="s">
        <v>78</v>
      </c>
      <c r="C9" s="569">
        <v>200</v>
      </c>
      <c r="D9" s="249">
        <v>1800</v>
      </c>
      <c r="E9" s="249">
        <v>1800</v>
      </c>
      <c r="F9" s="252">
        <f>E9*7.5/100*12</f>
        <v>1620</v>
      </c>
      <c r="G9" s="252">
        <f t="shared" ref="G9:G14" si="0">E9*1/100*12</f>
        <v>216</v>
      </c>
      <c r="H9" s="252">
        <f t="shared" ref="H9:H14" si="1">E9*8.75/100*12</f>
        <v>1890</v>
      </c>
      <c r="I9" s="252">
        <f t="shared" ref="I9:I14" si="2">+E9*12</f>
        <v>21600</v>
      </c>
      <c r="J9" s="253">
        <f t="shared" ref="J9:J13" si="3">SUM(F9:I9)</f>
        <v>25326</v>
      </c>
      <c r="K9" s="360"/>
    </row>
    <row r="10" spans="1:12" ht="15.95" customHeight="1" x14ac:dyDescent="0.2">
      <c r="A10" s="66">
        <v>4</v>
      </c>
      <c r="B10" s="40" t="s">
        <v>78</v>
      </c>
      <c r="C10" s="569">
        <v>200</v>
      </c>
      <c r="D10" s="249">
        <v>1300</v>
      </c>
      <c r="E10" s="249">
        <v>1300</v>
      </c>
      <c r="F10" s="252">
        <f t="shared" ref="F10:F14" si="4">E10*7.5/100*12</f>
        <v>1170</v>
      </c>
      <c r="G10" s="252">
        <f t="shared" si="0"/>
        <v>156</v>
      </c>
      <c r="H10" s="252">
        <f t="shared" si="1"/>
        <v>1365</v>
      </c>
      <c r="I10" s="252">
        <f t="shared" si="2"/>
        <v>15600</v>
      </c>
      <c r="J10" s="253">
        <f t="shared" si="3"/>
        <v>18291</v>
      </c>
    </row>
    <row r="11" spans="1:12" ht="22.5" customHeight="1" x14ac:dyDescent="0.2">
      <c r="A11" s="66">
        <v>5</v>
      </c>
      <c r="B11" s="40" t="s">
        <v>78</v>
      </c>
      <c r="C11" s="569">
        <v>200</v>
      </c>
      <c r="D11" s="249">
        <v>1000</v>
      </c>
      <c r="E11" s="249">
        <v>1000</v>
      </c>
      <c r="F11" s="252">
        <f t="shared" si="4"/>
        <v>900</v>
      </c>
      <c r="G11" s="252">
        <f t="shared" si="0"/>
        <v>120</v>
      </c>
      <c r="H11" s="252">
        <f t="shared" si="1"/>
        <v>1050</v>
      </c>
      <c r="I11" s="252">
        <f t="shared" si="2"/>
        <v>12000</v>
      </c>
      <c r="J11" s="253">
        <f t="shared" si="3"/>
        <v>14070</v>
      </c>
    </row>
    <row r="12" spans="1:12" ht="15.95" customHeight="1" x14ac:dyDescent="0.2">
      <c r="A12" s="66">
        <v>6</v>
      </c>
      <c r="B12" s="40" t="s">
        <v>78</v>
      </c>
      <c r="C12" s="569">
        <v>200</v>
      </c>
      <c r="D12" s="249">
        <v>1200</v>
      </c>
      <c r="E12" s="249">
        <v>1200</v>
      </c>
      <c r="F12" s="252">
        <f t="shared" si="4"/>
        <v>1080</v>
      </c>
      <c r="G12" s="252">
        <f t="shared" si="0"/>
        <v>144</v>
      </c>
      <c r="H12" s="252">
        <f t="shared" si="1"/>
        <v>1260</v>
      </c>
      <c r="I12" s="252">
        <f t="shared" si="2"/>
        <v>14400</v>
      </c>
      <c r="J12" s="253">
        <f t="shared" si="3"/>
        <v>16884</v>
      </c>
    </row>
    <row r="13" spans="1:12" ht="15.95" customHeight="1" x14ac:dyDescent="0.2">
      <c r="A13" s="66">
        <v>7</v>
      </c>
      <c r="B13" s="40" t="s">
        <v>78</v>
      </c>
      <c r="C13" s="569">
        <v>200</v>
      </c>
      <c r="D13" s="249">
        <v>500</v>
      </c>
      <c r="E13" s="249">
        <v>500</v>
      </c>
      <c r="F13" s="252">
        <f t="shared" si="4"/>
        <v>450</v>
      </c>
      <c r="G13" s="252">
        <f t="shared" si="0"/>
        <v>60</v>
      </c>
      <c r="H13" s="252">
        <f t="shared" si="1"/>
        <v>525</v>
      </c>
      <c r="I13" s="252">
        <f t="shared" si="2"/>
        <v>6000</v>
      </c>
      <c r="J13" s="252">
        <f t="shared" si="3"/>
        <v>7035</v>
      </c>
    </row>
    <row r="14" spans="1:12" ht="15.95" customHeight="1" x14ac:dyDescent="0.2">
      <c r="A14" s="441"/>
      <c r="B14" s="40" t="s">
        <v>78</v>
      </c>
      <c r="C14" s="569">
        <v>200</v>
      </c>
      <c r="D14" s="249">
        <v>500</v>
      </c>
      <c r="E14" s="249">
        <v>500</v>
      </c>
      <c r="F14" s="252">
        <f t="shared" si="4"/>
        <v>450</v>
      </c>
      <c r="G14" s="252">
        <f t="shared" si="0"/>
        <v>60</v>
      </c>
      <c r="H14" s="252">
        <f t="shared" si="1"/>
        <v>525</v>
      </c>
      <c r="I14" s="252">
        <f t="shared" si="2"/>
        <v>6000</v>
      </c>
      <c r="J14" s="252">
        <f t="shared" ref="J14" si="5">SUM(F14:I14)</f>
        <v>7035</v>
      </c>
    </row>
    <row r="15" spans="1:12" ht="15.95" customHeight="1" x14ac:dyDescent="0.2">
      <c r="A15" s="301"/>
      <c r="B15" s="302"/>
      <c r="C15" s="567">
        <f>SUM(C7:C14)</f>
        <v>1600</v>
      </c>
      <c r="D15" s="303">
        <f>SUM(D7:D14)</f>
        <v>9300</v>
      </c>
      <c r="E15" s="303">
        <f>SUM(E7:E14)</f>
        <v>9300</v>
      </c>
      <c r="F15" s="303">
        <f>SUM(F8:F14)</f>
        <v>6120</v>
      </c>
      <c r="G15" s="303">
        <f>SUM(G8:G14)</f>
        <v>816</v>
      </c>
      <c r="H15" s="303">
        <f>SUM(H7:H14)</f>
        <v>9765</v>
      </c>
      <c r="I15" s="303">
        <f>SUM(I7:I14)</f>
        <v>111600</v>
      </c>
      <c r="J15" s="303">
        <f>SUM(J7:J14)</f>
        <v>125676</v>
      </c>
    </row>
    <row r="16" spans="1:12" ht="15.95" customHeight="1" x14ac:dyDescent="0.2">
      <c r="A16" s="66"/>
      <c r="B16" s="40"/>
      <c r="C16" s="566"/>
      <c r="D16" s="365"/>
      <c r="E16" s="365"/>
      <c r="F16" s="365"/>
      <c r="G16" s="365"/>
      <c r="H16" s="365"/>
      <c r="I16" s="365"/>
      <c r="J16" s="366"/>
    </row>
    <row r="17" spans="1:10" ht="15.95" customHeight="1" x14ac:dyDescent="0.2">
      <c r="A17" s="66">
        <v>10</v>
      </c>
      <c r="B17" s="40" t="s">
        <v>327</v>
      </c>
      <c r="C17" s="569">
        <v>200</v>
      </c>
      <c r="D17" s="249">
        <v>900</v>
      </c>
      <c r="E17" s="249">
        <v>900</v>
      </c>
      <c r="F17" s="252">
        <f>E17*7.5/100*12</f>
        <v>810</v>
      </c>
      <c r="G17" s="252">
        <f>E17*1/100*12</f>
        <v>108</v>
      </c>
      <c r="H17" s="252">
        <f>E17*8.75/100*12</f>
        <v>945</v>
      </c>
      <c r="I17" s="252">
        <f>E17*12</f>
        <v>10800</v>
      </c>
      <c r="J17" s="253">
        <f>SUM(F17:I17)</f>
        <v>12663</v>
      </c>
    </row>
    <row r="18" spans="1:10" ht="15.95" customHeight="1" x14ac:dyDescent="0.2">
      <c r="A18" s="66">
        <v>11</v>
      </c>
      <c r="B18" s="40" t="s">
        <v>327</v>
      </c>
      <c r="C18" s="569">
        <v>200</v>
      </c>
      <c r="D18" s="249">
        <v>400</v>
      </c>
      <c r="E18" s="249">
        <v>400</v>
      </c>
      <c r="F18" s="252">
        <f t="shared" ref="F18:F32" si="6">E18*7.5/100*12</f>
        <v>360</v>
      </c>
      <c r="G18" s="252">
        <f t="shared" ref="G18:G32" si="7">E18*1/100*12</f>
        <v>48</v>
      </c>
      <c r="H18" s="252">
        <f t="shared" ref="H18:H32" si="8">E18*8.75/100*12</f>
        <v>420</v>
      </c>
      <c r="I18" s="252">
        <f t="shared" ref="I18:I32" si="9">E18*12</f>
        <v>4800</v>
      </c>
      <c r="J18" s="253">
        <f t="shared" ref="J18:J32" si="10">SUM(F18:I18)</f>
        <v>5628</v>
      </c>
    </row>
    <row r="19" spans="1:10" ht="15.95" customHeight="1" x14ac:dyDescent="0.2">
      <c r="A19" s="66">
        <v>12</v>
      </c>
      <c r="B19" s="40" t="s">
        <v>327</v>
      </c>
      <c r="C19" s="569">
        <v>200</v>
      </c>
      <c r="D19" s="249">
        <v>1100</v>
      </c>
      <c r="E19" s="249">
        <v>1100</v>
      </c>
      <c r="F19" s="252">
        <f t="shared" si="6"/>
        <v>990</v>
      </c>
      <c r="G19" s="252">
        <f t="shared" si="7"/>
        <v>132</v>
      </c>
      <c r="H19" s="252">
        <f t="shared" si="8"/>
        <v>1155</v>
      </c>
      <c r="I19" s="252">
        <f t="shared" si="9"/>
        <v>13200</v>
      </c>
      <c r="J19" s="253">
        <f t="shared" si="10"/>
        <v>15477</v>
      </c>
    </row>
    <row r="20" spans="1:10" ht="15.95" customHeight="1" x14ac:dyDescent="0.2">
      <c r="A20" s="66">
        <v>13</v>
      </c>
      <c r="B20" s="40" t="s">
        <v>327</v>
      </c>
      <c r="C20" s="569">
        <v>200</v>
      </c>
      <c r="D20" s="249">
        <v>400</v>
      </c>
      <c r="E20" s="249">
        <v>400</v>
      </c>
      <c r="F20" s="252">
        <f t="shared" si="6"/>
        <v>360</v>
      </c>
      <c r="G20" s="252">
        <f t="shared" si="7"/>
        <v>48</v>
      </c>
      <c r="H20" s="252">
        <f t="shared" si="8"/>
        <v>420</v>
      </c>
      <c r="I20" s="252">
        <f t="shared" si="9"/>
        <v>4800</v>
      </c>
      <c r="J20" s="253">
        <f t="shared" si="10"/>
        <v>5628</v>
      </c>
    </row>
    <row r="21" spans="1:10" ht="15.95" customHeight="1" x14ac:dyDescent="0.2">
      <c r="A21" s="66">
        <v>14</v>
      </c>
      <c r="B21" s="40" t="s">
        <v>327</v>
      </c>
      <c r="C21" s="569">
        <v>200</v>
      </c>
      <c r="D21" s="249">
        <v>500</v>
      </c>
      <c r="E21" s="249">
        <v>500</v>
      </c>
      <c r="F21" s="252">
        <f t="shared" si="6"/>
        <v>450</v>
      </c>
      <c r="G21" s="252">
        <f t="shared" si="7"/>
        <v>60</v>
      </c>
      <c r="H21" s="252">
        <f t="shared" si="8"/>
        <v>525</v>
      </c>
      <c r="I21" s="252">
        <f t="shared" si="9"/>
        <v>6000</v>
      </c>
      <c r="J21" s="253">
        <f t="shared" si="10"/>
        <v>7035</v>
      </c>
    </row>
    <row r="22" spans="1:10" ht="15.95" customHeight="1" x14ac:dyDescent="0.2">
      <c r="A22" s="66">
        <v>15</v>
      </c>
      <c r="B22" s="40" t="s">
        <v>327</v>
      </c>
      <c r="C22" s="569">
        <v>200</v>
      </c>
      <c r="D22" s="249">
        <v>1100</v>
      </c>
      <c r="E22" s="249">
        <v>1100</v>
      </c>
      <c r="F22" s="252">
        <f t="shared" si="6"/>
        <v>990</v>
      </c>
      <c r="G22" s="252">
        <f t="shared" si="7"/>
        <v>132</v>
      </c>
      <c r="H22" s="252">
        <f t="shared" si="8"/>
        <v>1155</v>
      </c>
      <c r="I22" s="252">
        <f t="shared" si="9"/>
        <v>13200</v>
      </c>
      <c r="J22" s="253">
        <f t="shared" si="10"/>
        <v>15477</v>
      </c>
    </row>
    <row r="23" spans="1:10" ht="15.95" customHeight="1" x14ac:dyDescent="0.2">
      <c r="A23" s="66">
        <v>16</v>
      </c>
      <c r="B23" s="40" t="s">
        <v>327</v>
      </c>
      <c r="C23" s="569">
        <v>200</v>
      </c>
      <c r="D23" s="249">
        <v>900</v>
      </c>
      <c r="E23" s="249">
        <v>900</v>
      </c>
      <c r="F23" s="252">
        <f t="shared" si="6"/>
        <v>810</v>
      </c>
      <c r="G23" s="252">
        <f t="shared" si="7"/>
        <v>108</v>
      </c>
      <c r="H23" s="252">
        <f t="shared" si="8"/>
        <v>945</v>
      </c>
      <c r="I23" s="252">
        <f t="shared" si="9"/>
        <v>10800</v>
      </c>
      <c r="J23" s="253">
        <f t="shared" si="10"/>
        <v>12663</v>
      </c>
    </row>
    <row r="24" spans="1:10" ht="15.95" customHeight="1" x14ac:dyDescent="0.2">
      <c r="A24" s="66">
        <v>17</v>
      </c>
      <c r="B24" s="40" t="s">
        <v>327</v>
      </c>
      <c r="C24" s="569">
        <v>200</v>
      </c>
      <c r="D24" s="249">
        <v>500</v>
      </c>
      <c r="E24" s="249">
        <v>500</v>
      </c>
      <c r="F24" s="252">
        <f t="shared" si="6"/>
        <v>450</v>
      </c>
      <c r="G24" s="252">
        <f t="shared" si="7"/>
        <v>60</v>
      </c>
      <c r="H24" s="252">
        <f t="shared" si="8"/>
        <v>525</v>
      </c>
      <c r="I24" s="252">
        <f t="shared" si="9"/>
        <v>6000</v>
      </c>
      <c r="J24" s="253">
        <f t="shared" si="10"/>
        <v>7035</v>
      </c>
    </row>
    <row r="25" spans="1:10" ht="15.95" customHeight="1" x14ac:dyDescent="0.2">
      <c r="A25" s="66">
        <v>18</v>
      </c>
      <c r="B25" s="40" t="s">
        <v>327</v>
      </c>
      <c r="C25" s="569">
        <v>200</v>
      </c>
      <c r="D25" s="249">
        <v>825</v>
      </c>
      <c r="E25" s="249">
        <v>825</v>
      </c>
      <c r="F25" s="252">
        <f t="shared" si="6"/>
        <v>742.5</v>
      </c>
      <c r="G25" s="252">
        <f t="shared" si="7"/>
        <v>99</v>
      </c>
      <c r="H25" s="252">
        <f t="shared" si="8"/>
        <v>866.25</v>
      </c>
      <c r="I25" s="252">
        <f t="shared" si="9"/>
        <v>9900</v>
      </c>
      <c r="J25" s="253">
        <f t="shared" si="10"/>
        <v>11607.75</v>
      </c>
    </row>
    <row r="26" spans="1:10" ht="15.95" customHeight="1" x14ac:dyDescent="0.2">
      <c r="A26" s="66">
        <v>19</v>
      </c>
      <c r="B26" s="40" t="s">
        <v>327</v>
      </c>
      <c r="C26" s="569">
        <v>200</v>
      </c>
      <c r="D26" s="249">
        <v>600</v>
      </c>
      <c r="E26" s="249">
        <v>600</v>
      </c>
      <c r="F26" s="252">
        <f t="shared" si="6"/>
        <v>540</v>
      </c>
      <c r="G26" s="252">
        <f t="shared" si="7"/>
        <v>72</v>
      </c>
      <c r="H26" s="252">
        <f t="shared" si="8"/>
        <v>630</v>
      </c>
      <c r="I26" s="252">
        <f t="shared" si="9"/>
        <v>7200</v>
      </c>
      <c r="J26" s="253">
        <f t="shared" si="10"/>
        <v>8442</v>
      </c>
    </row>
    <row r="27" spans="1:10" ht="15.95" customHeight="1" x14ac:dyDescent="0.2">
      <c r="A27" s="66">
        <v>20</v>
      </c>
      <c r="B27" s="40" t="s">
        <v>327</v>
      </c>
      <c r="C27" s="569">
        <v>200</v>
      </c>
      <c r="D27" s="249">
        <v>400</v>
      </c>
      <c r="E27" s="249">
        <v>400</v>
      </c>
      <c r="F27" s="252">
        <f t="shared" si="6"/>
        <v>360</v>
      </c>
      <c r="G27" s="252">
        <f t="shared" si="7"/>
        <v>48</v>
      </c>
      <c r="H27" s="252">
        <f t="shared" si="8"/>
        <v>420</v>
      </c>
      <c r="I27" s="252">
        <f t="shared" si="9"/>
        <v>4800</v>
      </c>
      <c r="J27" s="253">
        <f t="shared" si="10"/>
        <v>5628</v>
      </c>
    </row>
    <row r="28" spans="1:10" ht="15.95" customHeight="1" x14ac:dyDescent="0.2">
      <c r="A28" s="66">
        <v>21</v>
      </c>
      <c r="B28" s="40" t="s">
        <v>327</v>
      </c>
      <c r="C28" s="569">
        <v>200</v>
      </c>
      <c r="D28" s="249">
        <v>825</v>
      </c>
      <c r="E28" s="249">
        <v>825</v>
      </c>
      <c r="F28" s="252">
        <f t="shared" si="6"/>
        <v>742.5</v>
      </c>
      <c r="G28" s="252">
        <f t="shared" si="7"/>
        <v>99</v>
      </c>
      <c r="H28" s="252">
        <f t="shared" si="8"/>
        <v>866.25</v>
      </c>
      <c r="I28" s="252">
        <f t="shared" si="9"/>
        <v>9900</v>
      </c>
      <c r="J28" s="253">
        <f t="shared" si="10"/>
        <v>11607.75</v>
      </c>
    </row>
    <row r="29" spans="1:10" ht="15.95" customHeight="1" x14ac:dyDescent="0.2">
      <c r="A29" s="66">
        <v>22</v>
      </c>
      <c r="B29" s="40" t="s">
        <v>327</v>
      </c>
      <c r="C29" s="569">
        <v>200</v>
      </c>
      <c r="D29" s="249">
        <v>687.5</v>
      </c>
      <c r="E29" s="249">
        <v>687.5</v>
      </c>
      <c r="F29" s="252">
        <f t="shared" si="6"/>
        <v>618.75</v>
      </c>
      <c r="G29" s="252">
        <f t="shared" si="7"/>
        <v>82.5</v>
      </c>
      <c r="H29" s="252">
        <f t="shared" si="8"/>
        <v>721.875</v>
      </c>
      <c r="I29" s="252">
        <f t="shared" si="9"/>
        <v>8250</v>
      </c>
      <c r="J29" s="253">
        <f t="shared" si="10"/>
        <v>9673.125</v>
      </c>
    </row>
    <row r="30" spans="1:10" ht="15.95" customHeight="1" x14ac:dyDescent="0.2">
      <c r="A30" s="66">
        <v>23</v>
      </c>
      <c r="B30" s="40" t="s">
        <v>327</v>
      </c>
      <c r="C30" s="569">
        <v>200</v>
      </c>
      <c r="D30" s="249">
        <v>400</v>
      </c>
      <c r="E30" s="249">
        <v>400</v>
      </c>
      <c r="F30" s="252">
        <f t="shared" si="6"/>
        <v>360</v>
      </c>
      <c r="G30" s="252">
        <f t="shared" si="7"/>
        <v>48</v>
      </c>
      <c r="H30" s="252">
        <f t="shared" si="8"/>
        <v>420</v>
      </c>
      <c r="I30" s="252">
        <f t="shared" si="9"/>
        <v>4800</v>
      </c>
      <c r="J30" s="253">
        <f t="shared" si="10"/>
        <v>5628</v>
      </c>
    </row>
    <row r="31" spans="1:10" ht="15.95" customHeight="1" x14ac:dyDescent="0.2">
      <c r="A31" s="66">
        <v>24</v>
      </c>
      <c r="B31" s="40" t="s">
        <v>327</v>
      </c>
      <c r="C31" s="569">
        <v>200</v>
      </c>
      <c r="D31" s="249">
        <v>500</v>
      </c>
      <c r="E31" s="249">
        <v>500</v>
      </c>
      <c r="F31" s="252">
        <f t="shared" si="6"/>
        <v>450</v>
      </c>
      <c r="G31" s="252">
        <f t="shared" si="7"/>
        <v>60</v>
      </c>
      <c r="H31" s="252">
        <f t="shared" si="8"/>
        <v>525</v>
      </c>
      <c r="I31" s="252">
        <f t="shared" si="9"/>
        <v>6000</v>
      </c>
      <c r="J31" s="253">
        <f t="shared" si="10"/>
        <v>7035</v>
      </c>
    </row>
    <row r="32" spans="1:10" ht="15.95" customHeight="1" x14ac:dyDescent="0.2">
      <c r="A32" s="66">
        <v>25</v>
      </c>
      <c r="B32" s="40" t="s">
        <v>327</v>
      </c>
      <c r="C32" s="569">
        <v>200</v>
      </c>
      <c r="D32" s="249">
        <v>400</v>
      </c>
      <c r="E32" s="249">
        <v>400</v>
      </c>
      <c r="F32" s="252">
        <f t="shared" si="6"/>
        <v>360</v>
      </c>
      <c r="G32" s="252">
        <f t="shared" si="7"/>
        <v>48</v>
      </c>
      <c r="H32" s="252">
        <f t="shared" si="8"/>
        <v>420</v>
      </c>
      <c r="I32" s="252">
        <f t="shared" si="9"/>
        <v>4800</v>
      </c>
      <c r="J32" s="253">
        <f t="shared" si="10"/>
        <v>5628</v>
      </c>
    </row>
    <row r="33" spans="1:10" ht="15.95" customHeight="1" x14ac:dyDescent="0.2">
      <c r="A33" s="66"/>
      <c r="B33" s="40"/>
      <c r="C33" s="363">
        <f>SUM(C17:C32)</f>
        <v>3200</v>
      </c>
      <c r="D33" s="363">
        <f t="shared" ref="D33:J33" si="11">SUM(D17:D32)</f>
        <v>10437.5</v>
      </c>
      <c r="E33" s="363">
        <f>SUM(E17:E32)</f>
        <v>10437.5</v>
      </c>
      <c r="F33" s="363">
        <f>SUM(F17:F32)</f>
        <v>9393.75</v>
      </c>
      <c r="G33" s="363">
        <f t="shared" si="11"/>
        <v>1252.5</v>
      </c>
      <c r="H33" s="363">
        <f>SUM(H17:H32)</f>
        <v>10959.375</v>
      </c>
      <c r="I33" s="363">
        <f t="shared" si="11"/>
        <v>125250</v>
      </c>
      <c r="J33" s="364">
        <f t="shared" si="11"/>
        <v>146855.625</v>
      </c>
    </row>
    <row r="34" spans="1:10" ht="15.95" customHeight="1" x14ac:dyDescent="0.2">
      <c r="A34" s="66"/>
      <c r="B34" s="370" t="s">
        <v>660</v>
      </c>
      <c r="C34" s="365">
        <f>C15+C33</f>
        <v>4800</v>
      </c>
      <c r="D34" s="365">
        <f t="shared" ref="D34:J34" si="12">D15+D33</f>
        <v>19737.5</v>
      </c>
      <c r="E34" s="365">
        <f>E15+E33</f>
        <v>19737.5</v>
      </c>
      <c r="F34" s="367">
        <f>F15+F33</f>
        <v>15513.75</v>
      </c>
      <c r="G34" s="367">
        <f t="shared" si="12"/>
        <v>2068.5</v>
      </c>
      <c r="H34" s="367">
        <f>H15+H33</f>
        <v>20724.375</v>
      </c>
      <c r="I34" s="367">
        <f>I15+I33</f>
        <v>236850</v>
      </c>
      <c r="J34" s="368">
        <f t="shared" si="12"/>
        <v>272531.625</v>
      </c>
    </row>
    <row r="35" spans="1:10" ht="15.95" customHeight="1" x14ac:dyDescent="0.2">
      <c r="A35" s="66">
        <v>29</v>
      </c>
      <c r="B35" s="40" t="s">
        <v>195</v>
      </c>
      <c r="C35" s="566">
        <v>200</v>
      </c>
      <c r="D35" s="249">
        <v>825</v>
      </c>
      <c r="E35" s="249">
        <v>825</v>
      </c>
      <c r="F35" s="250">
        <f>E35*7.5/100*12</f>
        <v>742.5</v>
      </c>
      <c r="G35" s="252">
        <f>E35*1/100*12</f>
        <v>99</v>
      </c>
      <c r="H35" s="250">
        <f>E35*8.75/100*12</f>
        <v>866.25</v>
      </c>
      <c r="I35" s="250">
        <f>825*12</f>
        <v>9900</v>
      </c>
      <c r="J35" s="251">
        <f>SUM(F35:I35)</f>
        <v>11607.75</v>
      </c>
    </row>
    <row r="36" spans="1:10" ht="15.95" customHeight="1" x14ac:dyDescent="0.2">
      <c r="A36" s="66">
        <v>30</v>
      </c>
      <c r="B36" s="40" t="s">
        <v>195</v>
      </c>
      <c r="C36" s="566">
        <v>200</v>
      </c>
      <c r="D36" s="249">
        <v>400</v>
      </c>
      <c r="E36" s="249">
        <v>400</v>
      </c>
      <c r="F36" s="250">
        <f t="shared" ref="F36:F84" si="13">E36*7.5/100*12</f>
        <v>360</v>
      </c>
      <c r="G36" s="252">
        <f t="shared" ref="G36:G84" si="14">E36*1/100*12</f>
        <v>48</v>
      </c>
      <c r="H36" s="250">
        <f t="shared" ref="H36:H84" si="15">E36*8.75/100*12</f>
        <v>420</v>
      </c>
      <c r="I36" s="250">
        <f t="shared" ref="I36:I83" si="16">825*12</f>
        <v>9900</v>
      </c>
      <c r="J36" s="253">
        <f>SUM(F36:I36)</f>
        <v>10728</v>
      </c>
    </row>
    <row r="37" spans="1:10" ht="15.95" customHeight="1" x14ac:dyDescent="0.2">
      <c r="A37" s="66">
        <v>31</v>
      </c>
      <c r="B37" s="40" t="s">
        <v>195</v>
      </c>
      <c r="C37" s="566">
        <v>200</v>
      </c>
      <c r="D37" s="249">
        <v>400</v>
      </c>
      <c r="E37" s="249">
        <v>400</v>
      </c>
      <c r="F37" s="250">
        <f t="shared" si="13"/>
        <v>360</v>
      </c>
      <c r="G37" s="252">
        <f t="shared" si="14"/>
        <v>48</v>
      </c>
      <c r="H37" s="250">
        <f t="shared" si="15"/>
        <v>420</v>
      </c>
      <c r="I37" s="250">
        <f t="shared" si="16"/>
        <v>9900</v>
      </c>
      <c r="J37" s="253">
        <f t="shared" ref="J37:J40" si="17">SUM(F37:I37)</f>
        <v>10728</v>
      </c>
    </row>
    <row r="38" spans="1:10" ht="15.95" customHeight="1" x14ac:dyDescent="0.2">
      <c r="A38" s="66">
        <v>32</v>
      </c>
      <c r="B38" s="40" t="s">
        <v>195</v>
      </c>
      <c r="C38" s="566">
        <v>200</v>
      </c>
      <c r="D38" s="249">
        <v>400</v>
      </c>
      <c r="E38" s="249">
        <v>400</v>
      </c>
      <c r="F38" s="250">
        <f t="shared" si="13"/>
        <v>360</v>
      </c>
      <c r="G38" s="252">
        <f t="shared" si="14"/>
        <v>48</v>
      </c>
      <c r="H38" s="250">
        <f t="shared" si="15"/>
        <v>420</v>
      </c>
      <c r="I38" s="250">
        <f>825*12</f>
        <v>9900</v>
      </c>
      <c r="J38" s="253">
        <f t="shared" si="17"/>
        <v>10728</v>
      </c>
    </row>
    <row r="39" spans="1:10" ht="15.95" customHeight="1" x14ac:dyDescent="0.2">
      <c r="A39" s="66">
        <v>33</v>
      </c>
      <c r="B39" s="40" t="s">
        <v>195</v>
      </c>
      <c r="C39" s="566">
        <v>200</v>
      </c>
      <c r="D39" s="249">
        <v>500</v>
      </c>
      <c r="E39" s="249">
        <v>500</v>
      </c>
      <c r="F39" s="250">
        <f t="shared" si="13"/>
        <v>450</v>
      </c>
      <c r="G39" s="252">
        <f t="shared" si="14"/>
        <v>60</v>
      </c>
      <c r="H39" s="250">
        <f t="shared" si="15"/>
        <v>525</v>
      </c>
      <c r="I39" s="250">
        <f t="shared" si="16"/>
        <v>9900</v>
      </c>
      <c r="J39" s="253">
        <f t="shared" si="17"/>
        <v>10935</v>
      </c>
    </row>
    <row r="40" spans="1:10" ht="15.95" customHeight="1" x14ac:dyDescent="0.2">
      <c r="A40" s="66">
        <v>34</v>
      </c>
      <c r="B40" s="40" t="s">
        <v>195</v>
      </c>
      <c r="C40" s="566">
        <v>200</v>
      </c>
      <c r="D40" s="249">
        <v>450</v>
      </c>
      <c r="E40" s="249">
        <v>450</v>
      </c>
      <c r="F40" s="250">
        <f t="shared" si="13"/>
        <v>405</v>
      </c>
      <c r="G40" s="252">
        <f t="shared" si="14"/>
        <v>54</v>
      </c>
      <c r="H40" s="250">
        <f t="shared" si="15"/>
        <v>472.5</v>
      </c>
      <c r="I40" s="250">
        <f t="shared" si="16"/>
        <v>9900</v>
      </c>
      <c r="J40" s="253">
        <f t="shared" si="17"/>
        <v>10831.5</v>
      </c>
    </row>
    <row r="41" spans="1:10" ht="15.95" customHeight="1" x14ac:dyDescent="0.2">
      <c r="A41" s="66">
        <v>35</v>
      </c>
      <c r="B41" s="40" t="s">
        <v>195</v>
      </c>
      <c r="C41" s="566">
        <v>200</v>
      </c>
      <c r="D41" s="249">
        <v>400</v>
      </c>
      <c r="E41" s="249">
        <v>400</v>
      </c>
      <c r="F41" s="250">
        <f t="shared" si="13"/>
        <v>360</v>
      </c>
      <c r="G41" s="252">
        <f t="shared" si="14"/>
        <v>48</v>
      </c>
      <c r="H41" s="250">
        <f t="shared" si="15"/>
        <v>420</v>
      </c>
      <c r="I41" s="250">
        <f t="shared" si="16"/>
        <v>9900</v>
      </c>
      <c r="J41" s="253">
        <f t="shared" ref="J41:J44" si="18">SUM(F41:I41)</f>
        <v>10728</v>
      </c>
    </row>
    <row r="42" spans="1:10" ht="15.95" customHeight="1" x14ac:dyDescent="0.2">
      <c r="A42" s="66">
        <v>36</v>
      </c>
      <c r="B42" s="40" t="s">
        <v>195</v>
      </c>
      <c r="C42" s="566">
        <v>200</v>
      </c>
      <c r="D42" s="249">
        <v>400</v>
      </c>
      <c r="E42" s="249">
        <v>400</v>
      </c>
      <c r="F42" s="250">
        <f t="shared" si="13"/>
        <v>360</v>
      </c>
      <c r="G42" s="252">
        <f t="shared" si="14"/>
        <v>48</v>
      </c>
      <c r="H42" s="250">
        <f t="shared" si="15"/>
        <v>420</v>
      </c>
      <c r="I42" s="250">
        <f t="shared" si="16"/>
        <v>9900</v>
      </c>
      <c r="J42" s="253">
        <f t="shared" si="18"/>
        <v>10728</v>
      </c>
    </row>
    <row r="43" spans="1:10" ht="15.95" customHeight="1" x14ac:dyDescent="0.2">
      <c r="A43" s="66">
        <v>37</v>
      </c>
      <c r="B43" s="40" t="s">
        <v>195</v>
      </c>
      <c r="C43" s="566">
        <v>200</v>
      </c>
      <c r="D43" s="249">
        <v>700</v>
      </c>
      <c r="E43" s="249">
        <v>700</v>
      </c>
      <c r="F43" s="250">
        <f t="shared" si="13"/>
        <v>630</v>
      </c>
      <c r="G43" s="252">
        <f t="shared" si="14"/>
        <v>84</v>
      </c>
      <c r="H43" s="250">
        <f t="shared" si="15"/>
        <v>735</v>
      </c>
      <c r="I43" s="250">
        <f t="shared" si="16"/>
        <v>9900</v>
      </c>
      <c r="J43" s="253">
        <f t="shared" si="18"/>
        <v>11349</v>
      </c>
    </row>
    <row r="44" spans="1:10" ht="15.95" customHeight="1" x14ac:dyDescent="0.2">
      <c r="A44" s="66">
        <v>38</v>
      </c>
      <c r="B44" s="40" t="s">
        <v>195</v>
      </c>
      <c r="C44" s="566">
        <v>200</v>
      </c>
      <c r="D44" s="249">
        <v>700</v>
      </c>
      <c r="E44" s="249">
        <v>700</v>
      </c>
      <c r="F44" s="250">
        <f t="shared" si="13"/>
        <v>630</v>
      </c>
      <c r="G44" s="252">
        <f t="shared" si="14"/>
        <v>84</v>
      </c>
      <c r="H44" s="250">
        <f t="shared" si="15"/>
        <v>735</v>
      </c>
      <c r="I44" s="250">
        <f t="shared" si="16"/>
        <v>9900</v>
      </c>
      <c r="J44" s="253">
        <f t="shared" si="18"/>
        <v>11349</v>
      </c>
    </row>
    <row r="45" spans="1:10" ht="15.95" customHeight="1" x14ac:dyDescent="0.2">
      <c r="A45" s="66">
        <v>39</v>
      </c>
      <c r="B45" s="40" t="s">
        <v>195</v>
      </c>
      <c r="C45" s="566">
        <v>200</v>
      </c>
      <c r="D45" s="249">
        <v>500</v>
      </c>
      <c r="E45" s="249">
        <v>500</v>
      </c>
      <c r="F45" s="250">
        <f t="shared" si="13"/>
        <v>450</v>
      </c>
      <c r="G45" s="252">
        <f t="shared" si="14"/>
        <v>60</v>
      </c>
      <c r="H45" s="250">
        <f t="shared" si="15"/>
        <v>525</v>
      </c>
      <c r="I45" s="250">
        <f t="shared" si="16"/>
        <v>9900</v>
      </c>
      <c r="J45" s="251">
        <f>SUM(F45:I45)</f>
        <v>10935</v>
      </c>
    </row>
    <row r="46" spans="1:10" ht="15.95" customHeight="1" x14ac:dyDescent="0.2">
      <c r="A46" s="66">
        <v>40</v>
      </c>
      <c r="B46" s="40" t="s">
        <v>195</v>
      </c>
      <c r="C46" s="566">
        <v>200</v>
      </c>
      <c r="D46" s="249">
        <v>550</v>
      </c>
      <c r="E46" s="249">
        <v>550</v>
      </c>
      <c r="F46" s="250">
        <f t="shared" si="13"/>
        <v>495</v>
      </c>
      <c r="G46" s="252">
        <f t="shared" si="14"/>
        <v>66</v>
      </c>
      <c r="H46" s="250">
        <f t="shared" si="15"/>
        <v>577.5</v>
      </c>
      <c r="I46" s="250">
        <f t="shared" si="16"/>
        <v>9900</v>
      </c>
      <c r="J46" s="253">
        <f t="shared" ref="J46" si="19">SUM(F46:I46)</f>
        <v>11038.5</v>
      </c>
    </row>
    <row r="47" spans="1:10" ht="15.95" customHeight="1" x14ac:dyDescent="0.2">
      <c r="A47" s="66">
        <v>41</v>
      </c>
      <c r="B47" s="40" t="s">
        <v>195</v>
      </c>
      <c r="C47" s="566">
        <v>200</v>
      </c>
      <c r="D47" s="249">
        <v>500</v>
      </c>
      <c r="E47" s="249">
        <v>500</v>
      </c>
      <c r="F47" s="250">
        <f t="shared" si="13"/>
        <v>450</v>
      </c>
      <c r="G47" s="252">
        <f t="shared" si="14"/>
        <v>60</v>
      </c>
      <c r="H47" s="250">
        <f t="shared" si="15"/>
        <v>525</v>
      </c>
      <c r="I47" s="250">
        <f t="shared" si="16"/>
        <v>9900</v>
      </c>
      <c r="J47" s="251">
        <f>SUM(F47:I47)</f>
        <v>10935</v>
      </c>
    </row>
    <row r="48" spans="1:10" ht="15.95" customHeight="1" x14ac:dyDescent="0.2">
      <c r="A48" s="66">
        <v>42</v>
      </c>
      <c r="B48" s="40" t="s">
        <v>195</v>
      </c>
      <c r="C48" s="566">
        <v>200</v>
      </c>
      <c r="D48" s="249">
        <v>1100</v>
      </c>
      <c r="E48" s="249">
        <v>1100</v>
      </c>
      <c r="F48" s="250">
        <f t="shared" si="13"/>
        <v>990</v>
      </c>
      <c r="G48" s="252">
        <f t="shared" si="14"/>
        <v>132</v>
      </c>
      <c r="H48" s="250">
        <f t="shared" si="15"/>
        <v>1155</v>
      </c>
      <c r="I48" s="250">
        <f t="shared" si="16"/>
        <v>9900</v>
      </c>
      <c r="J48" s="253">
        <f t="shared" ref="J48" si="20">SUM(F48:I48)</f>
        <v>12177</v>
      </c>
    </row>
    <row r="49" spans="1:10" ht="15.95" customHeight="1" x14ac:dyDescent="0.2">
      <c r="A49" s="66">
        <v>43</v>
      </c>
      <c r="B49" s="40" t="s">
        <v>195</v>
      </c>
      <c r="C49" s="566">
        <v>200</v>
      </c>
      <c r="D49" s="249">
        <v>600</v>
      </c>
      <c r="E49" s="249">
        <v>600</v>
      </c>
      <c r="F49" s="250">
        <f t="shared" si="13"/>
        <v>540</v>
      </c>
      <c r="G49" s="252">
        <f t="shared" si="14"/>
        <v>72</v>
      </c>
      <c r="H49" s="250">
        <f t="shared" si="15"/>
        <v>630</v>
      </c>
      <c r="I49" s="250">
        <f t="shared" si="16"/>
        <v>9900</v>
      </c>
      <c r="J49" s="253">
        <f>SUM(F49:I49)</f>
        <v>11142</v>
      </c>
    </row>
    <row r="50" spans="1:10" ht="15.95" customHeight="1" x14ac:dyDescent="0.2">
      <c r="A50" s="66">
        <v>44</v>
      </c>
      <c r="B50" s="40" t="s">
        <v>195</v>
      </c>
      <c r="C50" s="566">
        <v>200</v>
      </c>
      <c r="D50" s="249">
        <v>500</v>
      </c>
      <c r="E50" s="249">
        <v>500</v>
      </c>
      <c r="F50" s="250">
        <f t="shared" si="13"/>
        <v>450</v>
      </c>
      <c r="G50" s="252">
        <f t="shared" si="14"/>
        <v>60</v>
      </c>
      <c r="H50" s="250">
        <f t="shared" si="15"/>
        <v>525</v>
      </c>
      <c r="I50" s="250">
        <f t="shared" si="16"/>
        <v>9900</v>
      </c>
      <c r="J50" s="253">
        <f t="shared" ref="J50" si="21">SUM(F50:I50)</f>
        <v>10935</v>
      </c>
    </row>
    <row r="51" spans="1:10" ht="15.95" customHeight="1" x14ac:dyDescent="0.2">
      <c r="A51" s="66">
        <v>45</v>
      </c>
      <c r="B51" s="40" t="s">
        <v>195</v>
      </c>
      <c r="C51" s="566">
        <v>200</v>
      </c>
      <c r="D51" s="249">
        <v>600</v>
      </c>
      <c r="E51" s="249">
        <v>600</v>
      </c>
      <c r="F51" s="250">
        <f t="shared" si="13"/>
        <v>540</v>
      </c>
      <c r="G51" s="252">
        <f t="shared" si="14"/>
        <v>72</v>
      </c>
      <c r="H51" s="250">
        <f t="shared" si="15"/>
        <v>630</v>
      </c>
      <c r="I51" s="250">
        <f t="shared" si="16"/>
        <v>9900</v>
      </c>
      <c r="J51" s="253">
        <f t="shared" ref="J51" si="22">SUM(F51:I51)</f>
        <v>11142</v>
      </c>
    </row>
    <row r="52" spans="1:10" ht="15.95" customHeight="1" x14ac:dyDescent="0.2">
      <c r="A52" s="66">
        <v>46</v>
      </c>
      <c r="B52" s="40" t="s">
        <v>195</v>
      </c>
      <c r="C52" s="566">
        <v>200</v>
      </c>
      <c r="D52" s="249">
        <v>500</v>
      </c>
      <c r="E52" s="249">
        <v>500</v>
      </c>
      <c r="F52" s="250">
        <f t="shared" si="13"/>
        <v>450</v>
      </c>
      <c r="G52" s="252">
        <f t="shared" si="14"/>
        <v>60</v>
      </c>
      <c r="H52" s="250">
        <f t="shared" si="15"/>
        <v>525</v>
      </c>
      <c r="I52" s="250">
        <f t="shared" si="16"/>
        <v>9900</v>
      </c>
      <c r="J52" s="251">
        <f>SUM(F52:I52)</f>
        <v>10935</v>
      </c>
    </row>
    <row r="53" spans="1:10" ht="15.95" customHeight="1" x14ac:dyDescent="0.2">
      <c r="A53" s="66">
        <v>47</v>
      </c>
      <c r="B53" s="40" t="s">
        <v>195</v>
      </c>
      <c r="C53" s="566">
        <v>200</v>
      </c>
      <c r="D53" s="249">
        <v>600</v>
      </c>
      <c r="E53" s="249">
        <v>600</v>
      </c>
      <c r="F53" s="250">
        <f t="shared" si="13"/>
        <v>540</v>
      </c>
      <c r="G53" s="252">
        <f t="shared" si="14"/>
        <v>72</v>
      </c>
      <c r="H53" s="250">
        <f t="shared" si="15"/>
        <v>630</v>
      </c>
      <c r="I53" s="250">
        <f t="shared" si="16"/>
        <v>9900</v>
      </c>
      <c r="J53" s="253">
        <f t="shared" ref="J53" si="23">SUM(F53:I53)</f>
        <v>11142</v>
      </c>
    </row>
    <row r="54" spans="1:10" ht="15.95" customHeight="1" x14ac:dyDescent="0.2">
      <c r="A54" s="66">
        <v>48</v>
      </c>
      <c r="B54" s="40" t="s">
        <v>195</v>
      </c>
      <c r="C54" s="566">
        <v>200</v>
      </c>
      <c r="D54" s="249">
        <v>400</v>
      </c>
      <c r="E54" s="249">
        <v>400</v>
      </c>
      <c r="F54" s="250">
        <f t="shared" si="13"/>
        <v>360</v>
      </c>
      <c r="G54" s="252">
        <f t="shared" si="14"/>
        <v>48</v>
      </c>
      <c r="H54" s="250">
        <f t="shared" si="15"/>
        <v>420</v>
      </c>
      <c r="I54" s="250">
        <f t="shared" si="16"/>
        <v>9900</v>
      </c>
      <c r="J54" s="253">
        <f t="shared" ref="J54:J55" si="24">SUM(F54:I54)</f>
        <v>10728</v>
      </c>
    </row>
    <row r="55" spans="1:10" ht="15.95" customHeight="1" x14ac:dyDescent="0.2">
      <c r="A55" s="66">
        <v>49</v>
      </c>
      <c r="B55" s="40" t="s">
        <v>195</v>
      </c>
      <c r="C55" s="566">
        <v>200</v>
      </c>
      <c r="D55" s="249">
        <v>400</v>
      </c>
      <c r="E55" s="249">
        <v>400</v>
      </c>
      <c r="F55" s="250">
        <f t="shared" si="13"/>
        <v>360</v>
      </c>
      <c r="G55" s="252">
        <f t="shared" si="14"/>
        <v>48</v>
      </c>
      <c r="H55" s="250">
        <f t="shared" si="15"/>
        <v>420</v>
      </c>
      <c r="I55" s="250">
        <f t="shared" si="16"/>
        <v>9900</v>
      </c>
      <c r="J55" s="253">
        <f t="shared" si="24"/>
        <v>10728</v>
      </c>
    </row>
    <row r="56" spans="1:10" ht="15.95" customHeight="1" x14ac:dyDescent="0.2">
      <c r="A56" s="66">
        <v>50</v>
      </c>
      <c r="B56" s="40" t="s">
        <v>195</v>
      </c>
      <c r="C56" s="566">
        <v>200</v>
      </c>
      <c r="D56" s="249">
        <v>400</v>
      </c>
      <c r="E56" s="249">
        <v>400</v>
      </c>
      <c r="F56" s="250">
        <f t="shared" si="13"/>
        <v>360</v>
      </c>
      <c r="G56" s="252">
        <f t="shared" si="14"/>
        <v>48</v>
      </c>
      <c r="H56" s="250">
        <f t="shared" si="15"/>
        <v>420</v>
      </c>
      <c r="I56" s="250">
        <f t="shared" si="16"/>
        <v>9900</v>
      </c>
      <c r="J56" s="251">
        <f>SUM(F56:I56)</f>
        <v>10728</v>
      </c>
    </row>
    <row r="57" spans="1:10" ht="15.95" customHeight="1" x14ac:dyDescent="0.2">
      <c r="A57" s="66">
        <v>51</v>
      </c>
      <c r="B57" s="40" t="s">
        <v>195</v>
      </c>
      <c r="C57" s="566">
        <v>200</v>
      </c>
      <c r="D57" s="249">
        <v>400</v>
      </c>
      <c r="E57" s="249">
        <v>400</v>
      </c>
      <c r="F57" s="250">
        <f t="shared" si="13"/>
        <v>360</v>
      </c>
      <c r="G57" s="252">
        <f t="shared" si="14"/>
        <v>48</v>
      </c>
      <c r="H57" s="250">
        <f t="shared" si="15"/>
        <v>420</v>
      </c>
      <c r="I57" s="250">
        <f t="shared" si="16"/>
        <v>9900</v>
      </c>
      <c r="J57" s="253">
        <f t="shared" ref="J57:J58" si="25">SUM(F57:I57)</f>
        <v>10728</v>
      </c>
    </row>
    <row r="58" spans="1:10" ht="15.95" customHeight="1" x14ac:dyDescent="0.2">
      <c r="A58" s="66">
        <v>52</v>
      </c>
      <c r="B58" s="40" t="s">
        <v>195</v>
      </c>
      <c r="C58" s="566">
        <v>200</v>
      </c>
      <c r="D58" s="249">
        <v>400</v>
      </c>
      <c r="E58" s="249">
        <v>400</v>
      </c>
      <c r="F58" s="250">
        <f t="shared" si="13"/>
        <v>360</v>
      </c>
      <c r="G58" s="252">
        <f t="shared" si="14"/>
        <v>48</v>
      </c>
      <c r="H58" s="250">
        <f t="shared" si="15"/>
        <v>420</v>
      </c>
      <c r="I58" s="250">
        <f t="shared" si="16"/>
        <v>9900</v>
      </c>
      <c r="J58" s="253">
        <f t="shared" si="25"/>
        <v>10728</v>
      </c>
    </row>
    <row r="59" spans="1:10" ht="15.95" customHeight="1" x14ac:dyDescent="0.2">
      <c r="A59" s="66">
        <v>53</v>
      </c>
      <c r="B59" s="40" t="s">
        <v>195</v>
      </c>
      <c r="C59" s="566">
        <v>200</v>
      </c>
      <c r="D59" s="249">
        <v>500</v>
      </c>
      <c r="E59" s="249">
        <v>500</v>
      </c>
      <c r="F59" s="250">
        <f t="shared" si="13"/>
        <v>450</v>
      </c>
      <c r="G59" s="252">
        <f t="shared" si="14"/>
        <v>60</v>
      </c>
      <c r="H59" s="250">
        <f t="shared" si="15"/>
        <v>525</v>
      </c>
      <c r="I59" s="250">
        <f t="shared" si="16"/>
        <v>9900</v>
      </c>
      <c r="J59" s="251">
        <f>SUM(F59:I59)</f>
        <v>10935</v>
      </c>
    </row>
    <row r="60" spans="1:10" ht="15.95" customHeight="1" x14ac:dyDescent="0.2">
      <c r="A60" s="66">
        <v>54</v>
      </c>
      <c r="B60" s="40" t="s">
        <v>195</v>
      </c>
      <c r="C60" s="566">
        <v>200</v>
      </c>
      <c r="D60" s="249">
        <v>700</v>
      </c>
      <c r="E60" s="249">
        <v>700</v>
      </c>
      <c r="F60" s="250">
        <f t="shared" si="13"/>
        <v>630</v>
      </c>
      <c r="G60" s="252">
        <f t="shared" si="14"/>
        <v>84</v>
      </c>
      <c r="H60" s="250">
        <f t="shared" si="15"/>
        <v>735</v>
      </c>
      <c r="I60" s="250">
        <f t="shared" si="16"/>
        <v>9900</v>
      </c>
      <c r="J60" s="253">
        <f t="shared" ref="J60:J62" si="26">SUM(F60:I60)</f>
        <v>11349</v>
      </c>
    </row>
    <row r="61" spans="1:10" ht="15.95" customHeight="1" x14ac:dyDescent="0.2">
      <c r="A61" s="66">
        <v>55</v>
      </c>
      <c r="B61" s="40" t="s">
        <v>195</v>
      </c>
      <c r="C61" s="566">
        <v>200</v>
      </c>
      <c r="D61" s="249">
        <v>600</v>
      </c>
      <c r="E61" s="249">
        <v>600</v>
      </c>
      <c r="F61" s="250">
        <f t="shared" si="13"/>
        <v>540</v>
      </c>
      <c r="G61" s="252">
        <f t="shared" si="14"/>
        <v>72</v>
      </c>
      <c r="H61" s="250">
        <f t="shared" si="15"/>
        <v>630</v>
      </c>
      <c r="I61" s="250">
        <f t="shared" si="16"/>
        <v>9900</v>
      </c>
      <c r="J61" s="253">
        <f t="shared" si="26"/>
        <v>11142</v>
      </c>
    </row>
    <row r="62" spans="1:10" ht="15.95" customHeight="1" x14ac:dyDescent="0.2">
      <c r="A62" s="66">
        <v>56</v>
      </c>
      <c r="B62" s="40" t="s">
        <v>195</v>
      </c>
      <c r="C62" s="566">
        <v>200</v>
      </c>
      <c r="D62" s="249">
        <v>400</v>
      </c>
      <c r="E62" s="249">
        <v>400</v>
      </c>
      <c r="F62" s="250">
        <f t="shared" si="13"/>
        <v>360</v>
      </c>
      <c r="G62" s="252">
        <f t="shared" si="14"/>
        <v>48</v>
      </c>
      <c r="H62" s="250">
        <f t="shared" si="15"/>
        <v>420</v>
      </c>
      <c r="I62" s="250">
        <f t="shared" si="16"/>
        <v>9900</v>
      </c>
      <c r="J62" s="253">
        <f t="shared" si="26"/>
        <v>10728</v>
      </c>
    </row>
    <row r="63" spans="1:10" ht="15.95" customHeight="1" x14ac:dyDescent="0.2">
      <c r="A63" s="66">
        <v>57</v>
      </c>
      <c r="B63" s="40" t="s">
        <v>195</v>
      </c>
      <c r="C63" s="566">
        <v>200</v>
      </c>
      <c r="D63" s="249">
        <v>400</v>
      </c>
      <c r="E63" s="249">
        <v>400</v>
      </c>
      <c r="F63" s="250">
        <f t="shared" si="13"/>
        <v>360</v>
      </c>
      <c r="G63" s="252">
        <f t="shared" si="14"/>
        <v>48</v>
      </c>
      <c r="H63" s="250">
        <f t="shared" si="15"/>
        <v>420</v>
      </c>
      <c r="I63" s="250">
        <f t="shared" si="16"/>
        <v>9900</v>
      </c>
      <c r="J63" s="253">
        <f t="shared" ref="J63:J64" si="27">SUM(F63:I63)</f>
        <v>10728</v>
      </c>
    </row>
    <row r="64" spans="1:10" ht="15.95" customHeight="1" x14ac:dyDescent="0.2">
      <c r="A64" s="66">
        <v>58</v>
      </c>
      <c r="B64" s="40" t="s">
        <v>195</v>
      </c>
      <c r="C64" s="566">
        <v>200</v>
      </c>
      <c r="D64" s="249">
        <v>400</v>
      </c>
      <c r="E64" s="249">
        <v>400</v>
      </c>
      <c r="F64" s="250">
        <f t="shared" si="13"/>
        <v>360</v>
      </c>
      <c r="G64" s="252">
        <f t="shared" si="14"/>
        <v>48</v>
      </c>
      <c r="H64" s="250">
        <f t="shared" si="15"/>
        <v>420</v>
      </c>
      <c r="I64" s="250">
        <f t="shared" si="16"/>
        <v>9900</v>
      </c>
      <c r="J64" s="253">
        <f t="shared" si="27"/>
        <v>10728</v>
      </c>
    </row>
    <row r="65" spans="1:12" ht="15.95" customHeight="1" x14ac:dyDescent="0.2">
      <c r="A65" s="66">
        <v>59</v>
      </c>
      <c r="B65" s="40" t="s">
        <v>195</v>
      </c>
      <c r="C65" s="566">
        <v>200</v>
      </c>
      <c r="D65" s="249">
        <v>400</v>
      </c>
      <c r="E65" s="249">
        <v>400</v>
      </c>
      <c r="F65" s="250">
        <f t="shared" si="13"/>
        <v>360</v>
      </c>
      <c r="G65" s="252">
        <f t="shared" si="14"/>
        <v>48</v>
      </c>
      <c r="H65" s="250">
        <f t="shared" si="15"/>
        <v>420</v>
      </c>
      <c r="I65" s="250">
        <f t="shared" si="16"/>
        <v>9900</v>
      </c>
      <c r="J65" s="253">
        <f t="shared" ref="J65" si="28">SUM(F65:I65)</f>
        <v>10728</v>
      </c>
    </row>
    <row r="66" spans="1:12" ht="15.95" customHeight="1" x14ac:dyDescent="0.2">
      <c r="A66" s="66">
        <v>60</v>
      </c>
      <c r="B66" s="40" t="s">
        <v>195</v>
      </c>
      <c r="C66" s="566">
        <v>200</v>
      </c>
      <c r="D66" s="249">
        <v>400</v>
      </c>
      <c r="E66" s="249">
        <v>400</v>
      </c>
      <c r="F66" s="250">
        <f t="shared" si="13"/>
        <v>360</v>
      </c>
      <c r="G66" s="252">
        <f t="shared" si="14"/>
        <v>48</v>
      </c>
      <c r="H66" s="250">
        <f t="shared" si="15"/>
        <v>420</v>
      </c>
      <c r="I66" s="250">
        <f t="shared" si="16"/>
        <v>9900</v>
      </c>
      <c r="J66" s="251">
        <f>SUM(F66:I66)</f>
        <v>10728</v>
      </c>
    </row>
    <row r="67" spans="1:12" ht="15.95" customHeight="1" x14ac:dyDescent="0.2">
      <c r="A67" s="66">
        <v>61</v>
      </c>
      <c r="B67" s="40" t="s">
        <v>195</v>
      </c>
      <c r="C67" s="566">
        <v>200</v>
      </c>
      <c r="D67" s="249">
        <v>400</v>
      </c>
      <c r="E67" s="249">
        <v>400</v>
      </c>
      <c r="F67" s="250">
        <f t="shared" si="13"/>
        <v>360</v>
      </c>
      <c r="G67" s="252">
        <f t="shared" si="14"/>
        <v>48</v>
      </c>
      <c r="H67" s="250">
        <f t="shared" si="15"/>
        <v>420</v>
      </c>
      <c r="I67" s="250">
        <f t="shared" si="16"/>
        <v>9900</v>
      </c>
      <c r="J67" s="253">
        <f>SUM(F67:I67)</f>
        <v>10728</v>
      </c>
    </row>
    <row r="68" spans="1:12" ht="15.95" customHeight="1" x14ac:dyDescent="0.2">
      <c r="A68" s="66">
        <v>62</v>
      </c>
      <c r="B68" s="40" t="s">
        <v>195</v>
      </c>
      <c r="C68" s="566">
        <v>200</v>
      </c>
      <c r="D68" s="249">
        <v>500</v>
      </c>
      <c r="E68" s="249">
        <v>500</v>
      </c>
      <c r="F68" s="250">
        <f t="shared" si="13"/>
        <v>450</v>
      </c>
      <c r="G68" s="252">
        <f t="shared" si="14"/>
        <v>60</v>
      </c>
      <c r="H68" s="250">
        <f t="shared" si="15"/>
        <v>525</v>
      </c>
      <c r="I68" s="250">
        <f t="shared" si="16"/>
        <v>9900</v>
      </c>
      <c r="J68" s="253">
        <f>SUM(F68:I68)</f>
        <v>10935</v>
      </c>
    </row>
    <row r="69" spans="1:12" ht="15.95" customHeight="1" x14ac:dyDescent="0.2">
      <c r="A69" s="66">
        <v>63</v>
      </c>
      <c r="B69" s="40" t="s">
        <v>195</v>
      </c>
      <c r="C69" s="566">
        <v>200</v>
      </c>
      <c r="D69" s="249">
        <v>550</v>
      </c>
      <c r="E69" s="249">
        <v>550</v>
      </c>
      <c r="F69" s="250">
        <f t="shared" si="13"/>
        <v>495</v>
      </c>
      <c r="G69" s="252">
        <f t="shared" si="14"/>
        <v>66</v>
      </c>
      <c r="H69" s="250">
        <f t="shared" si="15"/>
        <v>577.5</v>
      </c>
      <c r="I69" s="250">
        <f t="shared" si="16"/>
        <v>9900</v>
      </c>
      <c r="J69" s="253">
        <f t="shared" ref="J69" si="29">SUM(F69:I69)</f>
        <v>11038.5</v>
      </c>
    </row>
    <row r="70" spans="1:12" ht="15.95" customHeight="1" x14ac:dyDescent="0.2">
      <c r="A70" s="66">
        <v>64</v>
      </c>
      <c r="B70" s="40" t="s">
        <v>195</v>
      </c>
      <c r="C70" s="566">
        <v>200</v>
      </c>
      <c r="D70" s="249">
        <v>500</v>
      </c>
      <c r="E70" s="249">
        <v>500</v>
      </c>
      <c r="F70" s="250">
        <f t="shared" si="13"/>
        <v>450</v>
      </c>
      <c r="G70" s="252">
        <f t="shared" si="14"/>
        <v>60</v>
      </c>
      <c r="H70" s="250">
        <f t="shared" si="15"/>
        <v>525</v>
      </c>
      <c r="I70" s="250">
        <f t="shared" si="16"/>
        <v>9900</v>
      </c>
      <c r="J70" s="253">
        <f t="shared" ref="J70:J74" si="30">SUM(F70:I70)</f>
        <v>10935</v>
      </c>
    </row>
    <row r="71" spans="1:12" ht="15.95" customHeight="1" x14ac:dyDescent="0.2">
      <c r="A71" s="66">
        <v>65</v>
      </c>
      <c r="B71" s="40" t="s">
        <v>195</v>
      </c>
      <c r="C71" s="566">
        <v>200</v>
      </c>
      <c r="D71" s="249">
        <v>400</v>
      </c>
      <c r="E71" s="249">
        <v>400</v>
      </c>
      <c r="F71" s="250">
        <f t="shared" si="13"/>
        <v>360</v>
      </c>
      <c r="G71" s="252">
        <f t="shared" si="14"/>
        <v>48</v>
      </c>
      <c r="H71" s="250">
        <f t="shared" si="15"/>
        <v>420</v>
      </c>
      <c r="I71" s="250">
        <f t="shared" si="16"/>
        <v>9900</v>
      </c>
      <c r="J71" s="253">
        <f t="shared" si="30"/>
        <v>10728</v>
      </c>
    </row>
    <row r="72" spans="1:12" ht="15.95" customHeight="1" x14ac:dyDescent="0.2">
      <c r="A72" s="66">
        <v>66</v>
      </c>
      <c r="B72" s="40" t="s">
        <v>195</v>
      </c>
      <c r="C72" s="566">
        <v>200</v>
      </c>
      <c r="D72" s="249">
        <v>400</v>
      </c>
      <c r="E72" s="249">
        <v>400</v>
      </c>
      <c r="F72" s="250">
        <f t="shared" si="13"/>
        <v>360</v>
      </c>
      <c r="G72" s="252">
        <f t="shared" si="14"/>
        <v>48</v>
      </c>
      <c r="H72" s="250">
        <f t="shared" si="15"/>
        <v>420</v>
      </c>
      <c r="I72" s="250">
        <f t="shared" si="16"/>
        <v>9900</v>
      </c>
      <c r="J72" s="253">
        <f t="shared" si="30"/>
        <v>10728</v>
      </c>
    </row>
    <row r="73" spans="1:12" ht="15.95" customHeight="1" x14ac:dyDescent="0.2">
      <c r="A73" s="66">
        <v>67</v>
      </c>
      <c r="B73" s="40" t="s">
        <v>195</v>
      </c>
      <c r="C73" s="566">
        <v>200</v>
      </c>
      <c r="D73" s="249">
        <v>400</v>
      </c>
      <c r="E73" s="249">
        <v>400</v>
      </c>
      <c r="F73" s="250">
        <f t="shared" si="13"/>
        <v>360</v>
      </c>
      <c r="G73" s="252">
        <f t="shared" si="14"/>
        <v>48</v>
      </c>
      <c r="H73" s="250">
        <f t="shared" si="15"/>
        <v>420</v>
      </c>
      <c r="I73" s="250">
        <f t="shared" si="16"/>
        <v>9900</v>
      </c>
      <c r="J73" s="253">
        <f t="shared" si="30"/>
        <v>10728</v>
      </c>
    </row>
    <row r="74" spans="1:12" ht="15.95" customHeight="1" x14ac:dyDescent="0.2">
      <c r="A74" s="66">
        <v>68</v>
      </c>
      <c r="B74" s="40" t="s">
        <v>195</v>
      </c>
      <c r="C74" s="566">
        <v>200</v>
      </c>
      <c r="D74" s="249">
        <v>400</v>
      </c>
      <c r="E74" s="249">
        <v>400</v>
      </c>
      <c r="F74" s="250">
        <f t="shared" si="13"/>
        <v>360</v>
      </c>
      <c r="G74" s="252">
        <f t="shared" si="14"/>
        <v>48</v>
      </c>
      <c r="H74" s="250">
        <f t="shared" si="15"/>
        <v>420</v>
      </c>
      <c r="I74" s="250">
        <f t="shared" si="16"/>
        <v>9900</v>
      </c>
      <c r="J74" s="253">
        <f t="shared" si="30"/>
        <v>10728</v>
      </c>
    </row>
    <row r="75" spans="1:12" ht="15.95" customHeight="1" x14ac:dyDescent="0.2">
      <c r="A75" s="66">
        <v>69</v>
      </c>
      <c r="B75" s="40" t="s">
        <v>195</v>
      </c>
      <c r="C75" s="566">
        <v>200</v>
      </c>
      <c r="D75" s="249">
        <v>500</v>
      </c>
      <c r="E75" s="249">
        <v>500</v>
      </c>
      <c r="F75" s="250">
        <f t="shared" si="13"/>
        <v>450</v>
      </c>
      <c r="G75" s="252">
        <f t="shared" si="14"/>
        <v>60</v>
      </c>
      <c r="H75" s="250">
        <f t="shared" si="15"/>
        <v>525</v>
      </c>
      <c r="I75" s="250">
        <f>825*12</f>
        <v>9900</v>
      </c>
      <c r="J75" s="253">
        <f>SUM(F75:I75)</f>
        <v>10935</v>
      </c>
    </row>
    <row r="76" spans="1:12" ht="15.95" customHeight="1" x14ac:dyDescent="0.2">
      <c r="A76" s="66">
        <v>70</v>
      </c>
      <c r="B76" s="40" t="s">
        <v>195</v>
      </c>
      <c r="C76" s="566">
        <v>200</v>
      </c>
      <c r="D76" s="249">
        <v>450</v>
      </c>
      <c r="E76" s="249">
        <v>450</v>
      </c>
      <c r="F76" s="250">
        <f t="shared" si="13"/>
        <v>405</v>
      </c>
      <c r="G76" s="252">
        <f t="shared" si="14"/>
        <v>54</v>
      </c>
      <c r="H76" s="250">
        <f t="shared" si="15"/>
        <v>472.5</v>
      </c>
      <c r="I76" s="250">
        <f t="shared" si="16"/>
        <v>9900</v>
      </c>
      <c r="J76" s="253">
        <f t="shared" ref="J76" si="31">SUM(F76:I76)</f>
        <v>10831.5</v>
      </c>
    </row>
    <row r="77" spans="1:12" s="565" customFormat="1" ht="15.95" customHeight="1" x14ac:dyDescent="0.2">
      <c r="A77" s="562">
        <v>71</v>
      </c>
      <c r="B77" s="563" t="s">
        <v>195</v>
      </c>
      <c r="C77" s="566">
        <v>200</v>
      </c>
      <c r="D77" s="442">
        <v>400</v>
      </c>
      <c r="E77" s="442">
        <v>400</v>
      </c>
      <c r="F77" s="250">
        <f t="shared" si="13"/>
        <v>360</v>
      </c>
      <c r="G77" s="252">
        <f t="shared" si="14"/>
        <v>48</v>
      </c>
      <c r="H77" s="250">
        <f t="shared" si="15"/>
        <v>420</v>
      </c>
      <c r="I77" s="250">
        <f t="shared" si="16"/>
        <v>9900</v>
      </c>
      <c r="J77" s="564">
        <f>SUM(F77:I77)</f>
        <v>10728</v>
      </c>
      <c r="K77" s="1107" t="s">
        <v>1222</v>
      </c>
      <c r="L77" s="1108"/>
    </row>
    <row r="78" spans="1:12" s="565" customFormat="1" ht="15.95" customHeight="1" x14ac:dyDescent="0.2">
      <c r="A78" s="562">
        <v>72</v>
      </c>
      <c r="B78" s="563" t="s">
        <v>195</v>
      </c>
      <c r="C78" s="566">
        <v>200</v>
      </c>
      <c r="D78" s="442">
        <v>400</v>
      </c>
      <c r="E78" s="442">
        <v>400</v>
      </c>
      <c r="F78" s="250">
        <f t="shared" si="13"/>
        <v>360</v>
      </c>
      <c r="G78" s="252">
        <f t="shared" si="14"/>
        <v>48</v>
      </c>
      <c r="H78" s="250">
        <f t="shared" si="15"/>
        <v>420</v>
      </c>
      <c r="I78" s="250">
        <f t="shared" si="16"/>
        <v>9900</v>
      </c>
      <c r="J78" s="564">
        <f t="shared" ref="J78" si="32">SUM(F78:I78)</f>
        <v>10728</v>
      </c>
      <c r="K78" s="1107" t="s">
        <v>1222</v>
      </c>
      <c r="L78" s="1108"/>
    </row>
    <row r="79" spans="1:12" s="565" customFormat="1" ht="15.95" customHeight="1" x14ac:dyDescent="0.2">
      <c r="A79" s="562">
        <v>73</v>
      </c>
      <c r="B79" s="563" t="s">
        <v>195</v>
      </c>
      <c r="C79" s="566">
        <v>200</v>
      </c>
      <c r="D79" s="442">
        <v>400</v>
      </c>
      <c r="E79" s="442">
        <v>400</v>
      </c>
      <c r="F79" s="250">
        <f t="shared" si="13"/>
        <v>360</v>
      </c>
      <c r="G79" s="252">
        <f t="shared" si="14"/>
        <v>48</v>
      </c>
      <c r="H79" s="250">
        <f t="shared" si="15"/>
        <v>420</v>
      </c>
      <c r="I79" s="250">
        <f t="shared" si="16"/>
        <v>9900</v>
      </c>
      <c r="J79" s="564">
        <f t="shared" ref="J79:J80" si="33">SUM(F79:I79)</f>
        <v>10728</v>
      </c>
      <c r="K79" s="1107" t="s">
        <v>1222</v>
      </c>
      <c r="L79" s="1108"/>
    </row>
    <row r="80" spans="1:12" s="565" customFormat="1" ht="15.95" customHeight="1" x14ac:dyDescent="0.2">
      <c r="A80" s="562">
        <v>74</v>
      </c>
      <c r="B80" s="563" t="s">
        <v>195</v>
      </c>
      <c r="C80" s="566">
        <v>200</v>
      </c>
      <c r="D80" s="442">
        <v>500</v>
      </c>
      <c r="E80" s="442">
        <v>500</v>
      </c>
      <c r="F80" s="250">
        <f t="shared" si="13"/>
        <v>450</v>
      </c>
      <c r="G80" s="252">
        <f t="shared" si="14"/>
        <v>60</v>
      </c>
      <c r="H80" s="250">
        <f t="shared" si="15"/>
        <v>525</v>
      </c>
      <c r="I80" s="250">
        <f t="shared" si="16"/>
        <v>9900</v>
      </c>
      <c r="J80" s="564">
        <f t="shared" si="33"/>
        <v>10935</v>
      </c>
      <c r="K80" s="1107" t="s">
        <v>1222</v>
      </c>
      <c r="L80" s="1108"/>
    </row>
    <row r="81" spans="1:12" s="565" customFormat="1" ht="15.95" customHeight="1" x14ac:dyDescent="0.2">
      <c r="A81" s="562">
        <v>75</v>
      </c>
      <c r="B81" s="563" t="s">
        <v>195</v>
      </c>
      <c r="C81" s="566">
        <v>200</v>
      </c>
      <c r="D81" s="442">
        <v>800</v>
      </c>
      <c r="E81" s="442">
        <v>800</v>
      </c>
      <c r="F81" s="250">
        <f t="shared" si="13"/>
        <v>720</v>
      </c>
      <c r="G81" s="252">
        <f t="shared" si="14"/>
        <v>96</v>
      </c>
      <c r="H81" s="250">
        <f t="shared" si="15"/>
        <v>840</v>
      </c>
      <c r="I81" s="250">
        <f t="shared" si="16"/>
        <v>9900</v>
      </c>
      <c r="J81" s="564">
        <f t="shared" ref="J81" si="34">SUM(F81:I81)</f>
        <v>11556</v>
      </c>
      <c r="K81" s="1107" t="s">
        <v>1222</v>
      </c>
      <c r="L81" s="1108"/>
    </row>
    <row r="82" spans="1:12" s="565" customFormat="1" ht="15.95" customHeight="1" x14ac:dyDescent="0.2">
      <c r="A82" s="562">
        <v>76</v>
      </c>
      <c r="B82" s="563" t="s">
        <v>195</v>
      </c>
      <c r="C82" s="566">
        <v>200</v>
      </c>
      <c r="D82" s="442">
        <v>500</v>
      </c>
      <c r="E82" s="442">
        <v>500</v>
      </c>
      <c r="F82" s="250">
        <f t="shared" si="13"/>
        <v>450</v>
      </c>
      <c r="G82" s="252">
        <f t="shared" si="14"/>
        <v>60</v>
      </c>
      <c r="H82" s="250">
        <f t="shared" si="15"/>
        <v>525</v>
      </c>
      <c r="I82" s="250">
        <f t="shared" si="16"/>
        <v>9900</v>
      </c>
      <c r="J82" s="564">
        <f t="shared" ref="J82:J83" si="35">SUM(F82:I82)</f>
        <v>10935</v>
      </c>
      <c r="K82" s="1107" t="s">
        <v>1222</v>
      </c>
      <c r="L82" s="1108"/>
    </row>
    <row r="83" spans="1:12" s="565" customFormat="1" ht="15.95" customHeight="1" x14ac:dyDescent="0.2">
      <c r="A83" s="562">
        <v>77</v>
      </c>
      <c r="B83" s="563" t="s">
        <v>195</v>
      </c>
      <c r="C83" s="566">
        <v>200</v>
      </c>
      <c r="D83" s="442">
        <v>500</v>
      </c>
      <c r="E83" s="442">
        <v>500</v>
      </c>
      <c r="F83" s="250">
        <f t="shared" si="13"/>
        <v>450</v>
      </c>
      <c r="G83" s="252">
        <f t="shared" si="14"/>
        <v>60</v>
      </c>
      <c r="H83" s="250">
        <f t="shared" si="15"/>
        <v>525</v>
      </c>
      <c r="I83" s="250">
        <f t="shared" si="16"/>
        <v>9900</v>
      </c>
      <c r="J83" s="564">
        <f t="shared" si="35"/>
        <v>10935</v>
      </c>
      <c r="K83" s="1107" t="s">
        <v>1222</v>
      </c>
      <c r="L83" s="1108"/>
    </row>
    <row r="84" spans="1:12" s="565" customFormat="1" ht="15.95" customHeight="1" x14ac:dyDescent="0.2">
      <c r="A84" s="562">
        <v>78</v>
      </c>
      <c r="B84" s="563" t="s">
        <v>195</v>
      </c>
      <c r="C84" s="566">
        <v>200</v>
      </c>
      <c r="D84" s="442">
        <v>500</v>
      </c>
      <c r="E84" s="442">
        <v>500</v>
      </c>
      <c r="F84" s="250">
        <f t="shared" si="13"/>
        <v>450</v>
      </c>
      <c r="G84" s="252">
        <f t="shared" si="14"/>
        <v>60</v>
      </c>
      <c r="H84" s="250">
        <f t="shared" si="15"/>
        <v>525</v>
      </c>
      <c r="I84" s="250">
        <f>825*12</f>
        <v>9900</v>
      </c>
      <c r="J84" s="564">
        <f>SUM(F84:I84)</f>
        <v>10935</v>
      </c>
      <c r="K84" s="1107" t="s">
        <v>1222</v>
      </c>
      <c r="L84" s="1108"/>
    </row>
    <row r="85" spans="1:12" ht="15.95" customHeight="1" thickBot="1" x14ac:dyDescent="0.25">
      <c r="A85" s="66"/>
      <c r="B85" s="40"/>
      <c r="C85" s="363">
        <f>SUM(C35:C84)</f>
        <v>10000</v>
      </c>
      <c r="D85" s="363">
        <f t="shared" ref="D85:J85" si="36">SUM(D35:D84)</f>
        <v>24925</v>
      </c>
      <c r="E85" s="363">
        <f>SUM(E35:E84)</f>
        <v>24925</v>
      </c>
      <c r="F85" s="363">
        <f>SUM(F35:F84)</f>
        <v>22432.5</v>
      </c>
      <c r="G85" s="363">
        <f>SUM(G35:G84)</f>
        <v>2991</v>
      </c>
      <c r="H85" s="363">
        <f t="shared" si="36"/>
        <v>26171.25</v>
      </c>
      <c r="I85" s="363">
        <f t="shared" si="36"/>
        <v>495000</v>
      </c>
      <c r="J85" s="364">
        <f t="shared" si="36"/>
        <v>546594.75</v>
      </c>
    </row>
    <row r="86" spans="1:12" ht="15.95" customHeight="1" thickBot="1" x14ac:dyDescent="0.25">
      <c r="A86" s="1122"/>
      <c r="B86" s="1123"/>
      <c r="C86" s="369">
        <f>C85+C34</f>
        <v>14800</v>
      </c>
      <c r="D86" s="578">
        <f>D85+D34</f>
        <v>44662.5</v>
      </c>
      <c r="E86" s="369">
        <f>E85+E34</f>
        <v>44662.5</v>
      </c>
      <c r="F86" s="369">
        <f>F85+F34</f>
        <v>37946.25</v>
      </c>
      <c r="G86" s="369">
        <f t="shared" ref="G86:J86" si="37">G85+G34</f>
        <v>5059.5</v>
      </c>
      <c r="H86" s="369">
        <f>H85+H34</f>
        <v>46895.625</v>
      </c>
      <c r="I86" s="369">
        <f>I85+I34</f>
        <v>731850</v>
      </c>
      <c r="J86" s="369">
        <f t="shared" si="37"/>
        <v>819126.375</v>
      </c>
    </row>
    <row r="87" spans="1:12" ht="15" x14ac:dyDescent="0.2">
      <c r="A87" s="137"/>
      <c r="B87" s="137"/>
      <c r="D87" s="137"/>
      <c r="E87" s="574">
        <f>E86*12</f>
        <v>535950</v>
      </c>
      <c r="F87" s="137"/>
      <c r="G87" s="137"/>
      <c r="H87" s="137"/>
      <c r="I87" s="137"/>
      <c r="J87" s="137"/>
    </row>
    <row r="88" spans="1:12" x14ac:dyDescent="0.2">
      <c r="E88" s="575" t="s">
        <v>857</v>
      </c>
      <c r="F88" s="667">
        <v>0.25</v>
      </c>
      <c r="G88" s="667">
        <v>0.25</v>
      </c>
      <c r="H88" s="667">
        <v>0.5</v>
      </c>
    </row>
    <row r="89" spans="1:12" x14ac:dyDescent="0.2">
      <c r="D89" s="579" t="s">
        <v>858</v>
      </c>
      <c r="E89" s="308">
        <f>(E87/12)*5</f>
        <v>223312.5</v>
      </c>
      <c r="F89" s="607">
        <v>1</v>
      </c>
      <c r="G89" s="607">
        <v>2</v>
      </c>
      <c r="H89" s="607">
        <v>3</v>
      </c>
    </row>
    <row r="90" spans="1:12" x14ac:dyDescent="0.2">
      <c r="D90" s="579" t="s">
        <v>859</v>
      </c>
      <c r="E90" s="308">
        <f>(E87/12)*7</f>
        <v>312637.5</v>
      </c>
      <c r="F90" s="668">
        <f>E90*F88</f>
        <v>78159.375</v>
      </c>
      <c r="G90" s="668">
        <f>G88*E90</f>
        <v>78159.375</v>
      </c>
      <c r="H90" s="666">
        <f>E90*H88</f>
        <v>156318.75</v>
      </c>
    </row>
    <row r="91" spans="1:12" ht="15.75" thickBot="1" x14ac:dyDescent="0.25">
      <c r="E91" s="606">
        <f>SUM(E89:E90)</f>
        <v>535950</v>
      </c>
    </row>
    <row r="92" spans="1:12" ht="15" customHeight="1" thickBot="1" x14ac:dyDescent="0.25">
      <c r="A92" s="1112" t="s">
        <v>862</v>
      </c>
      <c r="B92" s="1113"/>
      <c r="C92" s="1113"/>
      <c r="D92" s="1113"/>
      <c r="E92" s="1113"/>
      <c r="F92" s="1113"/>
      <c r="G92" s="1113"/>
      <c r="H92" s="1113"/>
      <c r="I92" s="1113"/>
      <c r="J92" s="1114"/>
    </row>
    <row r="93" spans="1:12" ht="15" x14ac:dyDescent="0.2">
      <c r="A93" s="569"/>
      <c r="B93" s="569"/>
      <c r="C93" s="608" t="s">
        <v>861</v>
      </c>
      <c r="D93" s="569"/>
      <c r="E93" s="609"/>
      <c r="F93" s="569"/>
      <c r="G93" s="569"/>
      <c r="H93" s="569"/>
      <c r="I93" s="569"/>
      <c r="J93" s="569"/>
    </row>
    <row r="94" spans="1:12" ht="15.95" customHeight="1" x14ac:dyDescent="0.2">
      <c r="A94" s="246">
        <v>1</v>
      </c>
      <c r="B94" s="130" t="s">
        <v>78</v>
      </c>
      <c r="C94" s="566">
        <v>880</v>
      </c>
      <c r="D94" s="130"/>
      <c r="E94" s="249">
        <v>880</v>
      </c>
      <c r="F94" s="250"/>
      <c r="G94" s="250"/>
      <c r="H94" s="250"/>
      <c r="I94" s="250">
        <f t="shared" ref="I94:I105" si="38">+E94*12</f>
        <v>10560</v>
      </c>
      <c r="J94" s="251">
        <f>SUM(F94:I94)</f>
        <v>10560</v>
      </c>
    </row>
    <row r="95" spans="1:12" ht="15.95" customHeight="1" x14ac:dyDescent="0.2">
      <c r="A95" s="66">
        <v>2</v>
      </c>
      <c r="B95" s="130" t="s">
        <v>78</v>
      </c>
      <c r="C95" s="570">
        <v>880</v>
      </c>
      <c r="D95" s="130"/>
      <c r="E95" s="249">
        <v>880</v>
      </c>
      <c r="F95" s="252">
        <f>E95*7.5/100*12</f>
        <v>792</v>
      </c>
      <c r="G95" s="252">
        <f>E95*1/100*12</f>
        <v>105.60000000000001</v>
      </c>
      <c r="H95" s="252">
        <f>E95*8.75/100*12</f>
        <v>924</v>
      </c>
      <c r="I95" s="252">
        <f t="shared" si="38"/>
        <v>10560</v>
      </c>
      <c r="J95" s="253">
        <f>SUM(F95:I95)</f>
        <v>12381.6</v>
      </c>
    </row>
    <row r="96" spans="1:12" ht="15.95" customHeight="1" x14ac:dyDescent="0.2">
      <c r="A96" s="66">
        <v>3</v>
      </c>
      <c r="B96" s="130" t="s">
        <v>78</v>
      </c>
      <c r="C96" s="570">
        <v>880</v>
      </c>
      <c r="D96" s="130"/>
      <c r="E96" s="249">
        <v>880</v>
      </c>
      <c r="F96" s="252"/>
      <c r="G96" s="252"/>
      <c r="H96" s="252"/>
      <c r="I96" s="252">
        <f t="shared" si="38"/>
        <v>10560</v>
      </c>
      <c r="J96" s="253">
        <f>SUM(F96:I96)</f>
        <v>10560</v>
      </c>
    </row>
    <row r="97" spans="1:10" ht="15.95" customHeight="1" x14ac:dyDescent="0.2">
      <c r="A97" s="66">
        <v>4</v>
      </c>
      <c r="B97" s="130" t="s">
        <v>78</v>
      </c>
      <c r="C97" s="570">
        <v>880</v>
      </c>
      <c r="D97" s="130"/>
      <c r="E97" s="249">
        <v>880</v>
      </c>
      <c r="F97" s="252">
        <f>E97*7.5/100*12</f>
        <v>792</v>
      </c>
      <c r="G97" s="252">
        <f>E97*1/100*12</f>
        <v>105.60000000000001</v>
      </c>
      <c r="H97" s="252">
        <f>E97*8.75/100*12</f>
        <v>924</v>
      </c>
      <c r="I97" s="252">
        <f t="shared" si="38"/>
        <v>10560</v>
      </c>
      <c r="J97" s="253">
        <f>SUM(F97:I97)</f>
        <v>12381.6</v>
      </c>
    </row>
    <row r="98" spans="1:10" ht="15.95" customHeight="1" x14ac:dyDescent="0.2">
      <c r="A98" s="66">
        <v>5</v>
      </c>
      <c r="B98" s="130" t="s">
        <v>78</v>
      </c>
      <c r="C98" s="570">
        <v>880</v>
      </c>
      <c r="D98" s="130"/>
      <c r="E98" s="249">
        <v>880</v>
      </c>
      <c r="F98" s="252">
        <f t="shared" ref="F98:F105" si="39">E98*7.5/100*12</f>
        <v>792</v>
      </c>
      <c r="G98" s="252">
        <f t="shared" ref="G98:G102" si="40">E98*1/100*12</f>
        <v>105.60000000000001</v>
      </c>
      <c r="H98" s="252">
        <f t="shared" ref="H98:H105" si="41">E98*8.75/100*12</f>
        <v>924</v>
      </c>
      <c r="I98" s="252">
        <f t="shared" si="38"/>
        <v>10560</v>
      </c>
      <c r="J98" s="253">
        <f t="shared" ref="J98:J105" si="42">SUM(F98:I98)</f>
        <v>12381.6</v>
      </c>
    </row>
    <row r="99" spans="1:10" ht="15.95" customHeight="1" x14ac:dyDescent="0.2">
      <c r="A99" s="66">
        <v>6</v>
      </c>
      <c r="B99" s="130" t="s">
        <v>78</v>
      </c>
      <c r="C99" s="570">
        <v>880</v>
      </c>
      <c r="D99" s="130"/>
      <c r="E99" s="249">
        <v>880</v>
      </c>
      <c r="F99" s="252">
        <f t="shared" si="39"/>
        <v>792</v>
      </c>
      <c r="G99" s="252">
        <f t="shared" si="40"/>
        <v>105.60000000000001</v>
      </c>
      <c r="H99" s="252">
        <f t="shared" si="41"/>
        <v>924</v>
      </c>
      <c r="I99" s="252">
        <f t="shared" si="38"/>
        <v>10560</v>
      </c>
      <c r="J99" s="253">
        <f t="shared" si="42"/>
        <v>12381.6</v>
      </c>
    </row>
    <row r="100" spans="1:10" ht="15.95" customHeight="1" x14ac:dyDescent="0.2">
      <c r="A100" s="66">
        <v>7</v>
      </c>
      <c r="B100" s="130" t="s">
        <v>78</v>
      </c>
      <c r="C100" s="570">
        <v>880</v>
      </c>
      <c r="D100" s="130"/>
      <c r="E100" s="249">
        <v>880</v>
      </c>
      <c r="F100" s="252">
        <f t="shared" si="39"/>
        <v>792</v>
      </c>
      <c r="G100" s="252">
        <f t="shared" si="40"/>
        <v>105.60000000000001</v>
      </c>
      <c r="H100" s="252">
        <f t="shared" si="41"/>
        <v>924</v>
      </c>
      <c r="I100" s="252">
        <f t="shared" si="38"/>
        <v>10560</v>
      </c>
      <c r="J100" s="253">
        <f t="shared" si="42"/>
        <v>12381.6</v>
      </c>
    </row>
    <row r="101" spans="1:10" ht="15.95" customHeight="1" x14ac:dyDescent="0.2">
      <c r="A101" s="66">
        <v>8</v>
      </c>
      <c r="B101" s="130" t="s">
        <v>78</v>
      </c>
      <c r="C101" s="570">
        <v>880</v>
      </c>
      <c r="D101" s="130"/>
      <c r="E101" s="249">
        <v>880</v>
      </c>
      <c r="F101" s="252">
        <f t="shared" si="39"/>
        <v>792</v>
      </c>
      <c r="G101" s="252">
        <f t="shared" si="40"/>
        <v>105.60000000000001</v>
      </c>
      <c r="H101" s="252">
        <f t="shared" si="41"/>
        <v>924</v>
      </c>
      <c r="I101" s="252">
        <f t="shared" si="38"/>
        <v>10560</v>
      </c>
      <c r="J101" s="253">
        <f t="shared" si="42"/>
        <v>12381.6</v>
      </c>
    </row>
    <row r="102" spans="1:10" ht="15.95" customHeight="1" x14ac:dyDescent="0.2">
      <c r="A102" s="66">
        <v>9</v>
      </c>
      <c r="B102" s="130" t="s">
        <v>78</v>
      </c>
      <c r="C102" s="570">
        <v>880</v>
      </c>
      <c r="D102" s="130"/>
      <c r="E102" s="249">
        <v>880</v>
      </c>
      <c r="F102" s="252">
        <f t="shared" si="39"/>
        <v>792</v>
      </c>
      <c r="G102" s="252">
        <f t="shared" si="40"/>
        <v>105.60000000000001</v>
      </c>
      <c r="H102" s="252">
        <f t="shared" si="41"/>
        <v>924</v>
      </c>
      <c r="I102" s="252">
        <f t="shared" si="38"/>
        <v>10560</v>
      </c>
      <c r="J102" s="253">
        <f t="shared" si="42"/>
        <v>12381.6</v>
      </c>
    </row>
    <row r="103" spans="1:10" ht="15.95" customHeight="1" x14ac:dyDescent="0.2">
      <c r="A103" s="66">
        <v>10</v>
      </c>
      <c r="B103" s="130" t="s">
        <v>78</v>
      </c>
      <c r="C103" s="570">
        <v>880</v>
      </c>
      <c r="D103" s="130"/>
      <c r="E103" s="249">
        <v>880</v>
      </c>
      <c r="F103" s="252"/>
      <c r="G103" s="252"/>
      <c r="H103" s="252"/>
      <c r="I103" s="252">
        <f t="shared" si="38"/>
        <v>10560</v>
      </c>
      <c r="J103" s="253">
        <f>SUM(F103:I103)</f>
        <v>10560</v>
      </c>
    </row>
    <row r="104" spans="1:10" ht="15.95" customHeight="1" x14ac:dyDescent="0.2">
      <c r="A104" s="66">
        <v>11</v>
      </c>
      <c r="B104" s="130" t="s">
        <v>78</v>
      </c>
      <c r="C104" s="570">
        <v>880</v>
      </c>
      <c r="D104" s="130"/>
      <c r="E104" s="249">
        <v>880</v>
      </c>
      <c r="F104" s="252">
        <f t="shared" si="39"/>
        <v>792</v>
      </c>
      <c r="G104" s="252">
        <f>E104*1/100*12</f>
        <v>105.60000000000001</v>
      </c>
      <c r="H104" s="252">
        <f t="shared" si="41"/>
        <v>924</v>
      </c>
      <c r="I104" s="252">
        <f t="shared" si="38"/>
        <v>10560</v>
      </c>
      <c r="J104" s="253">
        <f t="shared" si="42"/>
        <v>12381.6</v>
      </c>
    </row>
    <row r="105" spans="1:10" ht="15.95" customHeight="1" thickBot="1" x14ac:dyDescent="0.25">
      <c r="A105" s="66">
        <v>12</v>
      </c>
      <c r="B105" s="130" t="s">
        <v>78</v>
      </c>
      <c r="C105" s="570">
        <v>880</v>
      </c>
      <c r="D105" s="130" t="s">
        <v>1225</v>
      </c>
      <c r="E105" s="249">
        <v>880</v>
      </c>
      <c r="F105" s="252">
        <f t="shared" si="39"/>
        <v>792</v>
      </c>
      <c r="G105" s="252">
        <f>E105*1/100*12</f>
        <v>105.60000000000001</v>
      </c>
      <c r="H105" s="252">
        <f t="shared" si="41"/>
        <v>924</v>
      </c>
      <c r="I105" s="252">
        <f t="shared" si="38"/>
        <v>10560</v>
      </c>
      <c r="J105" s="253">
        <f t="shared" si="42"/>
        <v>12381.6</v>
      </c>
    </row>
    <row r="106" spans="1:10" ht="15.95" customHeight="1" thickBot="1" x14ac:dyDescent="0.25">
      <c r="A106" s="247"/>
      <c r="B106" s="248"/>
      <c r="C106" s="371">
        <f>SUM(C94:C105)</f>
        <v>10560</v>
      </c>
      <c r="D106" s="903">
        <v>12000</v>
      </c>
      <c r="E106" s="371">
        <f>SUM(E94:E105)</f>
        <v>10560</v>
      </c>
      <c r="F106" s="571">
        <f>SUM(F94:F105)</f>
        <v>7128</v>
      </c>
      <c r="G106" s="571">
        <f>SUM(G94:G105)</f>
        <v>950.40000000000009</v>
      </c>
      <c r="H106" s="571">
        <f>SUM(H94:H105)</f>
        <v>8316</v>
      </c>
      <c r="I106" s="571">
        <f>SUM(I94:I105)</f>
        <v>126720</v>
      </c>
      <c r="J106" s="572">
        <f t="shared" ref="J106" si="43">SUM(J94:J105)</f>
        <v>143114.40000000002</v>
      </c>
    </row>
    <row r="107" spans="1:10" ht="13.5" thickBot="1" x14ac:dyDescent="0.25">
      <c r="C107" s="580">
        <f>C106*12</f>
        <v>126720</v>
      </c>
      <c r="E107" s="573">
        <f>E106+E86</f>
        <v>55222.5</v>
      </c>
      <c r="F107" s="573">
        <f>F106+F86</f>
        <v>45074.25</v>
      </c>
      <c r="G107" s="573">
        <f>G106+G86</f>
        <v>6009.9</v>
      </c>
      <c r="H107" s="573">
        <f>H106+H86</f>
        <v>55211.625</v>
      </c>
      <c r="I107" s="573">
        <f t="shared" ref="I107:J107" si="44">I106+I86</f>
        <v>858570</v>
      </c>
      <c r="J107" s="573">
        <f t="shared" si="44"/>
        <v>962240.77500000002</v>
      </c>
    </row>
    <row r="108" spans="1:10" ht="13.5" thickTop="1" x14ac:dyDescent="0.2">
      <c r="B108" s="579" t="s">
        <v>859</v>
      </c>
      <c r="C108" s="308">
        <f>(C107/12)*5</f>
        <v>52800</v>
      </c>
      <c r="F108" s="580">
        <f>F107+G107</f>
        <v>51084.15</v>
      </c>
      <c r="H108" s="580">
        <f>H107</f>
        <v>55211.625</v>
      </c>
    </row>
    <row r="109" spans="1:10" x14ac:dyDescent="0.2">
      <c r="B109" s="579" t="s">
        <v>860</v>
      </c>
      <c r="C109" s="308">
        <f>(C107/12)*7</f>
        <v>73920</v>
      </c>
      <c r="E109" s="579" t="s">
        <v>860</v>
      </c>
      <c r="F109" s="908">
        <f>(F108/12)*5</f>
        <v>21285.0625</v>
      </c>
      <c r="H109" s="908">
        <f>(H108/12)*5</f>
        <v>23004.84375</v>
      </c>
    </row>
    <row r="110" spans="1:10" ht="15.75" thickBot="1" x14ac:dyDescent="0.25">
      <c r="C110" s="581">
        <f>SUM(C108:C109)</f>
        <v>126720</v>
      </c>
      <c r="E110" s="579" t="s">
        <v>869</v>
      </c>
      <c r="F110" s="308">
        <f>(F108/12)*7</f>
        <v>29799.087499999998</v>
      </c>
      <c r="G110" s="147"/>
      <c r="H110" s="308">
        <f>(H108/12)*7</f>
        <v>32206.78125</v>
      </c>
    </row>
    <row r="111" spans="1:10" ht="16.5" thickTop="1" thickBot="1" x14ac:dyDescent="0.25">
      <c r="F111" s="622">
        <f>SUM(F109:F110)</f>
        <v>51084.149999999994</v>
      </c>
      <c r="G111" s="147"/>
      <c r="H111" s="621">
        <f>SUM(H109:H110)</f>
        <v>55211.625</v>
      </c>
    </row>
    <row r="112" spans="1:10" ht="14.25" thickTop="1" thickBot="1" x14ac:dyDescent="0.25">
      <c r="E112" s="92"/>
      <c r="F112" s="146"/>
      <c r="G112" s="147"/>
    </row>
    <row r="113" spans="1:4" ht="13.5" thickBot="1" x14ac:dyDescent="0.25">
      <c r="A113" s="610" t="s">
        <v>864</v>
      </c>
      <c r="B113" s="611"/>
      <c r="C113" s="611" t="s">
        <v>866</v>
      </c>
      <c r="D113" s="611" t="s">
        <v>867</v>
      </c>
    </row>
    <row r="114" spans="1:4" x14ac:dyDescent="0.2">
      <c r="A114" s="569"/>
      <c r="B114" s="569"/>
      <c r="C114" s="608" t="s">
        <v>865</v>
      </c>
      <c r="D114" s="608" t="s">
        <v>865</v>
      </c>
    </row>
    <row r="115" spans="1:4" x14ac:dyDescent="0.2">
      <c r="A115" s="246">
        <v>1</v>
      </c>
      <c r="B115" s="130" t="s">
        <v>78</v>
      </c>
      <c r="C115" s="566">
        <v>400</v>
      </c>
      <c r="D115" s="566">
        <f>C115*12</f>
        <v>4800</v>
      </c>
    </row>
    <row r="116" spans="1:4" x14ac:dyDescent="0.2">
      <c r="A116" s="66">
        <v>2</v>
      </c>
      <c r="B116" s="130" t="s">
        <v>78</v>
      </c>
      <c r="C116" s="570">
        <v>400</v>
      </c>
      <c r="D116" s="566">
        <f>C116*12</f>
        <v>4800</v>
      </c>
    </row>
    <row r="117" spans="1:4" ht="13.5" thickBot="1" x14ac:dyDescent="0.25">
      <c r="B117" s="612"/>
      <c r="C117" s="613">
        <f>SUM(C115:C116)</f>
        <v>800</v>
      </c>
      <c r="D117" s="613">
        <f>SUM(D115:D116)</f>
        <v>9600</v>
      </c>
    </row>
    <row r="118" spans="1:4" ht="14.25" thickTop="1" thickBot="1" x14ac:dyDescent="0.25"/>
    <row r="119" spans="1:4" ht="13.5" thickBot="1" x14ac:dyDescent="0.25">
      <c r="A119" s="610" t="s">
        <v>863</v>
      </c>
      <c r="B119" s="611"/>
      <c r="C119" s="611" t="s">
        <v>866</v>
      </c>
      <c r="D119" s="611" t="s">
        <v>867</v>
      </c>
    </row>
    <row r="120" spans="1:4" x14ac:dyDescent="0.2">
      <c r="A120" s="569"/>
      <c r="B120" s="569"/>
      <c r="C120" s="608" t="s">
        <v>865</v>
      </c>
      <c r="D120" s="608" t="s">
        <v>865</v>
      </c>
    </row>
    <row r="121" spans="1:4" x14ac:dyDescent="0.2">
      <c r="A121" s="246">
        <v>1</v>
      </c>
      <c r="B121" s="130" t="s">
        <v>78</v>
      </c>
      <c r="C121" s="566">
        <v>100</v>
      </c>
      <c r="D121" s="566">
        <f>C121*12</f>
        <v>1200</v>
      </c>
    </row>
    <row r="122" spans="1:4" x14ac:dyDescent="0.2">
      <c r="A122" s="66">
        <v>2</v>
      </c>
      <c r="B122" s="130" t="s">
        <v>78</v>
      </c>
      <c r="C122" s="570">
        <v>100</v>
      </c>
      <c r="D122" s="566">
        <f>C122*12</f>
        <v>1200</v>
      </c>
    </row>
    <row r="123" spans="1:4" ht="13.5" thickBot="1" x14ac:dyDescent="0.25">
      <c r="B123" s="612"/>
      <c r="C123" s="613">
        <f>SUM(C121:C122)</f>
        <v>200</v>
      </c>
      <c r="D123" s="613">
        <f>SUM(D121:D122)</f>
        <v>2400</v>
      </c>
    </row>
    <row r="124" spans="1:4" ht="13.5" thickTop="1" x14ac:dyDescent="0.2"/>
    <row r="125" spans="1:4" ht="13.5" thickBot="1" x14ac:dyDescent="0.25"/>
    <row r="126" spans="1:4" ht="13.5" thickBot="1" x14ac:dyDescent="0.25">
      <c r="A126" s="610" t="s">
        <v>868</v>
      </c>
      <c r="B126" s="611"/>
      <c r="C126" s="611" t="s">
        <v>866</v>
      </c>
      <c r="D126" s="611" t="s">
        <v>867</v>
      </c>
    </row>
    <row r="127" spans="1:4" x14ac:dyDescent="0.2">
      <c r="A127" s="569"/>
      <c r="B127" s="569"/>
      <c r="C127" s="608" t="s">
        <v>865</v>
      </c>
      <c r="D127" s="608" t="s">
        <v>865</v>
      </c>
    </row>
    <row r="128" spans="1:4" x14ac:dyDescent="0.2">
      <c r="A128" s="246">
        <v>1</v>
      </c>
      <c r="B128" s="130">
        <v>201</v>
      </c>
      <c r="C128" s="566">
        <v>84</v>
      </c>
      <c r="D128" s="566">
        <f>C128*12</f>
        <v>1008</v>
      </c>
    </row>
    <row r="129" spans="2:4" ht="13.5" thickBot="1" x14ac:dyDescent="0.25">
      <c r="B129" s="612"/>
      <c r="C129" s="613">
        <f>SUM(C128:C128)</f>
        <v>84</v>
      </c>
      <c r="D129" s="613">
        <f>SUM(D128:D128)</f>
        <v>1008</v>
      </c>
    </row>
    <row r="130" spans="2:4" ht="13.5" thickTop="1" x14ac:dyDescent="0.2"/>
  </sheetData>
  <mergeCells count="24">
    <mergeCell ref="A92:J92"/>
    <mergeCell ref="A1:J1"/>
    <mergeCell ref="A2:J2"/>
    <mergeCell ref="A3:J3"/>
    <mergeCell ref="A4:A6"/>
    <mergeCell ref="B4:B6"/>
    <mergeCell ref="A86:B86"/>
    <mergeCell ref="G5:G6"/>
    <mergeCell ref="F5:F6"/>
    <mergeCell ref="J4:J6"/>
    <mergeCell ref="F4:I4"/>
    <mergeCell ref="H5:H6"/>
    <mergeCell ref="I5:I6"/>
    <mergeCell ref="E4:E6"/>
    <mergeCell ref="K82:L82"/>
    <mergeCell ref="K83:L83"/>
    <mergeCell ref="K84:L84"/>
    <mergeCell ref="C4:C6"/>
    <mergeCell ref="D4:D6"/>
    <mergeCell ref="K77:L77"/>
    <mergeCell ref="K78:L78"/>
    <mergeCell ref="K79:L79"/>
    <mergeCell ref="K80:L80"/>
    <mergeCell ref="K81:L81"/>
  </mergeCells>
  <phoneticPr fontId="48" type="noConversion"/>
  <pageMargins left="0.70866141732283472" right="0.70866141732283472" top="0.74803149606299213" bottom="0.74803149606299213" header="0.31496062992125984" footer="0.31496062992125984"/>
  <pageSetup paperSize="5" scale="84" fitToHeight="0" orientation="portrait" r:id="rId1"/>
  <rowBreaks count="1" manualBreakCount="1">
    <brk id="57" max="1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53"/>
  <sheetViews>
    <sheetView view="pageBreakPreview" zoomScale="86" zoomScaleNormal="100" zoomScaleSheetLayoutView="86" workbookViewId="0">
      <selection sqref="A1:D1"/>
    </sheetView>
  </sheetViews>
  <sheetFormatPr baseColWidth="10" defaultColWidth="11.42578125" defaultRowHeight="12.75" x14ac:dyDescent="0.2"/>
  <cols>
    <col min="1" max="1" width="4.5703125" style="23" customWidth="1"/>
    <col min="2" max="2" width="4.42578125" style="23" customWidth="1"/>
    <col min="3" max="4" width="4.5703125" style="23" customWidth="1"/>
    <col min="5" max="5" width="6.140625" style="23" customWidth="1"/>
    <col min="6" max="6" width="10.28515625" style="23" customWidth="1"/>
    <col min="7" max="7" width="51.42578125" style="19" customWidth="1"/>
    <col min="8" max="8" width="21.28515625" style="4" customWidth="1"/>
    <col min="9" max="9" width="11.42578125" style="64"/>
    <col min="10" max="10" width="14.7109375" style="152" bestFit="1" customWidth="1"/>
    <col min="11" max="11" width="13.7109375" style="21" bestFit="1" customWidth="1"/>
    <col min="12" max="16384" width="11.42578125" style="21"/>
  </cols>
  <sheetData>
    <row r="1" spans="1:11" ht="20.25" x14ac:dyDescent="0.25">
      <c r="A1" s="1046"/>
      <c r="B1" s="1046"/>
      <c r="C1" s="1046"/>
      <c r="D1" s="1046"/>
      <c r="E1" s="1046"/>
      <c r="F1" s="1046"/>
      <c r="G1" s="1046"/>
      <c r="H1" s="1046"/>
      <c r="I1" s="161"/>
    </row>
    <row r="2" spans="1:11" ht="18" x14ac:dyDescent="0.2">
      <c r="A2" s="1045" t="s">
        <v>329</v>
      </c>
      <c r="B2" s="1045"/>
      <c r="C2" s="1045"/>
      <c r="D2" s="1045"/>
      <c r="E2" s="1045"/>
      <c r="F2" s="1045"/>
      <c r="G2" s="1045"/>
      <c r="H2" s="1045"/>
      <c r="I2" s="1045"/>
    </row>
    <row r="3" spans="1:11" ht="15.75" x14ac:dyDescent="0.25">
      <c r="A3" s="1062" t="s">
        <v>192</v>
      </c>
      <c r="B3" s="1063"/>
      <c r="C3" s="1063"/>
      <c r="D3" s="1063"/>
      <c r="E3" s="1063"/>
      <c r="F3" s="1063"/>
      <c r="G3" s="1063"/>
      <c r="H3" s="1063"/>
      <c r="K3" s="63"/>
    </row>
    <row r="4" spans="1:11" ht="15.75" x14ac:dyDescent="0.25">
      <c r="A4" s="1062" t="s">
        <v>592</v>
      </c>
      <c r="B4" s="1063"/>
      <c r="C4" s="1063"/>
      <c r="D4" s="1063"/>
      <c r="E4" s="1063"/>
      <c r="F4" s="1063"/>
      <c r="G4" s="1063"/>
      <c r="H4" s="1063"/>
      <c r="K4" s="63"/>
    </row>
    <row r="5" spans="1:11" ht="15" x14ac:dyDescent="0.2">
      <c r="A5" s="1076" t="s">
        <v>7</v>
      </c>
      <c r="B5" s="1077"/>
      <c r="C5" s="1077"/>
      <c r="D5" s="1077"/>
      <c r="E5" s="1077"/>
      <c r="F5" s="1077"/>
      <c r="G5" s="1077"/>
      <c r="H5" s="1077"/>
    </row>
    <row r="6" spans="1:11" ht="8.25" customHeight="1" x14ac:dyDescent="0.25">
      <c r="A6" s="1080"/>
      <c r="B6" s="1081"/>
      <c r="C6" s="1081"/>
      <c r="D6" s="1081"/>
      <c r="E6" s="1081"/>
      <c r="F6" s="1081"/>
      <c r="G6" s="1081"/>
      <c r="H6" s="1081"/>
    </row>
    <row r="7" spans="1:11" ht="15.75" x14ac:dyDescent="0.25">
      <c r="A7" s="1098" t="s">
        <v>155</v>
      </c>
      <c r="B7" s="1098"/>
      <c r="C7" s="1098"/>
      <c r="D7" s="1098"/>
      <c r="E7" s="1098"/>
      <c r="F7" s="1098"/>
      <c r="G7" s="1098"/>
      <c r="H7" s="1098"/>
      <c r="K7" s="63"/>
    </row>
    <row r="8" spans="1:11" ht="16.5" thickBot="1" x14ac:dyDescent="0.3">
      <c r="A8" s="1099" t="s">
        <v>624</v>
      </c>
      <c r="B8" s="1099"/>
      <c r="C8" s="1099"/>
      <c r="D8" s="1099"/>
      <c r="E8" s="1099"/>
      <c r="F8" s="1099"/>
      <c r="G8" s="1099"/>
      <c r="H8" s="1099"/>
      <c r="K8" s="63"/>
    </row>
    <row r="9" spans="1:11" ht="15.75" thickBot="1" x14ac:dyDescent="0.3">
      <c r="A9" s="1100" t="s">
        <v>0</v>
      </c>
      <c r="B9" s="1101"/>
      <c r="C9" s="1101"/>
      <c r="D9" s="1101"/>
      <c r="E9" s="1101"/>
      <c r="F9" s="1101"/>
      <c r="G9" s="1072" t="s">
        <v>130</v>
      </c>
      <c r="H9" s="1074" t="s">
        <v>131</v>
      </c>
      <c r="K9" s="63"/>
    </row>
    <row r="10" spans="1:11" ht="200.25" customHeight="1" thickBot="1" x14ac:dyDescent="0.25">
      <c r="A10" s="235" t="s">
        <v>124</v>
      </c>
      <c r="B10" s="236" t="s">
        <v>125</v>
      </c>
      <c r="C10" s="236" t="s">
        <v>104</v>
      </c>
      <c r="D10" s="236" t="s">
        <v>126</v>
      </c>
      <c r="E10" s="237" t="s">
        <v>132</v>
      </c>
      <c r="F10" s="238" t="s">
        <v>89</v>
      </c>
      <c r="G10" s="1073"/>
      <c r="H10" s="1075"/>
      <c r="J10" s="157"/>
    </row>
    <row r="11" spans="1:11" ht="15.75" customHeight="1" x14ac:dyDescent="0.2">
      <c r="A11" s="8">
        <v>3</v>
      </c>
      <c r="B11" s="1" t="s">
        <v>47</v>
      </c>
      <c r="C11" s="10" t="s">
        <v>193</v>
      </c>
      <c r="D11" s="1" t="s">
        <v>46</v>
      </c>
      <c r="E11" s="10" t="s">
        <v>617</v>
      </c>
      <c r="F11" s="200" t="s">
        <v>152</v>
      </c>
      <c r="G11" s="201" t="s">
        <v>134</v>
      </c>
      <c r="H11" s="199"/>
    </row>
    <row r="12" spans="1:11" ht="15.75" customHeight="1" x14ac:dyDescent="0.2">
      <c r="A12" s="8">
        <v>3</v>
      </c>
      <c r="B12" s="1" t="s">
        <v>47</v>
      </c>
      <c r="C12" s="10" t="s">
        <v>193</v>
      </c>
      <c r="D12" s="1" t="s">
        <v>46</v>
      </c>
      <c r="E12" s="10" t="s">
        <v>617</v>
      </c>
      <c r="F12" s="200" t="s">
        <v>625</v>
      </c>
      <c r="G12" s="201" t="s">
        <v>626</v>
      </c>
      <c r="H12" s="199"/>
    </row>
    <row r="13" spans="1:11" ht="15.75" customHeight="1" x14ac:dyDescent="0.2">
      <c r="A13" s="8">
        <v>3</v>
      </c>
      <c r="B13" s="1" t="s">
        <v>47</v>
      </c>
      <c r="C13" s="10" t="s">
        <v>193</v>
      </c>
      <c r="D13" s="1" t="s">
        <v>46</v>
      </c>
      <c r="E13" s="10" t="s">
        <v>617</v>
      </c>
      <c r="F13" s="2">
        <v>54110</v>
      </c>
      <c r="G13" s="6" t="s">
        <v>36</v>
      </c>
      <c r="H13" s="186"/>
    </row>
    <row r="14" spans="1:11" ht="15.75" customHeight="1" x14ac:dyDescent="0.2">
      <c r="A14" s="8">
        <v>3</v>
      </c>
      <c r="B14" s="1" t="s">
        <v>47</v>
      </c>
      <c r="C14" s="10" t="s">
        <v>193</v>
      </c>
      <c r="D14" s="1" t="s">
        <v>46</v>
      </c>
      <c r="E14" s="10" t="s">
        <v>617</v>
      </c>
      <c r="F14" s="2">
        <v>54111</v>
      </c>
      <c r="G14" s="6" t="s">
        <v>42</v>
      </c>
      <c r="H14" s="186"/>
    </row>
    <row r="15" spans="1:11" ht="15.75" customHeight="1" x14ac:dyDescent="0.2">
      <c r="A15" s="8">
        <v>3</v>
      </c>
      <c r="B15" s="1" t="s">
        <v>47</v>
      </c>
      <c r="C15" s="10" t="s">
        <v>193</v>
      </c>
      <c r="D15" s="1" t="s">
        <v>46</v>
      </c>
      <c r="E15" s="10" t="s">
        <v>617</v>
      </c>
      <c r="F15" s="2">
        <v>54112</v>
      </c>
      <c r="G15" s="6" t="s">
        <v>41</v>
      </c>
      <c r="H15" s="186"/>
    </row>
    <row r="16" spans="1:11" ht="15.75" customHeight="1" x14ac:dyDescent="0.2">
      <c r="A16" s="8">
        <v>3</v>
      </c>
      <c r="B16" s="1" t="s">
        <v>47</v>
      </c>
      <c r="C16" s="10" t="s">
        <v>193</v>
      </c>
      <c r="D16" s="1" t="s">
        <v>46</v>
      </c>
      <c r="E16" s="10" t="s">
        <v>617</v>
      </c>
      <c r="F16" s="2">
        <v>54118</v>
      </c>
      <c r="G16" s="6" t="s">
        <v>320</v>
      </c>
      <c r="H16" s="186"/>
    </row>
    <row r="17" spans="1:10" ht="15.75" customHeight="1" x14ac:dyDescent="0.2">
      <c r="A17" s="8">
        <v>3</v>
      </c>
      <c r="B17" s="1" t="s">
        <v>47</v>
      </c>
      <c r="C17" s="10" t="s">
        <v>193</v>
      </c>
      <c r="D17" s="1" t="s">
        <v>46</v>
      </c>
      <c r="E17" s="10" t="s">
        <v>617</v>
      </c>
      <c r="F17" s="2">
        <v>54119</v>
      </c>
      <c r="G17" s="6" t="s">
        <v>79</v>
      </c>
      <c r="H17" s="186"/>
      <c r="J17" s="158"/>
    </row>
    <row r="18" spans="1:10" ht="15.75" customHeight="1" x14ac:dyDescent="0.2">
      <c r="A18" s="8">
        <v>3</v>
      </c>
      <c r="B18" s="1" t="s">
        <v>47</v>
      </c>
      <c r="C18" s="10" t="s">
        <v>193</v>
      </c>
      <c r="D18" s="1" t="s">
        <v>46</v>
      </c>
      <c r="E18" s="10" t="s">
        <v>617</v>
      </c>
      <c r="F18" s="2">
        <v>54199</v>
      </c>
      <c r="G18" s="6" t="s">
        <v>88</v>
      </c>
      <c r="H18" s="186"/>
    </row>
    <row r="19" spans="1:10" ht="15.75" customHeight="1" x14ac:dyDescent="0.2">
      <c r="A19" s="8">
        <v>3</v>
      </c>
      <c r="B19" s="1" t="s">
        <v>47</v>
      </c>
      <c r="C19" s="10" t="s">
        <v>193</v>
      </c>
      <c r="D19" s="1" t="s">
        <v>46</v>
      </c>
      <c r="E19" s="10" t="s">
        <v>617</v>
      </c>
      <c r="F19" s="2">
        <v>54302</v>
      </c>
      <c r="G19" s="6" t="s">
        <v>43</v>
      </c>
      <c r="H19" s="186"/>
    </row>
    <row r="20" spans="1:10" ht="15.75" customHeight="1" x14ac:dyDescent="0.2">
      <c r="A20" s="8">
        <v>3</v>
      </c>
      <c r="B20" s="1" t="s">
        <v>47</v>
      </c>
      <c r="C20" s="10" t="s">
        <v>193</v>
      </c>
      <c r="D20" s="1" t="s">
        <v>46</v>
      </c>
      <c r="E20" s="10" t="s">
        <v>617</v>
      </c>
      <c r="F20" s="2">
        <v>54304</v>
      </c>
      <c r="G20" s="6" t="s">
        <v>76</v>
      </c>
      <c r="H20" s="186"/>
    </row>
    <row r="21" spans="1:10" ht="15.75" customHeight="1" x14ac:dyDescent="0.2">
      <c r="A21" s="8">
        <v>3</v>
      </c>
      <c r="B21" s="1" t="s">
        <v>47</v>
      </c>
      <c r="C21" s="10" t="s">
        <v>193</v>
      </c>
      <c r="D21" s="1" t="s">
        <v>46</v>
      </c>
      <c r="E21" s="10" t="s">
        <v>617</v>
      </c>
      <c r="F21" s="2">
        <v>54316</v>
      </c>
      <c r="G21" s="6" t="s">
        <v>159</v>
      </c>
      <c r="H21" s="186"/>
    </row>
    <row r="22" spans="1:10" ht="15.75" customHeight="1" x14ac:dyDescent="0.2">
      <c r="A22" s="8">
        <v>3</v>
      </c>
      <c r="B22" s="1" t="s">
        <v>47</v>
      </c>
      <c r="C22" s="10" t="s">
        <v>193</v>
      </c>
      <c r="D22" s="1" t="s">
        <v>46</v>
      </c>
      <c r="E22" s="10" t="s">
        <v>617</v>
      </c>
      <c r="F22" s="2">
        <v>54399</v>
      </c>
      <c r="G22" s="6" t="s">
        <v>160</v>
      </c>
      <c r="H22" s="186"/>
    </row>
    <row r="23" spans="1:10" ht="15.75" customHeight="1" x14ac:dyDescent="0.2">
      <c r="A23" s="8">
        <v>3</v>
      </c>
      <c r="B23" s="1" t="s">
        <v>47</v>
      </c>
      <c r="C23" s="10" t="s">
        <v>193</v>
      </c>
      <c r="D23" s="1" t="s">
        <v>46</v>
      </c>
      <c r="E23" s="10" t="s">
        <v>617</v>
      </c>
      <c r="F23" s="2">
        <v>54599</v>
      </c>
      <c r="G23" s="6" t="s">
        <v>162</v>
      </c>
      <c r="H23" s="186"/>
    </row>
    <row r="24" spans="1:10" ht="15.75" customHeight="1" x14ac:dyDescent="0.2">
      <c r="A24" s="8">
        <v>3</v>
      </c>
      <c r="B24" s="1" t="s">
        <v>47</v>
      </c>
      <c r="C24" s="10" t="s">
        <v>193</v>
      </c>
      <c r="D24" s="1" t="s">
        <v>46</v>
      </c>
      <c r="E24" s="10" t="s">
        <v>617</v>
      </c>
      <c r="F24" s="2">
        <v>54603</v>
      </c>
      <c r="G24" s="6" t="s">
        <v>281</v>
      </c>
      <c r="H24" s="186"/>
    </row>
    <row r="25" spans="1:10" ht="15.75" customHeight="1" x14ac:dyDescent="0.2">
      <c r="A25" s="8">
        <v>3</v>
      </c>
      <c r="B25" s="1" t="s">
        <v>47</v>
      </c>
      <c r="C25" s="10" t="s">
        <v>193</v>
      </c>
      <c r="D25" s="1" t="s">
        <v>46</v>
      </c>
      <c r="E25" s="10" t="s">
        <v>617</v>
      </c>
      <c r="F25" s="2">
        <v>54699</v>
      </c>
      <c r="G25" s="6" t="s">
        <v>23</v>
      </c>
      <c r="H25" s="186"/>
    </row>
    <row r="26" spans="1:10" ht="15.75" customHeight="1" x14ac:dyDescent="0.2">
      <c r="A26" s="8">
        <v>3</v>
      </c>
      <c r="B26" s="1" t="s">
        <v>47</v>
      </c>
      <c r="C26" s="10" t="s">
        <v>193</v>
      </c>
      <c r="D26" s="1" t="s">
        <v>46</v>
      </c>
      <c r="E26" s="10" t="s">
        <v>617</v>
      </c>
      <c r="F26" s="2">
        <v>61101</v>
      </c>
      <c r="G26" s="6" t="s">
        <v>150</v>
      </c>
      <c r="H26" s="186"/>
    </row>
    <row r="27" spans="1:10" ht="15.75" customHeight="1" x14ac:dyDescent="0.2">
      <c r="A27" s="8">
        <v>3</v>
      </c>
      <c r="B27" s="1" t="s">
        <v>47</v>
      </c>
      <c r="C27" s="10" t="s">
        <v>193</v>
      </c>
      <c r="D27" s="1" t="s">
        <v>46</v>
      </c>
      <c r="E27" s="10" t="s">
        <v>617</v>
      </c>
      <c r="F27" s="2">
        <v>61102</v>
      </c>
      <c r="G27" s="6" t="s">
        <v>165</v>
      </c>
      <c r="H27" s="186"/>
    </row>
    <row r="28" spans="1:10" ht="15.75" customHeight="1" x14ac:dyDescent="0.2">
      <c r="A28" s="8">
        <v>3</v>
      </c>
      <c r="B28" s="1" t="s">
        <v>47</v>
      </c>
      <c r="C28" s="10" t="s">
        <v>193</v>
      </c>
      <c r="D28" s="1" t="s">
        <v>46</v>
      </c>
      <c r="E28" s="10" t="s">
        <v>617</v>
      </c>
      <c r="F28" s="2">
        <v>61104</v>
      </c>
      <c r="G28" s="6" t="s">
        <v>313</v>
      </c>
      <c r="H28" s="186"/>
    </row>
    <row r="29" spans="1:10" ht="15.75" customHeight="1" x14ac:dyDescent="0.2">
      <c r="A29" s="8">
        <v>3</v>
      </c>
      <c r="B29" s="1" t="s">
        <v>47</v>
      </c>
      <c r="C29" s="10" t="s">
        <v>193</v>
      </c>
      <c r="D29" s="1" t="s">
        <v>46</v>
      </c>
      <c r="E29" s="10" t="s">
        <v>617</v>
      </c>
      <c r="F29" s="2">
        <v>61105</v>
      </c>
      <c r="G29" s="6" t="s">
        <v>493</v>
      </c>
      <c r="H29" s="186"/>
    </row>
    <row r="30" spans="1:10" ht="15.75" customHeight="1" x14ac:dyDescent="0.2">
      <c r="A30" s="8">
        <v>3</v>
      </c>
      <c r="B30" s="1" t="s">
        <v>47</v>
      </c>
      <c r="C30" s="10" t="s">
        <v>193</v>
      </c>
      <c r="D30" s="1" t="s">
        <v>46</v>
      </c>
      <c r="E30" s="10" t="s">
        <v>617</v>
      </c>
      <c r="F30" s="2">
        <v>61109</v>
      </c>
      <c r="G30" s="6" t="s">
        <v>495</v>
      </c>
      <c r="H30" s="186"/>
    </row>
    <row r="31" spans="1:10" ht="15.75" customHeight="1" x14ac:dyDescent="0.2">
      <c r="A31" s="8">
        <v>3</v>
      </c>
      <c r="B31" s="1" t="s">
        <v>47</v>
      </c>
      <c r="C31" s="10" t="s">
        <v>193</v>
      </c>
      <c r="D31" s="1" t="s">
        <v>46</v>
      </c>
      <c r="E31" s="10" t="s">
        <v>617</v>
      </c>
      <c r="F31" s="2">
        <v>61199</v>
      </c>
      <c r="G31" s="6" t="s">
        <v>149</v>
      </c>
      <c r="H31" s="186"/>
    </row>
    <row r="32" spans="1:10" ht="15.75" customHeight="1" x14ac:dyDescent="0.2">
      <c r="A32" s="8">
        <v>3</v>
      </c>
      <c r="B32" s="1" t="s">
        <v>47</v>
      </c>
      <c r="C32" s="10" t="s">
        <v>193</v>
      </c>
      <c r="D32" s="1" t="s">
        <v>46</v>
      </c>
      <c r="E32" s="10" t="s">
        <v>617</v>
      </c>
      <c r="F32" s="2">
        <v>61501</v>
      </c>
      <c r="G32" s="314" t="s">
        <v>216</v>
      </c>
      <c r="H32" s="186"/>
    </row>
    <row r="33" spans="1:11" ht="15.75" customHeight="1" x14ac:dyDescent="0.2">
      <c r="A33" s="8">
        <v>3</v>
      </c>
      <c r="B33" s="1" t="s">
        <v>47</v>
      </c>
      <c r="C33" s="10" t="s">
        <v>193</v>
      </c>
      <c r="D33" s="1" t="s">
        <v>46</v>
      </c>
      <c r="E33" s="10" t="s">
        <v>617</v>
      </c>
      <c r="F33" s="2">
        <v>61502</v>
      </c>
      <c r="G33" s="6" t="s">
        <v>217</v>
      </c>
      <c r="H33" s="186"/>
    </row>
    <row r="34" spans="1:11" ht="15.75" customHeight="1" x14ac:dyDescent="0.2">
      <c r="A34" s="8">
        <v>3</v>
      </c>
      <c r="B34" s="1" t="s">
        <v>47</v>
      </c>
      <c r="C34" s="10" t="s">
        <v>193</v>
      </c>
      <c r="D34" s="1" t="s">
        <v>46</v>
      </c>
      <c r="E34" s="10" t="s">
        <v>617</v>
      </c>
      <c r="F34" s="2">
        <v>61503</v>
      </c>
      <c r="G34" s="6" t="s">
        <v>218</v>
      </c>
      <c r="H34" s="186"/>
    </row>
    <row r="35" spans="1:11" ht="15.75" customHeight="1" x14ac:dyDescent="0.2">
      <c r="A35" s="8">
        <v>3</v>
      </c>
      <c r="B35" s="1" t="s">
        <v>47</v>
      </c>
      <c r="C35" s="10" t="s">
        <v>193</v>
      </c>
      <c r="D35" s="1" t="s">
        <v>46</v>
      </c>
      <c r="E35" s="10" t="s">
        <v>617</v>
      </c>
      <c r="F35" s="2">
        <v>61599</v>
      </c>
      <c r="G35" s="6" t="s">
        <v>166</v>
      </c>
      <c r="H35" s="186">
        <f>50026.87+42.06</f>
        <v>50068.93</v>
      </c>
    </row>
    <row r="36" spans="1:11" ht="15.75" customHeight="1" x14ac:dyDescent="0.2">
      <c r="A36" s="8">
        <v>3</v>
      </c>
      <c r="B36" s="1" t="s">
        <v>47</v>
      </c>
      <c r="C36" s="10" t="s">
        <v>193</v>
      </c>
      <c r="D36" s="1" t="s">
        <v>46</v>
      </c>
      <c r="E36" s="10" t="s">
        <v>617</v>
      </c>
      <c r="F36" s="2">
        <v>61601</v>
      </c>
      <c r="G36" s="6" t="s">
        <v>167</v>
      </c>
      <c r="H36" s="186">
        <f>223894.83</f>
        <v>223894.83</v>
      </c>
    </row>
    <row r="37" spans="1:11" ht="15.75" customHeight="1" x14ac:dyDescent="0.2">
      <c r="A37" s="8">
        <v>3</v>
      </c>
      <c r="B37" s="1" t="s">
        <v>47</v>
      </c>
      <c r="C37" s="10" t="s">
        <v>193</v>
      </c>
      <c r="D37" s="1" t="s">
        <v>46</v>
      </c>
      <c r="E37" s="10" t="s">
        <v>617</v>
      </c>
      <c r="F37" s="2">
        <v>61602</v>
      </c>
      <c r="G37" s="6" t="s">
        <v>219</v>
      </c>
      <c r="H37" s="186"/>
    </row>
    <row r="38" spans="1:11" ht="15.75" customHeight="1" x14ac:dyDescent="0.2">
      <c r="A38" s="8">
        <v>3</v>
      </c>
      <c r="B38" s="1" t="s">
        <v>47</v>
      </c>
      <c r="C38" s="10" t="s">
        <v>193</v>
      </c>
      <c r="D38" s="1" t="s">
        <v>46</v>
      </c>
      <c r="E38" s="10" t="s">
        <v>617</v>
      </c>
      <c r="F38" s="2">
        <v>61603</v>
      </c>
      <c r="G38" s="6" t="s">
        <v>220</v>
      </c>
      <c r="H38" s="186"/>
    </row>
    <row r="39" spans="1:11" ht="15.75" customHeight="1" x14ac:dyDescent="0.2">
      <c r="A39" s="8">
        <v>3</v>
      </c>
      <c r="B39" s="1" t="s">
        <v>47</v>
      </c>
      <c r="C39" s="10" t="s">
        <v>193</v>
      </c>
      <c r="D39" s="1" t="s">
        <v>46</v>
      </c>
      <c r="E39" s="10" t="s">
        <v>617</v>
      </c>
      <c r="F39" s="2">
        <v>61604</v>
      </c>
      <c r="G39" s="6" t="s">
        <v>221</v>
      </c>
      <c r="H39" s="186"/>
    </row>
    <row r="40" spans="1:11" ht="15.75" customHeight="1" x14ac:dyDescent="0.2">
      <c r="A40" s="8">
        <v>3</v>
      </c>
      <c r="B40" s="1" t="s">
        <v>47</v>
      </c>
      <c r="C40" s="10" t="s">
        <v>193</v>
      </c>
      <c r="D40" s="1" t="s">
        <v>46</v>
      </c>
      <c r="E40" s="10" t="s">
        <v>617</v>
      </c>
      <c r="F40" s="2">
        <v>61606</v>
      </c>
      <c r="G40" s="6" t="s">
        <v>222</v>
      </c>
      <c r="H40" s="186"/>
    </row>
    <row r="41" spans="1:11" ht="15.75" customHeight="1" x14ac:dyDescent="0.2">
      <c r="A41" s="8">
        <v>3</v>
      </c>
      <c r="B41" s="1" t="s">
        <v>47</v>
      </c>
      <c r="C41" s="10" t="s">
        <v>193</v>
      </c>
      <c r="D41" s="1" t="s">
        <v>46</v>
      </c>
      <c r="E41" s="10" t="s">
        <v>617</v>
      </c>
      <c r="F41" s="2">
        <v>61608</v>
      </c>
      <c r="G41" s="6" t="s">
        <v>169</v>
      </c>
      <c r="H41" s="186">
        <v>25901.59</v>
      </c>
    </row>
    <row r="42" spans="1:11" ht="15.75" customHeight="1" x14ac:dyDescent="0.2">
      <c r="A42" s="8">
        <v>3</v>
      </c>
      <c r="B42" s="1" t="s">
        <v>47</v>
      </c>
      <c r="C42" s="10" t="s">
        <v>193</v>
      </c>
      <c r="D42" s="1" t="s">
        <v>46</v>
      </c>
      <c r="E42" s="10" t="s">
        <v>617</v>
      </c>
      <c r="F42" s="2">
        <v>61609</v>
      </c>
      <c r="G42" s="6" t="s">
        <v>495</v>
      </c>
      <c r="H42" s="186"/>
    </row>
    <row r="43" spans="1:11" ht="15.75" customHeight="1" x14ac:dyDescent="0.2">
      <c r="A43" s="8">
        <v>3</v>
      </c>
      <c r="B43" s="1" t="s">
        <v>47</v>
      </c>
      <c r="C43" s="10" t="s">
        <v>193</v>
      </c>
      <c r="D43" s="1" t="s">
        <v>46</v>
      </c>
      <c r="E43" s="10" t="s">
        <v>617</v>
      </c>
      <c r="F43" s="2">
        <v>61699</v>
      </c>
      <c r="G43" s="6" t="s">
        <v>170</v>
      </c>
      <c r="H43" s="186"/>
    </row>
    <row r="44" spans="1:11" ht="15.75" customHeight="1" x14ac:dyDescent="0.2">
      <c r="A44" s="8">
        <v>3</v>
      </c>
      <c r="B44" s="1" t="s">
        <v>47</v>
      </c>
      <c r="C44" s="10" t="s">
        <v>193</v>
      </c>
      <c r="D44" s="1" t="s">
        <v>46</v>
      </c>
      <c r="E44" s="10" t="s">
        <v>617</v>
      </c>
      <c r="F44" s="178">
        <v>61201</v>
      </c>
      <c r="G44" s="7" t="s">
        <v>321</v>
      </c>
      <c r="H44" s="187"/>
    </row>
    <row r="45" spans="1:11" ht="27" customHeight="1" thickBot="1" x14ac:dyDescent="0.25">
      <c r="A45" s="8">
        <v>3</v>
      </c>
      <c r="B45" s="1" t="s">
        <v>47</v>
      </c>
      <c r="C45" s="10" t="s">
        <v>193</v>
      </c>
      <c r="D45" s="1" t="s">
        <v>46</v>
      </c>
      <c r="E45" s="10" t="s">
        <v>617</v>
      </c>
      <c r="F45" s="178">
        <v>72101</v>
      </c>
      <c r="G45" s="351" t="s">
        <v>631</v>
      </c>
      <c r="H45" s="187">
        <v>201500.57</v>
      </c>
    </row>
    <row r="46" spans="1:11" ht="27.75" customHeight="1" thickBot="1" x14ac:dyDescent="0.35">
      <c r="A46" s="1103"/>
      <c r="B46" s="1104"/>
      <c r="C46" s="1104"/>
      <c r="D46" s="1104"/>
      <c r="E46" s="1104"/>
      <c r="F46" s="1105"/>
      <c r="G46" s="240" t="s">
        <v>171</v>
      </c>
      <c r="H46" s="241">
        <f>SUM(H11:H45)</f>
        <v>501365.92000000004</v>
      </c>
      <c r="J46" s="156"/>
      <c r="K46" s="63"/>
    </row>
    <row r="47" spans="1:11" x14ac:dyDescent="0.2">
      <c r="A47" s="22"/>
      <c r="B47" s="22"/>
      <c r="C47" s="22"/>
      <c r="D47" s="22"/>
      <c r="E47" s="22"/>
      <c r="F47" s="22"/>
      <c r="H47" s="34"/>
      <c r="K47" s="153"/>
    </row>
    <row r="48" spans="1:11" ht="15.75" x14ac:dyDescent="0.25">
      <c r="A48" s="22"/>
      <c r="B48" s="22"/>
      <c r="C48" s="22"/>
      <c r="D48" s="22"/>
      <c r="E48" s="22"/>
      <c r="F48" s="22"/>
      <c r="G48" s="35"/>
      <c r="H48" s="162"/>
      <c r="K48" s="153"/>
    </row>
    <row r="49" spans="1:11" ht="19.5" customHeight="1" x14ac:dyDescent="0.2">
      <c r="A49" s="1106" t="s">
        <v>8</v>
      </c>
      <c r="B49" s="1106"/>
      <c r="C49" s="1106"/>
      <c r="D49" s="1106"/>
      <c r="E49" s="1106"/>
      <c r="F49" s="1106"/>
      <c r="H49" s="163">
        <f>+H46-H48</f>
        <v>501365.92000000004</v>
      </c>
      <c r="K49" s="179"/>
    </row>
    <row r="50" spans="1:11" x14ac:dyDescent="0.2">
      <c r="A50" s="1097" t="s">
        <v>1</v>
      </c>
      <c r="B50" s="1097"/>
      <c r="C50" s="1097"/>
      <c r="D50" s="1097"/>
      <c r="E50" s="1097"/>
      <c r="F50" s="1097"/>
      <c r="G50" s="1097"/>
      <c r="H50" s="387"/>
    </row>
    <row r="51" spans="1:11" x14ac:dyDescent="0.2">
      <c r="A51" s="1097" t="s">
        <v>4</v>
      </c>
      <c r="B51" s="1097"/>
      <c r="C51" s="1097"/>
      <c r="D51" s="1097"/>
      <c r="E51" s="1097"/>
      <c r="F51" s="1097"/>
      <c r="G51" s="1097"/>
      <c r="H51" s="65"/>
    </row>
    <row r="52" spans="1:11" x14ac:dyDescent="0.2">
      <c r="A52" s="1097" t="s">
        <v>5</v>
      </c>
      <c r="B52" s="1097"/>
      <c r="C52" s="1097"/>
      <c r="D52" s="1097"/>
      <c r="E52" s="1097"/>
      <c r="F52" s="1097"/>
      <c r="G52" s="1097"/>
    </row>
    <row r="53" spans="1:11" x14ac:dyDescent="0.2">
      <c r="A53" s="1097"/>
      <c r="B53" s="1097"/>
      <c r="C53" s="1097"/>
      <c r="D53" s="1097"/>
      <c r="E53" s="1097"/>
      <c r="F53" s="1097"/>
      <c r="G53" s="1097"/>
    </row>
  </sheetData>
  <mergeCells count="18">
    <mergeCell ref="A1:D1"/>
    <mergeCell ref="E1:H1"/>
    <mergeCell ref="A46:F46"/>
    <mergeCell ref="A6:H6"/>
    <mergeCell ref="A3:H3"/>
    <mergeCell ref="A4:H4"/>
    <mergeCell ref="A5:H5"/>
    <mergeCell ref="A2:I2"/>
    <mergeCell ref="A50:G50"/>
    <mergeCell ref="A51:G51"/>
    <mergeCell ref="A52:G52"/>
    <mergeCell ref="A53:G53"/>
    <mergeCell ref="A7:H7"/>
    <mergeCell ref="A8:H8"/>
    <mergeCell ref="A9:F9"/>
    <mergeCell ref="G9:G10"/>
    <mergeCell ref="H9:H10"/>
    <mergeCell ref="A49:F49"/>
  </mergeCells>
  <printOptions horizontalCentered="1"/>
  <pageMargins left="0.70866141732283472" right="0.70866141732283472" top="0.74803149606299213" bottom="0.74803149606299213" header="0.31496062992125984" footer="0.31496062992125984"/>
  <pageSetup paperSize="5" scale="85"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39"/>
  <sheetViews>
    <sheetView view="pageBreakPreview" topLeftCell="A13" zoomScale="110" zoomScaleNormal="100" zoomScaleSheetLayoutView="110" workbookViewId="0">
      <selection sqref="A1:D1"/>
    </sheetView>
  </sheetViews>
  <sheetFormatPr baseColWidth="10" defaultRowHeight="12.75" x14ac:dyDescent="0.2"/>
  <cols>
    <col min="2" max="2" width="32.5703125" customWidth="1"/>
    <col min="3" max="3" width="23.140625" customWidth="1"/>
  </cols>
  <sheetData>
    <row r="1" spans="1:10" ht="32.25" customHeight="1" thickBot="1" x14ac:dyDescent="0.25">
      <c r="A1" s="1141" t="s">
        <v>673</v>
      </c>
      <c r="B1" s="1142"/>
      <c r="C1" s="1142"/>
      <c r="D1" s="1142"/>
      <c r="E1" s="1142"/>
      <c r="F1" s="1143"/>
      <c r="G1" s="382"/>
      <c r="H1" s="382"/>
      <c r="I1" s="382"/>
      <c r="J1" s="382"/>
    </row>
    <row r="3" spans="1:10" x14ac:dyDescent="0.2">
      <c r="A3" s="350">
        <v>1</v>
      </c>
    </row>
    <row r="4" spans="1:10" ht="31.5" customHeight="1" x14ac:dyDescent="0.2">
      <c r="A4" s="1140" t="s">
        <v>612</v>
      </c>
      <c r="B4" s="1140"/>
      <c r="C4" s="1140"/>
      <c r="D4" s="1140"/>
      <c r="E4" s="1140"/>
      <c r="F4" s="1140"/>
      <c r="G4" s="380"/>
      <c r="H4" s="380"/>
      <c r="I4" s="349"/>
    </row>
    <row r="6" spans="1:10" x14ac:dyDescent="0.2">
      <c r="A6" s="297" t="s">
        <v>566</v>
      </c>
      <c r="B6" s="297" t="s">
        <v>571</v>
      </c>
      <c r="C6" s="297" t="s">
        <v>569</v>
      </c>
    </row>
    <row r="7" spans="1:10" x14ac:dyDescent="0.2">
      <c r="A7" s="300">
        <v>61601</v>
      </c>
      <c r="B7" s="297" t="s">
        <v>580</v>
      </c>
      <c r="C7" s="299">
        <v>143468.37</v>
      </c>
    </row>
    <row r="8" spans="1:10" x14ac:dyDescent="0.2">
      <c r="A8" s="298"/>
      <c r="B8" s="298"/>
      <c r="C8" s="298"/>
    </row>
    <row r="10" spans="1:10" x14ac:dyDescent="0.2">
      <c r="A10" s="347" t="s">
        <v>565</v>
      </c>
    </row>
    <row r="11" spans="1:10" ht="23.25" customHeight="1" x14ac:dyDescent="0.25">
      <c r="A11" s="1138" t="s">
        <v>613</v>
      </c>
      <c r="B11" s="1139"/>
      <c r="C11" s="1139"/>
      <c r="D11" s="1139"/>
      <c r="E11" s="1139"/>
      <c r="F11" s="1139"/>
      <c r="G11" s="381"/>
      <c r="H11" s="381"/>
      <c r="I11" s="348"/>
      <c r="J11" s="348"/>
    </row>
    <row r="13" spans="1:10" x14ac:dyDescent="0.2">
      <c r="A13" s="297" t="s">
        <v>566</v>
      </c>
      <c r="B13" s="297" t="s">
        <v>571</v>
      </c>
      <c r="C13" s="297" t="s">
        <v>569</v>
      </c>
    </row>
    <row r="14" spans="1:10" x14ac:dyDescent="0.2">
      <c r="A14" s="300">
        <v>61601</v>
      </c>
      <c r="B14" s="297" t="s">
        <v>580</v>
      </c>
      <c r="C14" s="299">
        <v>80426.460000000006</v>
      </c>
    </row>
    <row r="15" spans="1:10" x14ac:dyDescent="0.2">
      <c r="A15" s="298"/>
      <c r="B15" s="298"/>
      <c r="C15" s="298"/>
    </row>
    <row r="18" spans="1:6" x14ac:dyDescent="0.2">
      <c r="A18" s="347" t="s">
        <v>568</v>
      </c>
    </row>
    <row r="19" spans="1:6" ht="15" x14ac:dyDescent="0.25">
      <c r="A19" s="1138" t="s">
        <v>672</v>
      </c>
      <c r="B19" s="1139"/>
      <c r="C19" s="1139"/>
      <c r="D19" s="1139"/>
      <c r="E19" s="1139"/>
      <c r="F19" s="1139"/>
    </row>
    <row r="20" spans="1:6" x14ac:dyDescent="0.2">
      <c r="A20" s="297" t="s">
        <v>566</v>
      </c>
      <c r="B20" s="297" t="s">
        <v>571</v>
      </c>
      <c r="C20" s="297" t="s">
        <v>569</v>
      </c>
    </row>
    <row r="21" spans="1:6" ht="28.5" customHeight="1" x14ac:dyDescent="0.2">
      <c r="A21" s="2">
        <v>61599</v>
      </c>
      <c r="B21" s="383" t="s">
        <v>166</v>
      </c>
      <c r="C21" s="384">
        <f>50026.87+42.06</f>
        <v>50068.93</v>
      </c>
    </row>
    <row r="22" spans="1:6" x14ac:dyDescent="0.2">
      <c r="A22" s="298"/>
      <c r="B22" s="298"/>
      <c r="C22" s="298"/>
    </row>
    <row r="25" spans="1:6" x14ac:dyDescent="0.2">
      <c r="A25" s="347" t="s">
        <v>568</v>
      </c>
      <c r="B25" s="21"/>
    </row>
    <row r="26" spans="1:6" x14ac:dyDescent="0.2">
      <c r="A26" s="347" t="s">
        <v>627</v>
      </c>
    </row>
    <row r="27" spans="1:6" x14ac:dyDescent="0.2">
      <c r="A27" s="297" t="s">
        <v>566</v>
      </c>
      <c r="B27" s="297" t="s">
        <v>571</v>
      </c>
      <c r="C27" s="297" t="s">
        <v>569</v>
      </c>
    </row>
    <row r="28" spans="1:6" x14ac:dyDescent="0.2">
      <c r="A28" s="300">
        <v>61608</v>
      </c>
      <c r="B28" s="297" t="s">
        <v>560</v>
      </c>
      <c r="C28" s="299">
        <v>25901.59</v>
      </c>
    </row>
    <row r="29" spans="1:6" x14ac:dyDescent="0.2">
      <c r="A29" s="298"/>
      <c r="B29" s="298"/>
      <c r="C29" s="298"/>
    </row>
    <row r="32" spans="1:6" x14ac:dyDescent="0.2">
      <c r="A32" s="347" t="s">
        <v>570</v>
      </c>
    </row>
    <row r="33" spans="1:4" ht="15" x14ac:dyDescent="0.2">
      <c r="A33" s="7" t="s">
        <v>524</v>
      </c>
      <c r="B33" s="347"/>
      <c r="C33" s="347"/>
    </row>
    <row r="34" spans="1:4" x14ac:dyDescent="0.2">
      <c r="A34" s="297" t="s">
        <v>566</v>
      </c>
      <c r="B34" s="297" t="s">
        <v>571</v>
      </c>
      <c r="C34" s="297" t="s">
        <v>569</v>
      </c>
    </row>
    <row r="35" spans="1:4" ht="51" x14ac:dyDescent="0.2">
      <c r="A35" s="178">
        <v>72101</v>
      </c>
      <c r="B35" s="354" t="s">
        <v>629</v>
      </c>
      <c r="C35" s="353">
        <v>201500.57</v>
      </c>
      <c r="D35" s="347"/>
    </row>
    <row r="36" spans="1:4" x14ac:dyDescent="0.2">
      <c r="A36" s="298"/>
      <c r="B36" s="298"/>
      <c r="C36" s="298"/>
    </row>
    <row r="38" spans="1:4" ht="13.5" thickBot="1" x14ac:dyDescent="0.25"/>
    <row r="39" spans="1:4" ht="13.5" thickBot="1" x14ac:dyDescent="0.25">
      <c r="B39" s="281" t="s">
        <v>628</v>
      </c>
      <c r="C39" s="352">
        <f>C35+C28+C14+C7+C21</f>
        <v>501365.92</v>
      </c>
    </row>
  </sheetData>
  <mergeCells count="4">
    <mergeCell ref="A19:F19"/>
    <mergeCell ref="A4:F4"/>
    <mergeCell ref="A11:F11"/>
    <mergeCell ref="A1:F1"/>
  </mergeCells>
  <pageMargins left="0.7" right="0.7" top="1.24" bottom="0.75" header="0.3" footer="0.3"/>
  <pageSetup paperSize="5" scale="79" orientation="portrait" r:id="rId1"/>
  <colBreaks count="1" manualBreakCount="1">
    <brk id="10" max="47"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C32"/>
  <sheetViews>
    <sheetView view="pageBreakPreview" topLeftCell="A4" zoomScaleNormal="100" zoomScaleSheetLayoutView="100" workbookViewId="0">
      <selection sqref="A1:D1"/>
    </sheetView>
  </sheetViews>
  <sheetFormatPr baseColWidth="10" defaultRowHeight="12.75" x14ac:dyDescent="0.2"/>
  <cols>
    <col min="2" max="2" width="42.140625" customWidth="1"/>
    <col min="3" max="3" width="16.5703125" customWidth="1"/>
  </cols>
  <sheetData>
    <row r="3" spans="1:3" x14ac:dyDescent="0.2">
      <c r="A3" s="1144" t="s">
        <v>632</v>
      </c>
      <c r="B3" s="1144"/>
    </row>
    <row r="5" spans="1:3" x14ac:dyDescent="0.2">
      <c r="A5" s="347" t="s">
        <v>611</v>
      </c>
    </row>
    <row r="7" spans="1:3" x14ac:dyDescent="0.2">
      <c r="A7" s="297" t="s">
        <v>566</v>
      </c>
      <c r="B7" s="297" t="s">
        <v>564</v>
      </c>
      <c r="C7" s="297" t="s">
        <v>569</v>
      </c>
    </row>
    <row r="8" spans="1:3" x14ac:dyDescent="0.2">
      <c r="A8" s="298">
        <v>61105</v>
      </c>
      <c r="B8" s="297" t="s">
        <v>610</v>
      </c>
      <c r="C8" s="299">
        <v>124998.59</v>
      </c>
    </row>
    <row r="9" spans="1:3" x14ac:dyDescent="0.2">
      <c r="A9" s="298"/>
      <c r="B9" s="297" t="s">
        <v>225</v>
      </c>
      <c r="C9" s="357">
        <f>SUM(C8:C8)</f>
        <v>124998.59</v>
      </c>
    </row>
    <row r="10" spans="1:3" x14ac:dyDescent="0.2">
      <c r="B10" s="21"/>
      <c r="C10" s="355"/>
    </row>
    <row r="11" spans="1:3" x14ac:dyDescent="0.2">
      <c r="B11" s="21"/>
      <c r="C11" s="355"/>
    </row>
    <row r="12" spans="1:3" x14ac:dyDescent="0.2">
      <c r="A12" s="347" t="s">
        <v>633</v>
      </c>
    </row>
    <row r="14" spans="1:3" x14ac:dyDescent="0.2">
      <c r="A14" s="297" t="s">
        <v>566</v>
      </c>
      <c r="B14" s="297" t="s">
        <v>564</v>
      </c>
      <c r="C14" s="297" t="s">
        <v>569</v>
      </c>
    </row>
    <row r="15" spans="1:3" ht="15" x14ac:dyDescent="0.2">
      <c r="A15" s="2">
        <v>54107</v>
      </c>
      <c r="B15" s="6" t="s">
        <v>137</v>
      </c>
      <c r="C15" s="356">
        <v>5000</v>
      </c>
    </row>
    <row r="16" spans="1:3" ht="30" x14ac:dyDescent="0.2">
      <c r="A16" s="2">
        <v>54113</v>
      </c>
      <c r="B16" s="282" t="s">
        <v>584</v>
      </c>
      <c r="C16" s="356">
        <v>10000</v>
      </c>
    </row>
    <row r="17" spans="1:3" ht="15" x14ac:dyDescent="0.2">
      <c r="A17" s="2">
        <v>54199</v>
      </c>
      <c r="B17" s="6" t="s">
        <v>88</v>
      </c>
      <c r="C17" s="356">
        <v>9353.34</v>
      </c>
    </row>
    <row r="18" spans="1:3" ht="15" x14ac:dyDescent="0.2">
      <c r="A18" s="2"/>
      <c r="B18" s="6"/>
      <c r="C18" s="186"/>
    </row>
    <row r="19" spans="1:3" x14ac:dyDescent="0.2">
      <c r="A19" s="298"/>
      <c r="B19" s="297"/>
      <c r="C19" s="299"/>
    </row>
    <row r="20" spans="1:3" x14ac:dyDescent="0.2">
      <c r="A20" s="298"/>
      <c r="B20" s="297" t="s">
        <v>225</v>
      </c>
      <c r="C20" s="357">
        <f>SUM(C15:C19)</f>
        <v>24353.34</v>
      </c>
    </row>
    <row r="21" spans="1:3" x14ac:dyDescent="0.2">
      <c r="B21" s="21"/>
      <c r="C21" s="355"/>
    </row>
    <row r="22" spans="1:3" x14ac:dyDescent="0.2">
      <c r="B22" s="21"/>
      <c r="C22" s="355"/>
    </row>
    <row r="23" spans="1:3" x14ac:dyDescent="0.2">
      <c r="A23" s="347" t="s">
        <v>634</v>
      </c>
    </row>
    <row r="25" spans="1:3" x14ac:dyDescent="0.2">
      <c r="A25" s="297" t="s">
        <v>566</v>
      </c>
      <c r="B25" s="297" t="s">
        <v>564</v>
      </c>
      <c r="C25" s="297" t="s">
        <v>569</v>
      </c>
    </row>
    <row r="26" spans="1:3" ht="15" x14ac:dyDescent="0.2">
      <c r="A26" s="2">
        <v>61602</v>
      </c>
      <c r="B26" s="6" t="s">
        <v>219</v>
      </c>
      <c r="C26" s="186">
        <v>100000</v>
      </c>
    </row>
    <row r="27" spans="1:3" ht="15" x14ac:dyDescent="0.2">
      <c r="A27" s="2">
        <v>61603</v>
      </c>
      <c r="B27" s="6" t="s">
        <v>220</v>
      </c>
      <c r="C27" s="186">
        <v>100000</v>
      </c>
    </row>
    <row r="28" spans="1:3" x14ac:dyDescent="0.2">
      <c r="A28" s="298"/>
      <c r="B28" s="298"/>
      <c r="C28" s="298"/>
    </row>
    <row r="29" spans="1:3" x14ac:dyDescent="0.2">
      <c r="A29" s="298"/>
      <c r="B29" s="297" t="s">
        <v>614</v>
      </c>
      <c r="C29" s="358">
        <f>C26+C27</f>
        <v>200000</v>
      </c>
    </row>
    <row r="31" spans="1:3" ht="13.5" thickBot="1" x14ac:dyDescent="0.25"/>
    <row r="32" spans="1:3" ht="13.5" thickBot="1" x14ac:dyDescent="0.25">
      <c r="B32" s="359" t="s">
        <v>635</v>
      </c>
      <c r="C32" s="307">
        <f>C29+C20+C9</f>
        <v>349351.93</v>
      </c>
    </row>
  </sheetData>
  <mergeCells count="1">
    <mergeCell ref="A3:B3"/>
  </mergeCells>
  <pageMargins left="0.7" right="0.7" top="1.64" bottom="0.75" header="0.3" footer="0.3"/>
  <pageSetup paperSize="5" scale="9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34"/>
  <sheetViews>
    <sheetView view="pageBreakPreview" topLeftCell="A16" zoomScale="106" zoomScaleSheetLayoutView="106" workbookViewId="0">
      <selection activeCell="G9" sqref="G9:G10"/>
    </sheetView>
  </sheetViews>
  <sheetFormatPr baseColWidth="10" defaultColWidth="11.42578125" defaultRowHeight="12.75" x14ac:dyDescent="0.2"/>
  <cols>
    <col min="1" max="1" width="4.5703125" style="23" customWidth="1"/>
    <col min="2" max="2" width="4.42578125" style="23" customWidth="1"/>
    <col min="3" max="4" width="4.5703125" style="23" customWidth="1"/>
    <col min="5" max="5" width="6.140625" style="23" customWidth="1"/>
    <col min="6" max="6" width="10.28515625" style="23" customWidth="1"/>
    <col min="7" max="7" width="43.140625" style="19" customWidth="1"/>
    <col min="8" max="8" width="19.28515625" style="4" customWidth="1"/>
    <col min="9" max="10" width="11.42578125" style="21"/>
    <col min="11" max="11" width="12.28515625" style="21" bestFit="1" customWidth="1"/>
    <col min="12" max="16384" width="11.42578125" style="21"/>
  </cols>
  <sheetData>
    <row r="1" spans="1:11" ht="20.25" x14ac:dyDescent="0.25">
      <c r="A1" s="1046"/>
      <c r="B1" s="1046"/>
      <c r="C1" s="1046"/>
      <c r="D1" s="1046"/>
      <c r="E1" s="1046"/>
      <c r="F1" s="1046"/>
      <c r="G1" s="1046"/>
      <c r="H1" s="1046"/>
      <c r="I1" s="5"/>
    </row>
    <row r="2" spans="1:11" ht="18" x14ac:dyDescent="0.2">
      <c r="A2" s="1045" t="s">
        <v>329</v>
      </c>
      <c r="B2" s="1045"/>
      <c r="C2" s="1045"/>
      <c r="D2" s="1045"/>
      <c r="E2" s="1045"/>
      <c r="F2" s="1045"/>
      <c r="G2" s="1045"/>
      <c r="H2" s="1045"/>
      <c r="I2" s="1045"/>
    </row>
    <row r="3" spans="1:11" ht="15.75" x14ac:dyDescent="0.25">
      <c r="A3" s="1062" t="s">
        <v>153</v>
      </c>
      <c r="B3" s="1063"/>
      <c r="C3" s="1063"/>
      <c r="D3" s="1063"/>
      <c r="E3" s="1063"/>
      <c r="F3" s="1063"/>
      <c r="G3" s="1063"/>
      <c r="H3" s="1063"/>
    </row>
    <row r="4" spans="1:11" ht="15" x14ac:dyDescent="0.2">
      <c r="A4" s="1076" t="s">
        <v>330</v>
      </c>
      <c r="B4" s="1077"/>
      <c r="C4" s="1077"/>
      <c r="D4" s="1077"/>
      <c r="E4" s="1077"/>
      <c r="F4" s="1077"/>
      <c r="G4" s="1077"/>
      <c r="H4" s="1077"/>
    </row>
    <row r="5" spans="1:11" ht="15" x14ac:dyDescent="0.2">
      <c r="A5" s="1076" t="s">
        <v>7</v>
      </c>
      <c r="B5" s="1077"/>
      <c r="C5" s="1077"/>
      <c r="D5" s="1077"/>
      <c r="E5" s="1077"/>
      <c r="F5" s="1077"/>
      <c r="G5" s="1077"/>
      <c r="H5" s="1077"/>
    </row>
    <row r="6" spans="1:11" ht="8.25" customHeight="1" x14ac:dyDescent="0.25">
      <c r="A6" s="1080"/>
      <c r="B6" s="1081"/>
      <c r="C6" s="1081"/>
      <c r="D6" s="1081"/>
      <c r="E6" s="1081"/>
      <c r="F6" s="1081"/>
      <c r="G6" s="1081"/>
      <c r="H6" s="1081"/>
    </row>
    <row r="7" spans="1:11" ht="15.75" x14ac:dyDescent="0.25">
      <c r="A7" s="1098" t="s">
        <v>155</v>
      </c>
      <c r="B7" s="1098"/>
      <c r="C7" s="1098"/>
      <c r="D7" s="1098"/>
      <c r="E7" s="1098"/>
      <c r="F7" s="1098"/>
      <c r="G7" s="1098"/>
      <c r="H7" s="1098"/>
    </row>
    <row r="8" spans="1:11" ht="16.5" thickBot="1" x14ac:dyDescent="0.3">
      <c r="A8" s="1099" t="s">
        <v>172</v>
      </c>
      <c r="B8" s="1099"/>
      <c r="C8" s="1099"/>
      <c r="D8" s="1099"/>
      <c r="E8" s="1099"/>
      <c r="F8" s="1099"/>
      <c r="G8" s="1099"/>
      <c r="H8" s="1099"/>
    </row>
    <row r="9" spans="1:11" ht="13.5" thickBot="1" x14ac:dyDescent="0.25">
      <c r="A9" s="1145" t="s">
        <v>0</v>
      </c>
      <c r="B9" s="1146"/>
      <c r="C9" s="1146"/>
      <c r="D9" s="1146"/>
      <c r="E9" s="1146"/>
      <c r="F9" s="1146"/>
      <c r="G9" s="1147" t="s">
        <v>130</v>
      </c>
      <c r="H9" s="1149" t="s">
        <v>131</v>
      </c>
    </row>
    <row r="10" spans="1:11" ht="200.25" customHeight="1" thickBot="1" x14ac:dyDescent="0.25">
      <c r="A10" s="54" t="s">
        <v>124</v>
      </c>
      <c r="B10" s="55" t="s">
        <v>125</v>
      </c>
      <c r="C10" s="55" t="s">
        <v>104</v>
      </c>
      <c r="D10" s="55" t="s">
        <v>126</v>
      </c>
      <c r="E10" s="57" t="s">
        <v>132</v>
      </c>
      <c r="F10" s="56" t="s">
        <v>89</v>
      </c>
      <c r="G10" s="1148"/>
      <c r="H10" s="1150"/>
    </row>
    <row r="11" spans="1:11" ht="15.75" customHeight="1" x14ac:dyDescent="0.2">
      <c r="A11" s="9">
        <v>3</v>
      </c>
      <c r="B11" s="10" t="s">
        <v>84</v>
      </c>
      <c r="C11" s="10" t="s">
        <v>44</v>
      </c>
      <c r="D11" s="10" t="s">
        <v>46</v>
      </c>
      <c r="E11" s="10" t="s">
        <v>173</v>
      </c>
      <c r="F11" s="11" t="s">
        <v>152</v>
      </c>
      <c r="G11" s="12" t="s">
        <v>134</v>
      </c>
      <c r="H11" s="14"/>
    </row>
    <row r="12" spans="1:11" ht="15.75" customHeight="1" x14ac:dyDescent="0.2">
      <c r="A12" s="8">
        <v>3</v>
      </c>
      <c r="B12" s="1" t="s">
        <v>84</v>
      </c>
      <c r="C12" s="1" t="s">
        <v>44</v>
      </c>
      <c r="D12" s="1" t="s">
        <v>46</v>
      </c>
      <c r="E12" s="10" t="s">
        <v>173</v>
      </c>
      <c r="F12" s="2">
        <v>54111</v>
      </c>
      <c r="G12" s="6" t="s">
        <v>42</v>
      </c>
      <c r="H12" s="15"/>
    </row>
    <row r="13" spans="1:11" ht="15.75" customHeight="1" x14ac:dyDescent="0.2">
      <c r="A13" s="8">
        <v>3</v>
      </c>
      <c r="B13" s="1" t="s">
        <v>84</v>
      </c>
      <c r="C13" s="1" t="s">
        <v>44</v>
      </c>
      <c r="D13" s="1" t="s">
        <v>46</v>
      </c>
      <c r="E13" s="10" t="s">
        <v>173</v>
      </c>
      <c r="F13" s="2">
        <v>54112</v>
      </c>
      <c r="G13" s="6" t="s">
        <v>41</v>
      </c>
      <c r="H13" s="15"/>
    </row>
    <row r="14" spans="1:11" ht="15.75" customHeight="1" x14ac:dyDescent="0.2">
      <c r="A14" s="8">
        <v>3</v>
      </c>
      <c r="B14" s="1" t="s">
        <v>84</v>
      </c>
      <c r="C14" s="1" t="s">
        <v>44</v>
      </c>
      <c r="D14" s="1" t="s">
        <v>46</v>
      </c>
      <c r="E14" s="10" t="s">
        <v>173</v>
      </c>
      <c r="F14" s="2">
        <v>54199</v>
      </c>
      <c r="G14" s="6" t="s">
        <v>142</v>
      </c>
      <c r="H14" s="15"/>
    </row>
    <row r="15" spans="1:11" ht="15.75" customHeight="1" x14ac:dyDescent="0.2">
      <c r="A15" s="8">
        <v>3</v>
      </c>
      <c r="B15" s="1" t="s">
        <v>84</v>
      </c>
      <c r="C15" s="1" t="s">
        <v>44</v>
      </c>
      <c r="D15" s="1" t="s">
        <v>46</v>
      </c>
      <c r="E15" s="10" t="s">
        <v>173</v>
      </c>
      <c r="F15" s="2">
        <v>54313</v>
      </c>
      <c r="G15" s="6" t="s">
        <v>158</v>
      </c>
      <c r="H15" s="15"/>
    </row>
    <row r="16" spans="1:11" ht="15.75" customHeight="1" x14ac:dyDescent="0.2">
      <c r="A16" s="8">
        <v>3</v>
      </c>
      <c r="B16" s="1" t="s">
        <v>84</v>
      </c>
      <c r="C16" s="1" t="s">
        <v>44</v>
      </c>
      <c r="D16" s="1" t="s">
        <v>46</v>
      </c>
      <c r="E16" s="10" t="s">
        <v>173</v>
      </c>
      <c r="F16" s="2">
        <v>54316</v>
      </c>
      <c r="G16" s="6" t="s">
        <v>159</v>
      </c>
      <c r="H16" s="15"/>
      <c r="J16" s="21">
        <v>54</v>
      </c>
      <c r="K16" s="63">
        <f>SUM(H17)</f>
        <v>0</v>
      </c>
    </row>
    <row r="17" spans="1:11" ht="15.75" customHeight="1" x14ac:dyDescent="0.2">
      <c r="A17" s="8">
        <v>3</v>
      </c>
      <c r="B17" s="1" t="s">
        <v>84</v>
      </c>
      <c r="C17" s="1" t="s">
        <v>44</v>
      </c>
      <c r="D17" s="1" t="s">
        <v>46</v>
      </c>
      <c r="E17" s="10" t="s">
        <v>173</v>
      </c>
      <c r="F17" s="2">
        <v>54599</v>
      </c>
      <c r="G17" s="6" t="s">
        <v>162</v>
      </c>
      <c r="H17" s="15"/>
      <c r="J17" s="21">
        <v>61</v>
      </c>
      <c r="K17" s="63">
        <f>SUM(H20:H25)</f>
        <v>0</v>
      </c>
    </row>
    <row r="18" spans="1:11" ht="15.75" customHeight="1" x14ac:dyDescent="0.2">
      <c r="A18" s="8">
        <v>3</v>
      </c>
      <c r="B18" s="1" t="s">
        <v>84</v>
      </c>
      <c r="C18" s="1" t="s">
        <v>44</v>
      </c>
      <c r="D18" s="1" t="s">
        <v>46</v>
      </c>
      <c r="E18" s="10" t="s">
        <v>173</v>
      </c>
      <c r="F18" s="2">
        <v>55601</v>
      </c>
      <c r="G18" s="6" t="s">
        <v>83</v>
      </c>
      <c r="H18" s="15"/>
      <c r="K18" s="63">
        <f>SUM(K16:K17)</f>
        <v>0</v>
      </c>
    </row>
    <row r="19" spans="1:11" ht="15.75" customHeight="1" x14ac:dyDescent="0.2">
      <c r="A19" s="8">
        <v>3</v>
      </c>
      <c r="B19" s="1" t="s">
        <v>84</v>
      </c>
      <c r="C19" s="1" t="s">
        <v>44</v>
      </c>
      <c r="D19" s="1" t="s">
        <v>46</v>
      </c>
      <c r="E19" s="10" t="s">
        <v>173</v>
      </c>
      <c r="F19" s="2">
        <v>55603</v>
      </c>
      <c r="G19" s="6" t="s">
        <v>147</v>
      </c>
      <c r="H19" s="15"/>
    </row>
    <row r="20" spans="1:11" ht="15.75" customHeight="1" x14ac:dyDescent="0.2">
      <c r="A20" s="8">
        <v>3</v>
      </c>
      <c r="B20" s="1" t="s">
        <v>84</v>
      </c>
      <c r="C20" s="1" t="s">
        <v>44</v>
      </c>
      <c r="D20" s="1" t="s">
        <v>46</v>
      </c>
      <c r="E20" s="10" t="s">
        <v>173</v>
      </c>
      <c r="F20" s="2">
        <v>61101</v>
      </c>
      <c r="G20" s="6" t="s">
        <v>164</v>
      </c>
      <c r="H20" s="15">
        <v>0</v>
      </c>
    </row>
    <row r="21" spans="1:11" ht="15.75" customHeight="1" x14ac:dyDescent="0.2">
      <c r="A21" s="8">
        <v>3</v>
      </c>
      <c r="B21" s="1" t="s">
        <v>84</v>
      </c>
      <c r="C21" s="1" t="s">
        <v>44</v>
      </c>
      <c r="D21" s="1" t="s">
        <v>46</v>
      </c>
      <c r="E21" s="10" t="s">
        <v>173</v>
      </c>
      <c r="F21" s="2">
        <v>61102</v>
      </c>
      <c r="G21" s="6" t="s">
        <v>165</v>
      </c>
      <c r="H21" s="15"/>
    </row>
    <row r="22" spans="1:11" ht="15.75" customHeight="1" x14ac:dyDescent="0.2">
      <c r="A22" s="8">
        <v>3</v>
      </c>
      <c r="B22" s="1" t="s">
        <v>84</v>
      </c>
      <c r="C22" s="1" t="s">
        <v>44</v>
      </c>
      <c r="D22" s="1" t="s">
        <v>46</v>
      </c>
      <c r="E22" s="10" t="s">
        <v>173</v>
      </c>
      <c r="F22" s="2">
        <v>61599</v>
      </c>
      <c r="G22" s="6" t="s">
        <v>166</v>
      </c>
      <c r="H22" s="15"/>
    </row>
    <row r="23" spans="1:11" ht="15.75" customHeight="1" x14ac:dyDescent="0.2">
      <c r="A23" s="8">
        <v>3</v>
      </c>
      <c r="B23" s="1" t="s">
        <v>84</v>
      </c>
      <c r="C23" s="1" t="s">
        <v>44</v>
      </c>
      <c r="D23" s="1" t="s">
        <v>46</v>
      </c>
      <c r="E23" s="10" t="s">
        <v>173</v>
      </c>
      <c r="F23" s="2">
        <v>61601</v>
      </c>
      <c r="G23" s="6" t="s">
        <v>167</v>
      </c>
      <c r="H23" s="15"/>
    </row>
    <row r="24" spans="1:11" ht="15.75" customHeight="1" x14ac:dyDescent="0.2">
      <c r="A24" s="8">
        <v>3</v>
      </c>
      <c r="B24" s="1" t="s">
        <v>84</v>
      </c>
      <c r="C24" s="1" t="s">
        <v>44</v>
      </c>
      <c r="D24" s="1" t="s">
        <v>46</v>
      </c>
      <c r="E24" s="10" t="s">
        <v>173</v>
      </c>
      <c r="F24" s="2">
        <v>61608</v>
      </c>
      <c r="G24" s="6" t="s">
        <v>169</v>
      </c>
      <c r="H24" s="15"/>
    </row>
    <row r="25" spans="1:11" ht="15.75" customHeight="1" x14ac:dyDescent="0.2">
      <c r="A25" s="8">
        <v>3</v>
      </c>
      <c r="B25" s="1" t="s">
        <v>84</v>
      </c>
      <c r="C25" s="1" t="s">
        <v>44</v>
      </c>
      <c r="D25" s="1" t="s">
        <v>46</v>
      </c>
      <c r="E25" s="10" t="s">
        <v>173</v>
      </c>
      <c r="F25" s="2">
        <v>61699</v>
      </c>
      <c r="G25" s="6" t="s">
        <v>170</v>
      </c>
      <c r="H25" s="15"/>
    </row>
    <row r="26" spans="1:11" ht="15.75" customHeight="1" thickBot="1" x14ac:dyDescent="0.25">
      <c r="A26" s="18"/>
      <c r="B26" s="16"/>
      <c r="C26" s="16"/>
      <c r="D26" s="16"/>
      <c r="E26" s="16"/>
      <c r="F26" s="3"/>
      <c r="G26" s="7"/>
      <c r="H26" s="17"/>
    </row>
    <row r="27" spans="1:11" ht="20.100000000000001" customHeight="1" thickBot="1" x14ac:dyDescent="0.3">
      <c r="A27" s="1151"/>
      <c r="B27" s="1152"/>
      <c r="C27" s="1152"/>
      <c r="D27" s="1152"/>
      <c r="E27" s="1152"/>
      <c r="F27" s="1153"/>
      <c r="G27" s="58" t="s">
        <v>171</v>
      </c>
      <c r="H27" s="59">
        <f>SUM(H11:H26)</f>
        <v>0</v>
      </c>
    </row>
    <row r="28" spans="1:11" x14ac:dyDescent="0.2">
      <c r="A28" s="22"/>
      <c r="B28" s="22"/>
      <c r="C28" s="22"/>
      <c r="D28" s="22"/>
      <c r="E28" s="22"/>
      <c r="F28" s="22"/>
      <c r="H28" s="34"/>
    </row>
    <row r="29" spans="1:11" ht="15.75" x14ac:dyDescent="0.25">
      <c r="A29" s="22"/>
      <c r="B29" s="22"/>
      <c r="C29" s="22"/>
      <c r="D29" s="22"/>
      <c r="E29" s="22"/>
      <c r="F29" s="22"/>
      <c r="G29" s="35"/>
      <c r="H29" s="35"/>
    </row>
    <row r="30" spans="1:11" ht="19.5" customHeight="1" x14ac:dyDescent="0.2">
      <c r="A30" s="1106" t="s">
        <v>8</v>
      </c>
      <c r="B30" s="1106"/>
      <c r="C30" s="1106"/>
      <c r="D30" s="1106"/>
      <c r="E30" s="1106"/>
      <c r="F30" s="1106"/>
    </row>
    <row r="31" spans="1:11" x14ac:dyDescent="0.2">
      <c r="A31" s="1097" t="s">
        <v>1</v>
      </c>
      <c r="B31" s="1097"/>
      <c r="C31" s="1097"/>
      <c r="D31" s="1097"/>
      <c r="E31" s="1097"/>
      <c r="F31" s="1097"/>
      <c r="G31" s="1097"/>
    </row>
    <row r="32" spans="1:11" x14ac:dyDescent="0.2">
      <c r="A32" s="1097" t="s">
        <v>4</v>
      </c>
      <c r="B32" s="1097"/>
      <c r="C32" s="1097"/>
      <c r="D32" s="1097"/>
      <c r="E32" s="1097"/>
      <c r="F32" s="1097"/>
      <c r="G32" s="1097"/>
    </row>
    <row r="33" spans="1:7" x14ac:dyDescent="0.2">
      <c r="A33" s="1097" t="s">
        <v>5</v>
      </c>
      <c r="B33" s="1097"/>
      <c r="C33" s="1097"/>
      <c r="D33" s="1097"/>
      <c r="E33" s="1097"/>
      <c r="F33" s="1097"/>
      <c r="G33" s="1097"/>
    </row>
    <row r="34" spans="1:7" x14ac:dyDescent="0.2">
      <c r="A34" s="1097"/>
      <c r="B34" s="1097"/>
      <c r="C34" s="1097"/>
      <c r="D34" s="1097"/>
      <c r="E34" s="1097"/>
      <c r="F34" s="1097"/>
      <c r="G34" s="1097"/>
    </row>
  </sheetData>
  <mergeCells count="18">
    <mergeCell ref="A6:H6"/>
    <mergeCell ref="A2:I2"/>
    <mergeCell ref="A27:F27"/>
    <mergeCell ref="A30:F30"/>
    <mergeCell ref="A1:D1"/>
    <mergeCell ref="E1:H1"/>
    <mergeCell ref="A3:H3"/>
    <mergeCell ref="A4:H4"/>
    <mergeCell ref="A5:H5"/>
    <mergeCell ref="A34:G34"/>
    <mergeCell ref="A7:H7"/>
    <mergeCell ref="A8:H8"/>
    <mergeCell ref="A9:F9"/>
    <mergeCell ref="G9:G10"/>
    <mergeCell ref="H9:H10"/>
    <mergeCell ref="A32:G32"/>
    <mergeCell ref="A33:G33"/>
    <mergeCell ref="A31:G31"/>
  </mergeCells>
  <printOptions horizontalCentered="1"/>
  <pageMargins left="0.70866141732283472" right="0.70866141732283472" top="0.74803149606299213" bottom="0.74803149606299213" header="0.31496062992125984" footer="0.31496062992125984"/>
  <pageSetup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E27"/>
  <sheetViews>
    <sheetView view="pageBreakPreview" topLeftCell="A19" zoomScale="124" zoomScaleNormal="85" zoomScaleSheetLayoutView="124" workbookViewId="0">
      <selection activeCell="B24" sqref="B24"/>
    </sheetView>
  </sheetViews>
  <sheetFormatPr baseColWidth="10" defaultColWidth="18.7109375" defaultRowHeight="12.75" x14ac:dyDescent="0.2"/>
  <cols>
    <col min="1" max="1" width="16.42578125" style="393" customWidth="1"/>
    <col min="2" max="2" width="40.140625" style="393" customWidth="1"/>
    <col min="3" max="3" width="23.5703125" style="393" customWidth="1"/>
    <col min="4" max="16384" width="18.7109375" style="393"/>
  </cols>
  <sheetData>
    <row r="1" spans="1:5" ht="26.25" customHeight="1" x14ac:dyDescent="0.2">
      <c r="A1" s="931" t="s">
        <v>336</v>
      </c>
      <c r="B1" s="931"/>
      <c r="C1" s="931"/>
      <c r="D1" s="392"/>
      <c r="E1" s="392"/>
    </row>
    <row r="2" spans="1:5" ht="24.75" customHeight="1" x14ac:dyDescent="0.2">
      <c r="A2" s="931" t="s">
        <v>329</v>
      </c>
      <c r="B2" s="931"/>
      <c r="C2" s="931"/>
      <c r="D2" s="394"/>
      <c r="E2" s="394"/>
    </row>
    <row r="3" spans="1:5" ht="24" customHeight="1" x14ac:dyDescent="0.2">
      <c r="A3" s="931" t="s">
        <v>677</v>
      </c>
      <c r="B3" s="931"/>
      <c r="C3" s="931"/>
      <c r="D3" s="395"/>
      <c r="E3" s="395"/>
    </row>
    <row r="4" spans="1:5" ht="26.25" customHeight="1" x14ac:dyDescent="0.2">
      <c r="A4" s="931" t="s">
        <v>115</v>
      </c>
      <c r="B4" s="931"/>
      <c r="C4" s="931"/>
      <c r="D4" s="395"/>
      <c r="E4" s="395"/>
    </row>
    <row r="5" spans="1:5" ht="10.15" customHeight="1" thickBot="1" x14ac:dyDescent="0.25">
      <c r="A5" s="391"/>
      <c r="B5" s="391"/>
      <c r="C5" s="391"/>
      <c r="D5" s="395"/>
      <c r="E5" s="395"/>
    </row>
    <row r="6" spans="1:5" s="398" customFormat="1" ht="37.5" customHeight="1" thickBot="1" x14ac:dyDescent="0.25">
      <c r="A6" s="396" t="s">
        <v>108</v>
      </c>
      <c r="B6" s="397" t="s">
        <v>86</v>
      </c>
      <c r="C6" s="397" t="s">
        <v>109</v>
      </c>
    </row>
    <row r="7" spans="1:5" s="402" customFormat="1" ht="24.95" customHeight="1" x14ac:dyDescent="0.2">
      <c r="A7" s="399">
        <v>11</v>
      </c>
      <c r="B7" s="400" t="s">
        <v>110</v>
      </c>
      <c r="C7" s="401">
        <f>Ingresos!J9</f>
        <v>197301.33244444447</v>
      </c>
    </row>
    <row r="8" spans="1:5" s="402" customFormat="1" ht="24.95" customHeight="1" x14ac:dyDescent="0.2">
      <c r="A8" s="403">
        <v>12</v>
      </c>
      <c r="B8" s="404" t="s">
        <v>111</v>
      </c>
      <c r="C8" s="405">
        <f>Ingresos!J20</f>
        <v>330514.11432777782</v>
      </c>
    </row>
    <row r="9" spans="1:5" s="402" customFormat="1" ht="24.95" customHeight="1" x14ac:dyDescent="0.2">
      <c r="A9" s="403">
        <v>14</v>
      </c>
      <c r="B9" s="404" t="s">
        <v>112</v>
      </c>
      <c r="C9" s="405">
        <f>Ingresos!J38</f>
        <v>9498.7388888888872</v>
      </c>
    </row>
    <row r="10" spans="1:5" s="402" customFormat="1" ht="24.95" customHeight="1" x14ac:dyDescent="0.2">
      <c r="A10" s="403">
        <v>15</v>
      </c>
      <c r="B10" s="404" t="s">
        <v>113</v>
      </c>
      <c r="C10" s="405">
        <f>Ingresos!J42</f>
        <v>34508.337777777779</v>
      </c>
    </row>
    <row r="11" spans="1:5" s="402" customFormat="1" ht="30" customHeight="1" x14ac:dyDescent="0.2">
      <c r="A11" s="403">
        <v>16</v>
      </c>
      <c r="B11" s="404" t="s">
        <v>1217</v>
      </c>
      <c r="C11" s="405">
        <f>Ingresos!D61</f>
        <v>649686.03</v>
      </c>
    </row>
    <row r="12" spans="1:5" s="402" customFormat="1" ht="24.95" customHeight="1" x14ac:dyDescent="0.2">
      <c r="A12" s="406">
        <v>22</v>
      </c>
      <c r="B12" s="407" t="s">
        <v>579</v>
      </c>
      <c r="C12" s="408">
        <f>Ingresos!J68</f>
        <v>11727.63</v>
      </c>
    </row>
    <row r="13" spans="1:5" s="402" customFormat="1" ht="24.95" customHeight="1" x14ac:dyDescent="0.2">
      <c r="A13" s="406">
        <v>22</v>
      </c>
      <c r="B13" s="407" t="s">
        <v>682</v>
      </c>
      <c r="C13" s="408">
        <f>Ingresos!J56</f>
        <v>480000</v>
      </c>
    </row>
    <row r="14" spans="1:5" s="402" customFormat="1" ht="33.75" customHeight="1" thickBot="1" x14ac:dyDescent="0.25">
      <c r="A14" s="406">
        <v>32</v>
      </c>
      <c r="B14" s="407" t="s">
        <v>587</v>
      </c>
      <c r="C14" s="408">
        <f>Ingresos!J73+Ingresos!J78</f>
        <v>327402.78010000003</v>
      </c>
    </row>
    <row r="15" spans="1:5" s="402" customFormat="1" ht="24.95" customHeight="1" thickBot="1" x14ac:dyDescent="0.25">
      <c r="A15" s="929" t="s">
        <v>116</v>
      </c>
      <c r="B15" s="930"/>
      <c r="C15" s="409">
        <f>SUM(C7:C14)</f>
        <v>2040638.9635388888</v>
      </c>
    </row>
    <row r="16" spans="1:5" s="402" customFormat="1" ht="10.15" customHeight="1" x14ac:dyDescent="0.2">
      <c r="A16" s="410"/>
      <c r="B16" s="410"/>
      <c r="C16" s="411"/>
    </row>
    <row r="17" spans="1:4" s="402" customFormat="1" ht="26.25" customHeight="1" thickBot="1" x14ac:dyDescent="0.25">
      <c r="A17" s="932" t="s">
        <v>118</v>
      </c>
      <c r="B17" s="932"/>
      <c r="C17" s="932"/>
    </row>
    <row r="18" spans="1:4" s="402" customFormat="1" ht="37.5" customHeight="1" thickBot="1" x14ac:dyDescent="0.25">
      <c r="A18" s="396" t="s">
        <v>108</v>
      </c>
      <c r="B18" s="396" t="s">
        <v>86</v>
      </c>
      <c r="C18" s="397" t="s">
        <v>109</v>
      </c>
    </row>
    <row r="19" spans="1:4" s="402" customFormat="1" ht="24.95" customHeight="1" x14ac:dyDescent="0.2">
      <c r="A19" s="399">
        <v>51</v>
      </c>
      <c r="B19" s="400" t="s">
        <v>119</v>
      </c>
      <c r="C19" s="401">
        <f>Egresos!J9</f>
        <v>922436.27500000002</v>
      </c>
    </row>
    <row r="20" spans="1:4" s="402" customFormat="1" ht="32.25" customHeight="1" x14ac:dyDescent="0.2">
      <c r="A20" s="403">
        <v>54</v>
      </c>
      <c r="B20" s="404" t="s">
        <v>120</v>
      </c>
      <c r="C20" s="405">
        <f>Egresos!J39</f>
        <v>1010620.12996</v>
      </c>
    </row>
    <row r="21" spans="1:4" s="402" customFormat="1" ht="24.95" customHeight="1" x14ac:dyDescent="0.2">
      <c r="A21" s="403">
        <v>55</v>
      </c>
      <c r="B21" s="404" t="s">
        <v>121</v>
      </c>
      <c r="C21" s="405">
        <f>Egresos!J107</f>
        <v>6177.52</v>
      </c>
    </row>
    <row r="22" spans="1:4" s="402" customFormat="1" ht="24.95" customHeight="1" x14ac:dyDescent="0.2">
      <c r="A22" s="403">
        <v>56</v>
      </c>
      <c r="B22" s="404" t="s">
        <v>114</v>
      </c>
      <c r="C22" s="405">
        <f>Egresos!J118</f>
        <v>77900</v>
      </c>
      <c r="D22" s="411"/>
    </row>
    <row r="23" spans="1:4" s="402" customFormat="1" ht="24.95" customHeight="1" x14ac:dyDescent="0.2">
      <c r="A23" s="403">
        <v>61</v>
      </c>
      <c r="B23" s="404" t="s">
        <v>122</v>
      </c>
      <c r="C23" s="405">
        <f>Egresos!J128</f>
        <v>22239.11</v>
      </c>
    </row>
    <row r="24" spans="1:4" ht="36" customHeight="1" thickBot="1" x14ac:dyDescent="0.25">
      <c r="A24" s="406">
        <v>72</v>
      </c>
      <c r="B24" s="402" t="s">
        <v>526</v>
      </c>
      <c r="C24" s="412">
        <f>+Egresos!J156</f>
        <v>1265.92</v>
      </c>
    </row>
    <row r="25" spans="1:4" ht="24.95" customHeight="1" thickBot="1" x14ac:dyDescent="0.25">
      <c r="A25" s="929" t="s">
        <v>117</v>
      </c>
      <c r="B25" s="930"/>
      <c r="C25" s="409">
        <f>SUM(C19:C24)</f>
        <v>2040638.95496</v>
      </c>
    </row>
    <row r="26" spans="1:4" ht="18" customHeight="1" x14ac:dyDescent="0.2"/>
    <row r="27" spans="1:4" ht="18" customHeight="1" x14ac:dyDescent="0.2"/>
  </sheetData>
  <mergeCells count="7">
    <mergeCell ref="A25:B25"/>
    <mergeCell ref="A3:C3"/>
    <mergeCell ref="A1:C1"/>
    <mergeCell ref="A2:C2"/>
    <mergeCell ref="A4:C4"/>
    <mergeCell ref="A15:B15"/>
    <mergeCell ref="A17:C17"/>
  </mergeCells>
  <printOptions horizontalCentered="1"/>
  <pageMargins left="0.70866141732283472" right="0.70866141732283472" top="0.74803149606299213" bottom="0.74803149606299213" header="0.31496062992125984" footer="0.31496062992125984"/>
  <pageSetup paperSize="5" scale="93" fitToWidth="0"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K46"/>
  <sheetViews>
    <sheetView view="pageBreakPreview" topLeftCell="A16" zoomScale="86" zoomScaleNormal="100" zoomScaleSheetLayoutView="86" workbookViewId="0">
      <selection activeCell="E103" sqref="E103"/>
    </sheetView>
  </sheetViews>
  <sheetFormatPr baseColWidth="10" defaultColWidth="11.42578125" defaultRowHeight="12.75" x14ac:dyDescent="0.2"/>
  <cols>
    <col min="1" max="1" width="4.5703125" style="23" customWidth="1"/>
    <col min="2" max="2" width="4.42578125" style="23" customWidth="1"/>
    <col min="3" max="4" width="4.5703125" style="23" customWidth="1"/>
    <col min="5" max="5" width="7.5703125" style="23" customWidth="1"/>
    <col min="6" max="6" width="11.42578125" style="23" customWidth="1"/>
    <col min="7" max="7" width="49.28515625" style="19" customWidth="1"/>
    <col min="8" max="8" width="21.28515625" style="4" customWidth="1"/>
    <col min="9" max="9" width="11.42578125" style="64"/>
    <col min="10" max="10" width="14.7109375" style="152" bestFit="1" customWidth="1"/>
    <col min="11" max="11" width="13.7109375" style="21" bestFit="1" customWidth="1"/>
    <col min="12" max="16384" width="11.42578125" style="21"/>
  </cols>
  <sheetData>
    <row r="1" spans="1:11" ht="20.25" x14ac:dyDescent="0.25">
      <c r="A1" s="1046"/>
      <c r="B1" s="1046"/>
      <c r="C1" s="1046"/>
      <c r="D1" s="1046"/>
      <c r="E1" s="1046"/>
      <c r="F1" s="1046"/>
      <c r="G1" s="1046"/>
      <c r="H1" s="1046"/>
      <c r="I1" s="161"/>
    </row>
    <row r="2" spans="1:11" ht="18" x14ac:dyDescent="0.2">
      <c r="A2" s="1045" t="s">
        <v>329</v>
      </c>
      <c r="B2" s="1045"/>
      <c r="C2" s="1045"/>
      <c r="D2" s="1045"/>
      <c r="E2" s="1045"/>
      <c r="F2" s="1045"/>
      <c r="G2" s="1045"/>
      <c r="H2" s="1045"/>
      <c r="I2" s="1045"/>
    </row>
    <row r="3" spans="1:11" ht="15.75" x14ac:dyDescent="0.25">
      <c r="A3" s="1062" t="s">
        <v>562</v>
      </c>
      <c r="B3" s="1063"/>
      <c r="C3" s="1063"/>
      <c r="D3" s="1063"/>
      <c r="E3" s="1063"/>
      <c r="F3" s="1063"/>
      <c r="G3" s="1063"/>
      <c r="H3" s="1063"/>
      <c r="K3" s="63"/>
    </row>
    <row r="4" spans="1:11" ht="15.75" x14ac:dyDescent="0.25">
      <c r="A4" s="1062" t="s">
        <v>592</v>
      </c>
      <c r="B4" s="1063"/>
      <c r="C4" s="1063"/>
      <c r="D4" s="1063"/>
      <c r="E4" s="1063"/>
      <c r="F4" s="1063"/>
      <c r="G4" s="1063"/>
      <c r="H4" s="1063"/>
      <c r="K4" s="63"/>
    </row>
    <row r="5" spans="1:11" ht="15" x14ac:dyDescent="0.2">
      <c r="A5" s="1076" t="s">
        <v>7</v>
      </c>
      <c r="B5" s="1077"/>
      <c r="C5" s="1077"/>
      <c r="D5" s="1077"/>
      <c r="E5" s="1077"/>
      <c r="F5" s="1077"/>
      <c r="G5" s="1077"/>
      <c r="H5" s="1077"/>
    </row>
    <row r="6" spans="1:11" ht="8.25" customHeight="1" x14ac:dyDescent="0.25">
      <c r="A6" s="1080"/>
      <c r="B6" s="1081"/>
      <c r="C6" s="1081"/>
      <c r="D6" s="1081"/>
      <c r="E6" s="1081"/>
      <c r="F6" s="1081"/>
      <c r="G6" s="1081"/>
      <c r="H6" s="1081"/>
    </row>
    <row r="7" spans="1:11" ht="15.75" x14ac:dyDescent="0.25">
      <c r="A7" s="1098" t="s">
        <v>155</v>
      </c>
      <c r="B7" s="1098"/>
      <c r="C7" s="1098"/>
      <c r="D7" s="1098"/>
      <c r="E7" s="1098"/>
      <c r="F7" s="1098"/>
      <c r="G7" s="1098"/>
      <c r="H7" s="1098"/>
      <c r="K7" s="63"/>
    </row>
    <row r="8" spans="1:11" ht="16.5" thickBot="1" x14ac:dyDescent="0.3">
      <c r="A8" s="1099" t="s">
        <v>636</v>
      </c>
      <c r="B8" s="1099"/>
      <c r="C8" s="1099"/>
      <c r="D8" s="1099"/>
      <c r="E8" s="1099"/>
      <c r="F8" s="1099"/>
      <c r="G8" s="1099"/>
      <c r="H8" s="1099"/>
      <c r="K8" s="63"/>
    </row>
    <row r="9" spans="1:11" ht="15.75" thickBot="1" x14ac:dyDescent="0.3">
      <c r="A9" s="1100" t="s">
        <v>0</v>
      </c>
      <c r="B9" s="1101"/>
      <c r="C9" s="1101"/>
      <c r="D9" s="1101"/>
      <c r="E9" s="1101"/>
      <c r="F9" s="1101"/>
      <c r="G9" s="1072" t="s">
        <v>130</v>
      </c>
      <c r="H9" s="1074" t="s">
        <v>131</v>
      </c>
      <c r="K9" s="63"/>
    </row>
    <row r="10" spans="1:11" ht="200.25" customHeight="1" thickBot="1" x14ac:dyDescent="0.25">
      <c r="A10" s="235" t="s">
        <v>124</v>
      </c>
      <c r="B10" s="236" t="s">
        <v>125</v>
      </c>
      <c r="C10" s="236" t="s">
        <v>104</v>
      </c>
      <c r="D10" s="236" t="s">
        <v>126</v>
      </c>
      <c r="E10" s="237" t="s">
        <v>132</v>
      </c>
      <c r="F10" s="238" t="s">
        <v>89</v>
      </c>
      <c r="G10" s="1073"/>
      <c r="H10" s="1075"/>
      <c r="J10" s="157"/>
    </row>
    <row r="11" spans="1:11" s="64" customFormat="1" ht="15.75" customHeight="1" x14ac:dyDescent="0.2">
      <c r="A11" s="8"/>
      <c r="B11" s="1"/>
      <c r="C11" s="10"/>
      <c r="D11" s="1"/>
      <c r="E11" s="10"/>
      <c r="F11" s="2"/>
      <c r="G11" s="6"/>
      <c r="H11" s="186"/>
      <c r="J11" s="152"/>
      <c r="K11" s="21"/>
    </row>
    <row r="12" spans="1:11" s="64" customFormat="1" ht="15.75" customHeight="1" x14ac:dyDescent="0.2">
      <c r="A12" s="8">
        <v>3</v>
      </c>
      <c r="B12" s="1" t="s">
        <v>47</v>
      </c>
      <c r="C12" s="10" t="s">
        <v>47</v>
      </c>
      <c r="D12" s="1" t="s">
        <v>46</v>
      </c>
      <c r="E12" s="10" t="s">
        <v>617</v>
      </c>
      <c r="F12" s="2">
        <v>55603</v>
      </c>
      <c r="G12" s="6" t="s">
        <v>147</v>
      </c>
      <c r="H12" s="186"/>
      <c r="J12" s="152"/>
      <c r="K12" s="21"/>
    </row>
    <row r="13" spans="1:11" s="64" customFormat="1" ht="15.75" customHeight="1" x14ac:dyDescent="0.2">
      <c r="A13" s="8">
        <v>3</v>
      </c>
      <c r="B13" s="1" t="s">
        <v>47</v>
      </c>
      <c r="C13" s="10" t="s">
        <v>47</v>
      </c>
      <c r="D13" s="1" t="s">
        <v>46</v>
      </c>
      <c r="E13" s="10" t="s">
        <v>617</v>
      </c>
      <c r="F13" s="2">
        <v>61501</v>
      </c>
      <c r="G13" s="6" t="s">
        <v>216</v>
      </c>
      <c r="H13" s="186"/>
      <c r="J13" s="152"/>
      <c r="K13" s="21"/>
    </row>
    <row r="14" spans="1:11" s="64" customFormat="1" ht="15.75" customHeight="1" x14ac:dyDescent="0.2">
      <c r="A14" s="8">
        <v>3</v>
      </c>
      <c r="B14" s="1" t="s">
        <v>47</v>
      </c>
      <c r="C14" s="10" t="s">
        <v>47</v>
      </c>
      <c r="D14" s="1" t="s">
        <v>46</v>
      </c>
      <c r="E14" s="10" t="s">
        <v>617</v>
      </c>
      <c r="F14" s="2">
        <v>61502</v>
      </c>
      <c r="G14" s="6" t="s">
        <v>217</v>
      </c>
      <c r="H14" s="186"/>
      <c r="J14" s="152"/>
      <c r="K14" s="21"/>
    </row>
    <row r="15" spans="1:11" ht="15.75" customHeight="1" x14ac:dyDescent="0.2">
      <c r="A15" s="8">
        <v>3</v>
      </c>
      <c r="B15" s="1" t="s">
        <v>47</v>
      </c>
      <c r="C15" s="10" t="s">
        <v>47</v>
      </c>
      <c r="D15" s="1" t="s">
        <v>46</v>
      </c>
      <c r="E15" s="10" t="s">
        <v>617</v>
      </c>
      <c r="F15" s="2">
        <v>61503</v>
      </c>
      <c r="G15" s="6" t="s">
        <v>218</v>
      </c>
      <c r="H15" s="186"/>
    </row>
    <row r="16" spans="1:11" ht="15.75" customHeight="1" x14ac:dyDescent="0.2">
      <c r="A16" s="8">
        <v>3</v>
      </c>
      <c r="B16" s="1" t="s">
        <v>47</v>
      </c>
      <c r="C16" s="10" t="s">
        <v>47</v>
      </c>
      <c r="D16" s="1" t="s">
        <v>46</v>
      </c>
      <c r="E16" s="10" t="s">
        <v>617</v>
      </c>
      <c r="F16" s="2">
        <v>61599</v>
      </c>
      <c r="G16" s="6" t="s">
        <v>166</v>
      </c>
      <c r="H16" s="186"/>
    </row>
    <row r="17" spans="1:11" ht="15.75" customHeight="1" x14ac:dyDescent="0.2">
      <c r="A17" s="8">
        <v>3</v>
      </c>
      <c r="B17" s="1" t="s">
        <v>47</v>
      </c>
      <c r="C17" s="10" t="s">
        <v>47</v>
      </c>
      <c r="D17" s="1" t="s">
        <v>46</v>
      </c>
      <c r="E17" s="10" t="s">
        <v>617</v>
      </c>
      <c r="F17" s="2">
        <v>61601</v>
      </c>
      <c r="G17" s="6" t="s">
        <v>167</v>
      </c>
      <c r="H17" s="186"/>
    </row>
    <row r="18" spans="1:11" ht="15.75" customHeight="1" x14ac:dyDescent="0.2">
      <c r="A18" s="8">
        <v>3</v>
      </c>
      <c r="B18" s="1" t="s">
        <v>47</v>
      </c>
      <c r="C18" s="10" t="s">
        <v>47</v>
      </c>
      <c r="D18" s="1" t="s">
        <v>46</v>
      </c>
      <c r="E18" s="10" t="s">
        <v>617</v>
      </c>
      <c r="F18" s="2">
        <v>61602</v>
      </c>
      <c r="G18" s="6" t="s">
        <v>219</v>
      </c>
      <c r="H18" s="186"/>
    </row>
    <row r="19" spans="1:11" ht="15.75" customHeight="1" x14ac:dyDescent="0.2">
      <c r="A19" s="8">
        <v>3</v>
      </c>
      <c r="B19" s="1" t="s">
        <v>47</v>
      </c>
      <c r="C19" s="10" t="s">
        <v>47</v>
      </c>
      <c r="D19" s="1" t="s">
        <v>46</v>
      </c>
      <c r="E19" s="10" t="s">
        <v>617</v>
      </c>
      <c r="F19" s="2">
        <v>61603</v>
      </c>
      <c r="G19" s="6" t="s">
        <v>220</v>
      </c>
      <c r="H19" s="186"/>
    </row>
    <row r="20" spans="1:11" ht="15.75" customHeight="1" x14ac:dyDescent="0.2">
      <c r="A20" s="8">
        <v>3</v>
      </c>
      <c r="B20" s="1" t="s">
        <v>47</v>
      </c>
      <c r="C20" s="10" t="s">
        <v>47</v>
      </c>
      <c r="D20" s="1" t="s">
        <v>46</v>
      </c>
      <c r="E20" s="10" t="s">
        <v>617</v>
      </c>
      <c r="F20" s="2">
        <v>61604</v>
      </c>
      <c r="G20" s="6" t="s">
        <v>221</v>
      </c>
      <c r="H20" s="186"/>
    </row>
    <row r="21" spans="1:11" ht="15.75" customHeight="1" x14ac:dyDescent="0.2">
      <c r="A21" s="8">
        <v>3</v>
      </c>
      <c r="B21" s="1" t="s">
        <v>47</v>
      </c>
      <c r="C21" s="10" t="s">
        <v>47</v>
      </c>
      <c r="D21" s="1" t="s">
        <v>46</v>
      </c>
      <c r="E21" s="10" t="s">
        <v>617</v>
      </c>
      <c r="F21" s="2">
        <v>61606</v>
      </c>
      <c r="G21" s="6" t="s">
        <v>222</v>
      </c>
      <c r="H21" s="186"/>
    </row>
    <row r="22" spans="1:11" ht="15.75" customHeight="1" x14ac:dyDescent="0.2">
      <c r="A22" s="8">
        <v>3</v>
      </c>
      <c r="B22" s="1" t="s">
        <v>47</v>
      </c>
      <c r="C22" s="10" t="s">
        <v>47</v>
      </c>
      <c r="D22" s="1" t="s">
        <v>46</v>
      </c>
      <c r="E22" s="10" t="s">
        <v>617</v>
      </c>
      <c r="F22" s="2">
        <v>61607</v>
      </c>
      <c r="G22" s="6" t="s">
        <v>168</v>
      </c>
      <c r="H22" s="186"/>
    </row>
    <row r="23" spans="1:11" ht="15.75" customHeight="1" x14ac:dyDescent="0.2">
      <c r="A23" s="8">
        <v>3</v>
      </c>
      <c r="B23" s="1" t="s">
        <v>47</v>
      </c>
      <c r="C23" s="10" t="s">
        <v>47</v>
      </c>
      <c r="D23" s="1" t="s">
        <v>46</v>
      </c>
      <c r="E23" s="10" t="s">
        <v>617</v>
      </c>
      <c r="F23" s="2">
        <v>61608</v>
      </c>
      <c r="G23" s="6" t="s">
        <v>169</v>
      </c>
      <c r="H23" s="186"/>
    </row>
    <row r="24" spans="1:11" ht="15.75" customHeight="1" x14ac:dyDescent="0.2">
      <c r="A24" s="8">
        <v>3</v>
      </c>
      <c r="B24" s="1" t="s">
        <v>47</v>
      </c>
      <c r="C24" s="10" t="s">
        <v>47</v>
      </c>
      <c r="D24" s="1" t="s">
        <v>46</v>
      </c>
      <c r="E24" s="10" t="s">
        <v>617</v>
      </c>
      <c r="F24" s="2">
        <v>61609</v>
      </c>
      <c r="G24" s="6" t="s">
        <v>495</v>
      </c>
      <c r="H24" s="186"/>
    </row>
    <row r="25" spans="1:11" ht="15.75" customHeight="1" x14ac:dyDescent="0.2">
      <c r="A25" s="8">
        <v>3</v>
      </c>
      <c r="B25" s="1" t="s">
        <v>47</v>
      </c>
      <c r="C25" s="10" t="s">
        <v>47</v>
      </c>
      <c r="D25" s="1" t="s">
        <v>46</v>
      </c>
      <c r="E25" s="10" t="s">
        <v>617</v>
      </c>
      <c r="F25" s="2">
        <v>61699</v>
      </c>
      <c r="G25" s="6" t="s">
        <v>170</v>
      </c>
      <c r="H25" s="186"/>
    </row>
    <row r="26" spans="1:11" ht="15.75" customHeight="1" x14ac:dyDescent="0.2">
      <c r="A26" s="18"/>
      <c r="B26" s="16"/>
      <c r="C26" s="1"/>
      <c r="D26" s="16"/>
      <c r="E26" s="204"/>
      <c r="F26" s="178"/>
      <c r="G26" s="7"/>
      <c r="H26" s="187"/>
    </row>
    <row r="27" spans="1:11" ht="15.75" customHeight="1" thickBot="1" x14ac:dyDescent="0.25">
      <c r="A27" s="18"/>
      <c r="B27" s="16"/>
      <c r="C27" s="177"/>
      <c r="D27" s="16"/>
      <c r="E27" s="177"/>
      <c r="F27" s="178">
        <v>72101</v>
      </c>
      <c r="G27" s="7" t="s">
        <v>524</v>
      </c>
      <c r="H27" s="187">
        <v>59228.68</v>
      </c>
    </row>
    <row r="28" spans="1:11" ht="27.75" customHeight="1" thickBot="1" x14ac:dyDescent="0.35">
      <c r="A28" s="1103"/>
      <c r="B28" s="1104"/>
      <c r="C28" s="1104"/>
      <c r="D28" s="1104"/>
      <c r="E28" s="1104"/>
      <c r="F28" s="1105"/>
      <c r="G28" s="283" t="s">
        <v>171</v>
      </c>
      <c r="H28" s="241">
        <f>SUM(H11:H27)</f>
        <v>59228.68</v>
      </c>
      <c r="J28" s="156"/>
      <c r="K28" s="63"/>
    </row>
    <row r="29" spans="1:11" x14ac:dyDescent="0.2">
      <c r="A29" s="22"/>
      <c r="B29" s="22"/>
      <c r="C29" s="22"/>
      <c r="D29" s="22"/>
      <c r="E29" s="22"/>
      <c r="F29" s="22"/>
      <c r="H29" s="34"/>
      <c r="K29" s="153"/>
    </row>
    <row r="30" spans="1:11" ht="15.75" x14ac:dyDescent="0.25">
      <c r="A30" s="22"/>
      <c r="B30" s="22"/>
      <c r="C30" s="22"/>
      <c r="D30" s="22"/>
      <c r="E30" s="22"/>
      <c r="F30" s="22"/>
      <c r="G30" s="35"/>
      <c r="H30" s="162"/>
      <c r="K30" s="153"/>
    </row>
    <row r="31" spans="1:11" ht="19.5" customHeight="1" x14ac:dyDescent="0.2">
      <c r="A31" s="1106" t="s">
        <v>8</v>
      </c>
      <c r="B31" s="1106"/>
      <c r="C31" s="1106"/>
      <c r="D31" s="1106"/>
      <c r="E31" s="1106"/>
      <c r="F31" s="1106"/>
      <c r="H31" s="163">
        <f>+H28-H30</f>
        <v>59228.68</v>
      </c>
      <c r="K31" s="179"/>
    </row>
    <row r="32" spans="1:11" x14ac:dyDescent="0.2">
      <c r="A32" s="1097" t="s">
        <v>1</v>
      </c>
      <c r="B32" s="1097"/>
      <c r="C32" s="1097"/>
      <c r="D32" s="1097"/>
      <c r="E32" s="1097"/>
      <c r="F32" s="1097"/>
      <c r="G32" s="1097"/>
    </row>
    <row r="33" spans="1:8" x14ac:dyDescent="0.2">
      <c r="A33" s="1097" t="s">
        <v>581</v>
      </c>
      <c r="B33" s="1097"/>
      <c r="C33" s="1097"/>
      <c r="D33" s="1097"/>
      <c r="E33" s="1097"/>
      <c r="F33" s="1097"/>
      <c r="G33" s="1097"/>
      <c r="H33" s="65"/>
    </row>
    <row r="34" spans="1:8" ht="13.5" thickBot="1" x14ac:dyDescent="0.25">
      <c r="A34" s="1097" t="s">
        <v>582</v>
      </c>
      <c r="B34" s="1097"/>
      <c r="C34" s="1097"/>
      <c r="D34" s="1097"/>
      <c r="E34" s="1097"/>
      <c r="F34" s="1097"/>
      <c r="G34" s="1097"/>
    </row>
    <row r="35" spans="1:8" ht="13.5" thickBot="1" x14ac:dyDescent="0.25">
      <c r="A35" s="1154" t="s">
        <v>637</v>
      </c>
      <c r="B35" s="1155"/>
      <c r="C35" s="1155"/>
      <c r="D35" s="1155"/>
      <c r="E35" s="1155"/>
      <c r="F35" s="1155"/>
      <c r="G35" s="1156"/>
    </row>
    <row r="37" spans="1:8" x14ac:dyDescent="0.2">
      <c r="E37" s="347" t="s">
        <v>639</v>
      </c>
      <c r="F37"/>
      <c r="G37"/>
      <c r="H37"/>
    </row>
    <row r="38" spans="1:8" x14ac:dyDescent="0.2">
      <c r="E38"/>
      <c r="F38"/>
      <c r="G38"/>
      <c r="H38"/>
    </row>
    <row r="39" spans="1:8" x14ac:dyDescent="0.2">
      <c r="E39" s="347"/>
      <c r="F39"/>
      <c r="G39"/>
      <c r="H39"/>
    </row>
    <row r="40" spans="1:8" ht="15" x14ac:dyDescent="0.2">
      <c r="E40" s="7" t="s">
        <v>524</v>
      </c>
      <c r="F40" s="347"/>
      <c r="G40" s="347"/>
      <c r="H40"/>
    </row>
    <row r="41" spans="1:8" x14ac:dyDescent="0.2">
      <c r="E41" s="297" t="s">
        <v>566</v>
      </c>
      <c r="F41" s="297" t="s">
        <v>571</v>
      </c>
      <c r="G41" s="297" t="s">
        <v>569</v>
      </c>
      <c r="H41"/>
    </row>
    <row r="42" spans="1:8" ht="127.5" x14ac:dyDescent="0.2">
      <c r="E42" s="178">
        <v>72101</v>
      </c>
      <c r="F42" s="354" t="s">
        <v>638</v>
      </c>
      <c r="G42" s="353">
        <v>59228.68</v>
      </c>
      <c r="H42" s="347"/>
    </row>
    <row r="43" spans="1:8" x14ac:dyDescent="0.2">
      <c r="E43" s="298"/>
      <c r="F43" s="298"/>
      <c r="G43" s="298"/>
      <c r="H43"/>
    </row>
    <row r="44" spans="1:8" x14ac:dyDescent="0.2">
      <c r="E44"/>
      <c r="F44"/>
      <c r="G44"/>
      <c r="H44"/>
    </row>
    <row r="45" spans="1:8" ht="13.5" thickBot="1" x14ac:dyDescent="0.25">
      <c r="E45"/>
      <c r="F45"/>
      <c r="G45"/>
      <c r="H45"/>
    </row>
    <row r="46" spans="1:8" ht="13.5" thickBot="1" x14ac:dyDescent="0.25">
      <c r="E46"/>
      <c r="F46" s="281" t="s">
        <v>628</v>
      </c>
      <c r="G46" s="352">
        <f>G42</f>
        <v>59228.68</v>
      </c>
      <c r="H46"/>
    </row>
  </sheetData>
  <mergeCells count="18">
    <mergeCell ref="A35:G35"/>
    <mergeCell ref="A6:H6"/>
    <mergeCell ref="A7:H7"/>
    <mergeCell ref="A8:H8"/>
    <mergeCell ref="A9:F9"/>
    <mergeCell ref="G9:G10"/>
    <mergeCell ref="H9:H10"/>
    <mergeCell ref="A28:F28"/>
    <mergeCell ref="A31:F31"/>
    <mergeCell ref="A32:G32"/>
    <mergeCell ref="A33:G33"/>
    <mergeCell ref="A34:G34"/>
    <mergeCell ref="A5:H5"/>
    <mergeCell ref="A1:D1"/>
    <mergeCell ref="E1:H1"/>
    <mergeCell ref="A2:I2"/>
    <mergeCell ref="A3:H3"/>
    <mergeCell ref="A4:H4"/>
  </mergeCells>
  <printOptions horizontalCentered="1"/>
  <pageMargins left="0.70866141732283472" right="0.70866141732283472" top="0.74803149606299213" bottom="0.74803149606299213" header="0.31496062992125984" footer="0.31496062992125984"/>
  <pageSetup paperSize="5" scale="85"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pageSetUpPr fitToPage="1"/>
  </sheetPr>
  <dimension ref="A1:K22"/>
  <sheetViews>
    <sheetView view="pageBreakPreview" zoomScale="80" zoomScaleNormal="75" zoomScaleSheetLayoutView="80" workbookViewId="0">
      <selection activeCell="B9" sqref="B9"/>
    </sheetView>
  </sheetViews>
  <sheetFormatPr baseColWidth="10" defaultColWidth="11.42578125" defaultRowHeight="12.75" x14ac:dyDescent="0.2"/>
  <cols>
    <col min="1" max="1" width="5.85546875" style="39" customWidth="1"/>
    <col min="2" max="2" width="38.140625" style="39" customWidth="1"/>
    <col min="3" max="3" width="10.28515625" style="39" customWidth="1"/>
    <col min="4" max="4" width="34.140625" style="39" hidden="1" customWidth="1"/>
    <col min="5" max="5" width="13.42578125" style="39" customWidth="1"/>
    <col min="6" max="7" width="11" style="39" customWidth="1"/>
    <col min="8" max="9" width="12.140625" style="39" customWidth="1"/>
    <col min="10" max="10" width="17.42578125" style="39" customWidth="1"/>
    <col min="11" max="16384" width="11.42578125" style="39"/>
  </cols>
  <sheetData>
    <row r="1" spans="1:11" ht="22.5" customHeight="1" x14ac:dyDescent="0.2">
      <c r="A1" s="1045" t="s">
        <v>329</v>
      </c>
      <c r="B1" s="1045"/>
      <c r="C1" s="1045"/>
      <c r="D1" s="1045"/>
      <c r="E1" s="1045"/>
      <c r="F1" s="1045"/>
      <c r="G1" s="1045"/>
      <c r="H1" s="1045"/>
      <c r="I1" s="1045"/>
      <c r="J1" s="1045"/>
      <c r="K1" s="1045"/>
    </row>
    <row r="2" spans="1:11" ht="21" customHeight="1" x14ac:dyDescent="0.2">
      <c r="A2" s="1170" t="s">
        <v>854</v>
      </c>
      <c r="B2" s="1170"/>
      <c r="C2" s="1170"/>
      <c r="D2" s="1170"/>
      <c r="E2" s="1170"/>
      <c r="F2" s="1170"/>
      <c r="G2" s="1170"/>
      <c r="H2" s="1170"/>
      <c r="I2" s="1170"/>
      <c r="J2" s="1170"/>
    </row>
    <row r="3" spans="1:11" ht="12.75" customHeight="1" thickBot="1" x14ac:dyDescent="0.25">
      <c r="B3" s="1049"/>
      <c r="C3" s="1049"/>
      <c r="D3" s="1049"/>
      <c r="E3" s="1049"/>
      <c r="F3" s="1049"/>
      <c r="G3" s="1049"/>
      <c r="H3" s="1049"/>
      <c r="I3" s="1049"/>
      <c r="J3" s="1049"/>
    </row>
    <row r="4" spans="1:11" ht="33" customHeight="1" thickTop="1" thickBot="1" x14ac:dyDescent="0.25">
      <c r="A4" s="1160" t="s">
        <v>223</v>
      </c>
      <c r="B4" s="1158" t="s">
        <v>229</v>
      </c>
      <c r="C4" s="1165" t="s">
        <v>228</v>
      </c>
      <c r="D4" s="1165"/>
      <c r="E4" s="244" t="s">
        <v>251</v>
      </c>
      <c r="F4" s="1163" t="s">
        <v>252</v>
      </c>
      <c r="G4" s="1164"/>
      <c r="H4" s="1164"/>
      <c r="I4" s="1174" t="s">
        <v>225</v>
      </c>
      <c r="J4" s="1166" t="s">
        <v>227</v>
      </c>
    </row>
    <row r="5" spans="1:11" ht="26.25" customHeight="1" thickBot="1" x14ac:dyDescent="0.25">
      <c r="A5" s="1161"/>
      <c r="B5" s="1169"/>
      <c r="C5" s="1165"/>
      <c r="D5" s="1165"/>
      <c r="E5" s="1158" t="s">
        <v>226</v>
      </c>
      <c r="F5" s="1158" t="s">
        <v>343</v>
      </c>
      <c r="G5" s="1158" t="s">
        <v>344</v>
      </c>
      <c r="H5" s="1158" t="s">
        <v>345</v>
      </c>
      <c r="I5" s="1169"/>
      <c r="J5" s="1167"/>
    </row>
    <row r="6" spans="1:11" ht="6" customHeight="1" thickBot="1" x14ac:dyDescent="0.25">
      <c r="A6" s="1162"/>
      <c r="B6" s="1159"/>
      <c r="C6" s="1165"/>
      <c r="D6" s="1165"/>
      <c r="E6" s="1159"/>
      <c r="F6" s="1159"/>
      <c r="G6" s="1159"/>
      <c r="H6" s="1159"/>
      <c r="I6" s="1159"/>
      <c r="J6" s="1168"/>
    </row>
    <row r="7" spans="1:11" ht="30" customHeight="1" x14ac:dyDescent="0.2">
      <c r="A7" s="66">
        <v>1</v>
      </c>
      <c r="B7" s="42" t="s">
        <v>657</v>
      </c>
      <c r="C7" s="100" t="s">
        <v>78</v>
      </c>
      <c r="D7" s="304" t="s">
        <v>640</v>
      </c>
      <c r="E7" s="70">
        <v>880</v>
      </c>
      <c r="F7" s="41"/>
      <c r="G7" s="68"/>
      <c r="H7" s="68"/>
      <c r="I7" s="99">
        <f>SUM(E7:H7)</f>
        <v>880</v>
      </c>
      <c r="J7" s="70">
        <f>+I7*12</f>
        <v>10560</v>
      </c>
    </row>
    <row r="8" spans="1:11" ht="30" customHeight="1" x14ac:dyDescent="0.2">
      <c r="A8" s="66">
        <v>2</v>
      </c>
      <c r="B8" s="42" t="s">
        <v>338</v>
      </c>
      <c r="C8" s="100" t="s">
        <v>78</v>
      </c>
      <c r="D8" s="304" t="s">
        <v>641</v>
      </c>
      <c r="E8" s="70">
        <v>880</v>
      </c>
      <c r="F8" s="41">
        <v>66</v>
      </c>
      <c r="G8" s="68">
        <v>8.8000000000000007</v>
      </c>
      <c r="H8" s="68">
        <v>68.2</v>
      </c>
      <c r="I8" s="99">
        <f>SUM(E8:H8)</f>
        <v>1023</v>
      </c>
      <c r="J8" s="70">
        <f>+I8*12</f>
        <v>12276</v>
      </c>
    </row>
    <row r="9" spans="1:11" ht="30" customHeight="1" x14ac:dyDescent="0.2">
      <c r="A9" s="66">
        <v>3</v>
      </c>
      <c r="B9" s="42" t="s">
        <v>339</v>
      </c>
      <c r="C9" s="100" t="s">
        <v>78</v>
      </c>
      <c r="D9" s="304" t="s">
        <v>642</v>
      </c>
      <c r="E9" s="70">
        <v>880</v>
      </c>
      <c r="F9" s="41"/>
      <c r="G9" s="68"/>
      <c r="H9" s="68"/>
      <c r="I9" s="99">
        <f>SUM(E9:H9)</f>
        <v>880</v>
      </c>
      <c r="J9" s="70">
        <f>+I9*12</f>
        <v>10560</v>
      </c>
    </row>
    <row r="10" spans="1:11" ht="30" customHeight="1" x14ac:dyDescent="0.2">
      <c r="A10" s="66">
        <v>4</v>
      </c>
      <c r="B10" s="42" t="s">
        <v>340</v>
      </c>
      <c r="C10" s="100" t="s">
        <v>78</v>
      </c>
      <c r="D10" s="304" t="s">
        <v>643</v>
      </c>
      <c r="E10" s="70">
        <v>880</v>
      </c>
      <c r="F10" s="41">
        <v>66</v>
      </c>
      <c r="G10" s="68">
        <v>8.8000000000000007</v>
      </c>
      <c r="H10" s="68">
        <v>68.2</v>
      </c>
      <c r="I10" s="99">
        <f>SUM(E10:H10)</f>
        <v>1023</v>
      </c>
      <c r="J10" s="70">
        <f>+I10*12</f>
        <v>12276</v>
      </c>
    </row>
    <row r="11" spans="1:11" ht="30" customHeight="1" x14ac:dyDescent="0.2">
      <c r="A11" s="66">
        <v>5</v>
      </c>
      <c r="B11" s="42" t="s">
        <v>341</v>
      </c>
      <c r="C11" s="100" t="s">
        <v>78</v>
      </c>
      <c r="D11" s="304" t="s">
        <v>644</v>
      </c>
      <c r="E11" s="70">
        <v>880</v>
      </c>
      <c r="F11" s="41">
        <v>66</v>
      </c>
      <c r="G11" s="68">
        <v>8.8000000000000007</v>
      </c>
      <c r="H11" s="68">
        <v>68.2</v>
      </c>
      <c r="I11" s="99">
        <f t="shared" ref="I11:I18" si="0">SUM(E11:H11)</f>
        <v>1023</v>
      </c>
      <c r="J11" s="70">
        <f t="shared" ref="J11:J18" si="1">+I11*12</f>
        <v>12276</v>
      </c>
    </row>
    <row r="12" spans="1:11" ht="30" customHeight="1" x14ac:dyDescent="0.2">
      <c r="A12" s="66">
        <v>6</v>
      </c>
      <c r="B12" s="42" t="s">
        <v>342</v>
      </c>
      <c r="C12" s="100" t="s">
        <v>78</v>
      </c>
      <c r="D12" s="304" t="s">
        <v>645</v>
      </c>
      <c r="E12" s="70">
        <v>880</v>
      </c>
      <c r="F12" s="41"/>
      <c r="G12" s="68"/>
      <c r="H12" s="68"/>
      <c r="I12" s="99">
        <f t="shared" si="0"/>
        <v>880</v>
      </c>
      <c r="J12" s="70">
        <f t="shared" si="1"/>
        <v>10560</v>
      </c>
    </row>
    <row r="13" spans="1:11" ht="30" customHeight="1" x14ac:dyDescent="0.2">
      <c r="A13" s="66">
        <v>7</v>
      </c>
      <c r="B13" s="42" t="s">
        <v>656</v>
      </c>
      <c r="C13" s="100" t="s">
        <v>78</v>
      </c>
      <c r="D13" s="98" t="s">
        <v>646</v>
      </c>
      <c r="E13" s="70">
        <v>880</v>
      </c>
      <c r="F13" s="41">
        <v>66</v>
      </c>
      <c r="G13" s="68">
        <v>8.8000000000000007</v>
      </c>
      <c r="H13" s="68">
        <v>68.2</v>
      </c>
      <c r="I13" s="99">
        <f t="shared" si="0"/>
        <v>1023</v>
      </c>
      <c r="J13" s="70">
        <f t="shared" si="1"/>
        <v>12276</v>
      </c>
    </row>
    <row r="14" spans="1:11" ht="30" customHeight="1" x14ac:dyDescent="0.2">
      <c r="A14" s="66">
        <v>8</v>
      </c>
      <c r="B14" s="42" t="s">
        <v>654</v>
      </c>
      <c r="C14" s="100" t="s">
        <v>78</v>
      </c>
      <c r="D14" s="98" t="s">
        <v>647</v>
      </c>
      <c r="E14" s="70">
        <v>880</v>
      </c>
      <c r="F14" s="41">
        <v>66</v>
      </c>
      <c r="G14" s="68">
        <v>8.8000000000000007</v>
      </c>
      <c r="H14" s="68">
        <v>68.2</v>
      </c>
      <c r="I14" s="99">
        <f t="shared" si="0"/>
        <v>1023</v>
      </c>
      <c r="J14" s="70">
        <f t="shared" si="1"/>
        <v>12276</v>
      </c>
    </row>
    <row r="15" spans="1:11" ht="30" customHeight="1" x14ac:dyDescent="0.2">
      <c r="A15" s="66">
        <v>9</v>
      </c>
      <c r="B15" s="42" t="s">
        <v>653</v>
      </c>
      <c r="C15" s="100" t="s">
        <v>78</v>
      </c>
      <c r="D15" s="98" t="s">
        <v>648</v>
      </c>
      <c r="E15" s="70">
        <v>880</v>
      </c>
      <c r="F15" s="41">
        <v>66</v>
      </c>
      <c r="G15" s="68">
        <v>8.8000000000000007</v>
      </c>
      <c r="H15" s="68">
        <v>68.2</v>
      </c>
      <c r="I15" s="99">
        <f t="shared" si="0"/>
        <v>1023</v>
      </c>
      <c r="J15" s="70">
        <f t="shared" si="1"/>
        <v>12276</v>
      </c>
    </row>
    <row r="16" spans="1:11" ht="30" customHeight="1" x14ac:dyDescent="0.2">
      <c r="A16" s="66">
        <v>10</v>
      </c>
      <c r="B16" s="42" t="s">
        <v>652</v>
      </c>
      <c r="C16" s="100" t="s">
        <v>78</v>
      </c>
      <c r="D16" s="98" t="s">
        <v>649</v>
      </c>
      <c r="E16" s="70">
        <v>880</v>
      </c>
      <c r="F16" s="41"/>
      <c r="G16" s="68"/>
      <c r="H16" s="68"/>
      <c r="I16" s="99">
        <f t="shared" si="0"/>
        <v>880</v>
      </c>
      <c r="J16" s="70">
        <f t="shared" si="1"/>
        <v>10560</v>
      </c>
    </row>
    <row r="17" spans="1:10" ht="30" customHeight="1" x14ac:dyDescent="0.2">
      <c r="A17" s="66">
        <v>11</v>
      </c>
      <c r="B17" s="42" t="s">
        <v>230</v>
      </c>
      <c r="C17" s="100" t="s">
        <v>78</v>
      </c>
      <c r="D17" s="98" t="s">
        <v>650</v>
      </c>
      <c r="E17" s="70">
        <v>880</v>
      </c>
      <c r="F17" s="41">
        <v>66</v>
      </c>
      <c r="G17" s="68">
        <v>8.8000000000000007</v>
      </c>
      <c r="H17" s="68">
        <v>68.2</v>
      </c>
      <c r="I17" s="99">
        <f t="shared" si="0"/>
        <v>1023</v>
      </c>
      <c r="J17" s="70">
        <f t="shared" si="1"/>
        <v>12276</v>
      </c>
    </row>
    <row r="18" spans="1:10" ht="30" customHeight="1" thickBot="1" x14ac:dyDescent="0.25">
      <c r="A18" s="66">
        <v>12</v>
      </c>
      <c r="B18" s="42" t="s">
        <v>655</v>
      </c>
      <c r="C18" s="100" t="s">
        <v>78</v>
      </c>
      <c r="D18" s="98" t="s">
        <v>651</v>
      </c>
      <c r="E18" s="70">
        <v>880</v>
      </c>
      <c r="F18" s="41">
        <v>66</v>
      </c>
      <c r="G18" s="68">
        <v>8.8000000000000007</v>
      </c>
      <c r="H18" s="68">
        <v>68.2</v>
      </c>
      <c r="I18" s="99">
        <f t="shared" si="0"/>
        <v>1023</v>
      </c>
      <c r="J18" s="70">
        <f t="shared" si="1"/>
        <v>12276</v>
      </c>
    </row>
    <row r="19" spans="1:10" ht="27.75" customHeight="1" thickBot="1" x14ac:dyDescent="0.25">
      <c r="A19" s="1171"/>
      <c r="B19" s="1172"/>
      <c r="C19" s="1172"/>
      <c r="D19" s="1173"/>
      <c r="E19" s="245">
        <f t="shared" ref="E19:J19" si="2">SUM(E7:E18)</f>
        <v>10560</v>
      </c>
      <c r="F19" s="245">
        <f t="shared" si="2"/>
        <v>528</v>
      </c>
      <c r="G19" s="245">
        <f t="shared" si="2"/>
        <v>70.399999999999991</v>
      </c>
      <c r="H19" s="245">
        <f t="shared" si="2"/>
        <v>545.6</v>
      </c>
      <c r="I19" s="245">
        <f t="shared" si="2"/>
        <v>11704</v>
      </c>
      <c r="J19" s="245">
        <f t="shared" si="2"/>
        <v>140448</v>
      </c>
    </row>
    <row r="20" spans="1:10" ht="24.95" customHeight="1" x14ac:dyDescent="0.2"/>
    <row r="21" spans="1:10" ht="24.95" customHeight="1" x14ac:dyDescent="0.2">
      <c r="B21" s="1157"/>
      <c r="C21" s="1157"/>
      <c r="D21" s="1157"/>
      <c r="E21" s="36"/>
    </row>
    <row r="22" spans="1:10" ht="24.95" customHeight="1" x14ac:dyDescent="0.2"/>
  </sheetData>
  <mergeCells count="16">
    <mergeCell ref="A1:K1"/>
    <mergeCell ref="B21:D21"/>
    <mergeCell ref="B3:J3"/>
    <mergeCell ref="E5:E6"/>
    <mergeCell ref="A4:A6"/>
    <mergeCell ref="H5:H6"/>
    <mergeCell ref="F4:H4"/>
    <mergeCell ref="C4:C6"/>
    <mergeCell ref="J4:J6"/>
    <mergeCell ref="F5:F6"/>
    <mergeCell ref="B4:B6"/>
    <mergeCell ref="D4:D6"/>
    <mergeCell ref="A2:J2"/>
    <mergeCell ref="A19:D19"/>
    <mergeCell ref="G5:G6"/>
    <mergeCell ref="I4:I6"/>
  </mergeCells>
  <phoneticPr fontId="4" type="noConversion"/>
  <printOptions horizontalCentered="1"/>
  <pageMargins left="1.7" right="0.82" top="0.98425196850393704" bottom="0.98425196850393704" header="0" footer="0"/>
  <pageSetup paperSize="5" fitToHeight="0" orientation="landscape" r:id="rId1"/>
  <headerFooter alignWithMargins="0"/>
  <colBreaks count="1" manualBreakCount="1">
    <brk id="10"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M126"/>
  <sheetViews>
    <sheetView topLeftCell="A40" workbookViewId="0">
      <selection activeCell="E44" sqref="E44"/>
    </sheetView>
  </sheetViews>
  <sheetFormatPr baseColWidth="10" defaultColWidth="11.42578125" defaultRowHeight="12.75" x14ac:dyDescent="0.2"/>
  <cols>
    <col min="1" max="1" width="7" style="39" customWidth="1"/>
    <col min="2" max="2" width="48.28515625" style="39" customWidth="1"/>
    <col min="3" max="3" width="41.85546875" style="39" customWidth="1"/>
    <col min="4" max="4" width="15.5703125" style="39" customWidth="1"/>
    <col min="5" max="5" width="11.42578125" style="39" customWidth="1"/>
    <col min="6" max="7" width="12.85546875" style="39" customWidth="1"/>
    <col min="8" max="8" width="13.7109375" style="39" customWidth="1"/>
    <col min="9" max="9" width="15.140625" style="39" customWidth="1"/>
    <col min="10" max="10" width="10.28515625" style="39" customWidth="1"/>
    <col min="11" max="12" width="15.140625" style="39" customWidth="1"/>
    <col min="13" max="13" width="15" style="39" customWidth="1"/>
    <col min="14" max="16384" width="11.42578125" style="39"/>
  </cols>
  <sheetData>
    <row r="1" spans="1:13" ht="22.5" customHeight="1" x14ac:dyDescent="0.2">
      <c r="A1" s="1170" t="s">
        <v>496</v>
      </c>
      <c r="B1" s="1170"/>
      <c r="C1" s="1170"/>
      <c r="D1" s="1170"/>
      <c r="E1" s="1170"/>
      <c r="F1" s="1170"/>
      <c r="G1" s="1170"/>
      <c r="H1" s="1170"/>
      <c r="I1" s="1170"/>
      <c r="J1" s="1170"/>
      <c r="K1" s="1170"/>
      <c r="L1" s="1170"/>
      <c r="M1" s="1170"/>
    </row>
    <row r="2" spans="1:13" ht="21" customHeight="1" x14ac:dyDescent="0.2">
      <c r="A2" s="1170" t="s">
        <v>331</v>
      </c>
      <c r="B2" s="1170"/>
      <c r="C2" s="1170"/>
      <c r="D2" s="1170"/>
      <c r="E2" s="1170"/>
      <c r="F2" s="1170"/>
      <c r="G2" s="1170"/>
      <c r="H2" s="1170"/>
      <c r="I2" s="1170"/>
      <c r="J2" s="1170"/>
      <c r="K2" s="1170"/>
      <c r="L2" s="1170"/>
      <c r="M2" s="1170"/>
    </row>
    <row r="3" spans="1:13" ht="12.75" customHeight="1" thickBot="1" x14ac:dyDescent="0.25">
      <c r="B3" s="1049"/>
      <c r="C3" s="1049"/>
      <c r="D3" s="1049"/>
      <c r="E3" s="1049"/>
      <c r="F3" s="1049"/>
      <c r="G3" s="1049"/>
      <c r="H3" s="1049"/>
      <c r="I3" s="1049"/>
      <c r="J3" s="1049"/>
      <c r="K3" s="1049"/>
      <c r="L3" s="1049"/>
      <c r="M3" s="1049"/>
    </row>
    <row r="4" spans="1:13" ht="51" customHeight="1" thickBot="1" x14ac:dyDescent="0.25">
      <c r="A4" s="1181"/>
      <c r="B4" s="1184"/>
      <c r="C4" s="91"/>
      <c r="D4" s="1187"/>
      <c r="E4" s="1178"/>
      <c r="F4" s="1179"/>
      <c r="G4" s="1179"/>
      <c r="H4" s="1180"/>
      <c r="I4" s="1188"/>
      <c r="J4" s="1189"/>
      <c r="K4" s="1189"/>
      <c r="L4" s="1190"/>
      <c r="M4" s="1184"/>
    </row>
    <row r="5" spans="1:13" ht="26.25" customHeight="1" thickBot="1" x14ac:dyDescent="0.25">
      <c r="A5" s="1182"/>
      <c r="B5" s="1185"/>
      <c r="C5" s="89"/>
      <c r="D5" s="1187"/>
      <c r="E5" s="1184"/>
      <c r="F5" s="1184"/>
      <c r="G5" s="91"/>
      <c r="H5" s="91"/>
      <c r="I5" s="1184"/>
      <c r="J5" s="91"/>
      <c r="K5" s="1184"/>
      <c r="L5" s="89"/>
      <c r="M5" s="1185"/>
    </row>
    <row r="6" spans="1:13" ht="13.5" thickBot="1" x14ac:dyDescent="0.25">
      <c r="A6" s="1183"/>
      <c r="B6" s="1186"/>
      <c r="C6" s="88"/>
      <c r="D6" s="1187"/>
      <c r="E6" s="1186"/>
      <c r="F6" s="1186"/>
      <c r="G6" s="88"/>
      <c r="H6" s="88"/>
      <c r="I6" s="1186"/>
      <c r="J6" s="88"/>
      <c r="K6" s="1186"/>
      <c r="L6" s="88"/>
      <c r="M6" s="1186"/>
    </row>
    <row r="7" spans="1:13" ht="15" customHeight="1" x14ac:dyDescent="0.2">
      <c r="A7" s="66"/>
      <c r="B7" s="43"/>
      <c r="C7" s="101"/>
      <c r="D7" s="40"/>
      <c r="E7" s="70"/>
      <c r="F7" s="70"/>
      <c r="G7" s="70"/>
      <c r="H7" s="70"/>
      <c r="I7" s="41"/>
      <c r="J7" s="68"/>
      <c r="K7" s="68"/>
      <c r="L7" s="68"/>
      <c r="M7" s="67"/>
    </row>
    <row r="8" spans="1:13" ht="15" customHeight="1" x14ac:dyDescent="0.2">
      <c r="A8" s="66"/>
      <c r="B8" s="42"/>
      <c r="C8" s="102"/>
      <c r="D8" s="40"/>
      <c r="E8" s="70"/>
      <c r="F8" s="70"/>
      <c r="G8" s="70"/>
      <c r="H8" s="70"/>
      <c r="I8" s="41"/>
      <c r="J8" s="68"/>
      <c r="K8" s="68"/>
      <c r="L8" s="68"/>
      <c r="M8" s="67"/>
    </row>
    <row r="9" spans="1:13" ht="15" customHeight="1" x14ac:dyDescent="0.2">
      <c r="A9" s="66"/>
      <c r="B9" s="42"/>
      <c r="C9" s="102"/>
      <c r="D9" s="40"/>
      <c r="E9" s="70"/>
      <c r="F9" s="70"/>
      <c r="G9" s="70"/>
      <c r="H9" s="70"/>
      <c r="I9" s="41"/>
      <c r="J9" s="68"/>
      <c r="K9" s="68"/>
      <c r="L9" s="68"/>
      <c r="M9" s="67"/>
    </row>
    <row r="10" spans="1:13" ht="15" customHeight="1" x14ac:dyDescent="0.2">
      <c r="A10" s="66"/>
      <c r="B10" s="42"/>
      <c r="C10" s="102"/>
      <c r="D10" s="40"/>
      <c r="E10" s="70"/>
      <c r="F10" s="70"/>
      <c r="G10" s="70"/>
      <c r="H10" s="70"/>
      <c r="I10" s="41"/>
      <c r="J10" s="68"/>
      <c r="K10" s="68"/>
      <c r="L10" s="68"/>
      <c r="M10" s="67"/>
    </row>
    <row r="11" spans="1:13" ht="15" customHeight="1" x14ac:dyDescent="0.2">
      <c r="A11" s="66"/>
      <c r="B11" s="42"/>
      <c r="C11" s="102"/>
      <c r="D11" s="40"/>
      <c r="E11" s="70"/>
      <c r="F11" s="70"/>
      <c r="G11" s="70"/>
      <c r="H11" s="70"/>
      <c r="I11" s="41"/>
      <c r="J11" s="68"/>
      <c r="K11" s="68"/>
      <c r="L11" s="68"/>
      <c r="M11" s="67"/>
    </row>
    <row r="12" spans="1:13" ht="15" customHeight="1" x14ac:dyDescent="0.2">
      <c r="A12" s="66"/>
      <c r="B12" s="42"/>
      <c r="C12" s="102"/>
      <c r="D12" s="40"/>
      <c r="E12" s="70"/>
      <c r="F12" s="70"/>
      <c r="G12" s="70"/>
      <c r="H12" s="70"/>
      <c r="I12" s="41"/>
      <c r="J12" s="68"/>
      <c r="K12" s="68"/>
      <c r="L12" s="68"/>
      <c r="M12" s="67"/>
    </row>
    <row r="13" spans="1:13" ht="15" customHeight="1" x14ac:dyDescent="0.2">
      <c r="A13" s="66"/>
      <c r="B13" s="42"/>
      <c r="C13" s="102"/>
      <c r="D13" s="40"/>
      <c r="E13" s="70"/>
      <c r="F13" s="70"/>
      <c r="G13" s="70"/>
      <c r="H13" s="70"/>
      <c r="I13" s="41"/>
      <c r="J13" s="68"/>
      <c r="K13" s="68"/>
      <c r="L13" s="68"/>
      <c r="M13" s="67"/>
    </row>
    <row r="14" spans="1:13" ht="15" customHeight="1" x14ac:dyDescent="0.2">
      <c r="A14" s="66"/>
      <c r="B14" s="42"/>
      <c r="C14" s="102"/>
      <c r="D14" s="40"/>
      <c r="E14" s="70"/>
      <c r="F14" s="70"/>
      <c r="G14" s="70"/>
      <c r="H14" s="70"/>
      <c r="I14" s="41"/>
      <c r="J14" s="68"/>
      <c r="K14" s="68"/>
      <c r="L14" s="68"/>
      <c r="M14" s="67"/>
    </row>
    <row r="15" spans="1:13" ht="15" customHeight="1" x14ac:dyDescent="0.2">
      <c r="A15" s="66"/>
      <c r="B15" s="42"/>
      <c r="C15" s="102"/>
      <c r="D15" s="40"/>
      <c r="E15" s="70"/>
      <c r="F15" s="70"/>
      <c r="G15" s="70"/>
      <c r="H15" s="70"/>
      <c r="I15" s="41"/>
      <c r="J15" s="68"/>
      <c r="K15" s="68"/>
      <c r="L15" s="68"/>
      <c r="M15" s="67"/>
    </row>
    <row r="16" spans="1:13" ht="15" customHeight="1" x14ac:dyDescent="0.2">
      <c r="A16" s="66"/>
      <c r="B16" s="42"/>
      <c r="C16" s="102"/>
      <c r="D16" s="40"/>
      <c r="E16" s="70"/>
      <c r="F16" s="70"/>
      <c r="G16" s="70"/>
      <c r="H16" s="70"/>
      <c r="I16" s="41"/>
      <c r="J16" s="68"/>
      <c r="K16" s="68"/>
      <c r="L16" s="68"/>
      <c r="M16" s="67"/>
    </row>
    <row r="17" spans="1:13" ht="15" customHeight="1" x14ac:dyDescent="0.2">
      <c r="A17" s="66"/>
      <c r="B17" s="69"/>
      <c r="C17" s="97"/>
      <c r="D17" s="40"/>
      <c r="E17" s="70"/>
      <c r="F17" s="70"/>
      <c r="G17" s="70"/>
      <c r="H17" s="70"/>
      <c r="I17" s="41"/>
      <c r="J17" s="68"/>
      <c r="K17" s="68"/>
      <c r="L17" s="68"/>
      <c r="M17" s="67"/>
    </row>
    <row r="18" spans="1:13" ht="15" customHeight="1" x14ac:dyDescent="0.2">
      <c r="A18" s="66"/>
      <c r="B18" s="42"/>
      <c r="C18" s="102"/>
      <c r="D18" s="40"/>
      <c r="E18" s="70"/>
      <c r="F18" s="70"/>
      <c r="G18" s="70"/>
      <c r="H18" s="70"/>
      <c r="I18" s="41"/>
      <c r="J18" s="68"/>
      <c r="K18" s="68"/>
      <c r="L18" s="68"/>
      <c r="M18" s="67"/>
    </row>
    <row r="19" spans="1:13" ht="15" customHeight="1" x14ac:dyDescent="0.2">
      <c r="A19" s="66"/>
      <c r="B19" s="69"/>
      <c r="C19" s="97"/>
      <c r="D19" s="40"/>
      <c r="E19" s="70"/>
      <c r="F19" s="70"/>
      <c r="G19" s="70"/>
      <c r="H19" s="70"/>
      <c r="I19" s="41"/>
      <c r="J19" s="68"/>
      <c r="K19" s="68"/>
      <c r="L19" s="68"/>
      <c r="M19" s="67"/>
    </row>
    <row r="20" spans="1:13" ht="15" customHeight="1" x14ac:dyDescent="0.2">
      <c r="A20" s="66"/>
      <c r="B20" s="69"/>
      <c r="C20" s="97"/>
      <c r="D20" s="40"/>
      <c r="E20" s="70"/>
      <c r="F20" s="70"/>
      <c r="G20" s="70"/>
      <c r="H20" s="70"/>
      <c r="I20" s="41"/>
      <c r="J20" s="68"/>
      <c r="K20" s="68"/>
      <c r="L20" s="68"/>
      <c r="M20" s="67"/>
    </row>
    <row r="21" spans="1:13" ht="15" customHeight="1" x14ac:dyDescent="0.2">
      <c r="A21" s="66"/>
      <c r="B21" s="69"/>
      <c r="C21" s="97"/>
      <c r="D21" s="40"/>
      <c r="E21" s="70"/>
      <c r="F21" s="70"/>
      <c r="G21" s="70"/>
      <c r="H21" s="70"/>
      <c r="I21" s="41"/>
      <c r="J21" s="68"/>
      <c r="K21" s="68"/>
      <c r="L21" s="68"/>
      <c r="M21" s="67"/>
    </row>
    <row r="22" spans="1:13" ht="15" customHeight="1" x14ac:dyDescent="0.2">
      <c r="A22" s="66"/>
      <c r="B22" s="69"/>
      <c r="C22" s="97"/>
      <c r="D22" s="40"/>
      <c r="E22" s="70"/>
      <c r="F22" s="70"/>
      <c r="G22" s="70"/>
      <c r="H22" s="70"/>
      <c r="I22" s="41"/>
      <c r="J22" s="68"/>
      <c r="K22" s="68"/>
      <c r="L22" s="68"/>
      <c r="M22" s="67"/>
    </row>
    <row r="23" spans="1:13" ht="15" customHeight="1" x14ac:dyDescent="0.2">
      <c r="A23" s="66"/>
      <c r="B23" s="69"/>
      <c r="C23" s="97"/>
      <c r="D23" s="40"/>
      <c r="E23" s="70"/>
      <c r="F23" s="70"/>
      <c r="G23" s="70"/>
      <c r="H23" s="70"/>
      <c r="I23" s="41"/>
      <c r="J23" s="68"/>
      <c r="K23" s="68"/>
      <c r="L23" s="68"/>
      <c r="M23" s="67"/>
    </row>
    <row r="24" spans="1:13" ht="15" customHeight="1" thickBot="1" x14ac:dyDescent="0.25">
      <c r="A24" s="66"/>
      <c r="B24" s="69"/>
      <c r="C24" s="97"/>
      <c r="D24" s="40"/>
      <c r="E24" s="70"/>
      <c r="F24" s="70"/>
      <c r="G24" s="70"/>
      <c r="H24" s="70"/>
      <c r="I24" s="41"/>
      <c r="J24" s="68"/>
      <c r="K24" s="68"/>
      <c r="L24" s="68"/>
      <c r="M24" s="67"/>
    </row>
    <row r="25" spans="1:13" ht="15" customHeight="1" thickBot="1" x14ac:dyDescent="0.25">
      <c r="A25" s="1175"/>
      <c r="B25" s="1176"/>
      <c r="C25" s="1176"/>
      <c r="D25" s="1177"/>
      <c r="E25" s="71"/>
      <c r="F25" s="71"/>
      <c r="G25" s="71"/>
      <c r="H25" s="71"/>
      <c r="I25" s="71"/>
      <c r="J25" s="71"/>
      <c r="K25" s="71"/>
      <c r="L25" s="71"/>
      <c r="M25" s="71"/>
    </row>
    <row r="26" spans="1:13" ht="15" customHeight="1" x14ac:dyDescent="0.2">
      <c r="A26" s="92"/>
      <c r="B26" s="92"/>
      <c r="C26" s="92"/>
      <c r="D26" s="92"/>
      <c r="E26" s="93"/>
      <c r="F26" s="93"/>
      <c r="G26" s="93"/>
      <c r="H26" s="93"/>
      <c r="I26" s="93"/>
      <c r="J26" s="93"/>
      <c r="K26" s="93"/>
      <c r="L26" s="93"/>
      <c r="M26" s="93"/>
    </row>
    <row r="27" spans="1:13" ht="15" customHeight="1" x14ac:dyDescent="0.2">
      <c r="A27" s="92"/>
      <c r="B27" s="92"/>
      <c r="C27" s="92"/>
      <c r="D27" s="92"/>
      <c r="E27" s="93"/>
      <c r="F27" s="93"/>
      <c r="G27" s="93"/>
      <c r="H27" s="93"/>
      <c r="I27" s="93"/>
      <c r="J27" s="93"/>
      <c r="K27" s="93"/>
      <c r="L27" s="93"/>
      <c r="M27" s="93"/>
    </row>
    <row r="28" spans="1:13" ht="15" customHeight="1" x14ac:dyDescent="0.2">
      <c r="A28" s="92"/>
      <c r="B28" s="92"/>
      <c r="C28" s="92"/>
      <c r="D28" s="92"/>
      <c r="E28" s="93"/>
      <c r="F28" s="93"/>
      <c r="G28" s="93"/>
      <c r="H28" s="93"/>
      <c r="I28" s="93"/>
      <c r="J28" s="93"/>
      <c r="K28" s="93"/>
      <c r="L28" s="93"/>
      <c r="M28" s="93"/>
    </row>
    <row r="29" spans="1:13" ht="15" customHeight="1" x14ac:dyDescent="0.2">
      <c r="A29" s="92"/>
      <c r="B29" s="92"/>
      <c r="C29" s="92"/>
      <c r="D29" s="92"/>
      <c r="E29" s="93"/>
      <c r="F29" s="93"/>
      <c r="G29" s="93"/>
      <c r="H29" s="93"/>
      <c r="I29" s="93"/>
      <c r="J29" s="93"/>
      <c r="K29" s="93"/>
      <c r="L29" s="93"/>
      <c r="M29" s="93"/>
    </row>
    <row r="30" spans="1:13" ht="15" customHeight="1" x14ac:dyDescent="0.2">
      <c r="A30" s="92"/>
      <c r="B30" s="92"/>
      <c r="C30" s="92"/>
      <c r="D30" s="92"/>
      <c r="E30" s="93"/>
      <c r="F30" s="93"/>
      <c r="G30" s="93"/>
      <c r="H30" s="93"/>
      <c r="I30" s="93"/>
      <c r="J30" s="93"/>
      <c r="K30" s="93"/>
      <c r="L30" s="93"/>
      <c r="M30" s="93"/>
    </row>
    <row r="31" spans="1:13" ht="15" customHeight="1" x14ac:dyDescent="0.2">
      <c r="A31" s="92"/>
      <c r="B31" s="92"/>
      <c r="C31" s="92"/>
      <c r="D31" s="92"/>
      <c r="E31" s="93"/>
      <c r="F31" s="93"/>
      <c r="G31" s="93"/>
      <c r="H31" s="93"/>
      <c r="I31" s="93"/>
      <c r="J31" s="93"/>
      <c r="K31" s="93"/>
      <c r="L31" s="93"/>
      <c r="M31" s="93"/>
    </row>
    <row r="32" spans="1:13" ht="15" customHeight="1" x14ac:dyDescent="0.2">
      <c r="A32" s="92"/>
      <c r="B32" s="92"/>
      <c r="C32" s="92"/>
      <c r="D32" s="92"/>
      <c r="E32" s="93"/>
      <c r="F32" s="93"/>
      <c r="G32" s="93"/>
      <c r="H32" s="93"/>
      <c r="I32" s="93"/>
      <c r="J32" s="93"/>
      <c r="K32" s="93"/>
      <c r="L32" s="93"/>
      <c r="M32" s="93"/>
    </row>
    <row r="33" spans="1:13" ht="15" customHeight="1" x14ac:dyDescent="0.2">
      <c r="A33" s="92"/>
      <c r="B33" s="92"/>
      <c r="C33" s="92"/>
      <c r="D33" s="92"/>
      <c r="E33" s="93"/>
      <c r="F33" s="93"/>
      <c r="G33" s="93"/>
      <c r="H33" s="93"/>
      <c r="I33" s="93"/>
      <c r="J33" s="93"/>
      <c r="K33" s="93"/>
      <c r="L33" s="93"/>
      <c r="M33" s="93"/>
    </row>
    <row r="34" spans="1:13" ht="15" customHeight="1" x14ac:dyDescent="0.2">
      <c r="A34" s="92"/>
      <c r="B34" s="92"/>
      <c r="C34" s="92"/>
      <c r="D34" s="92"/>
      <c r="E34" s="93"/>
      <c r="F34" s="93"/>
      <c r="G34" s="93"/>
      <c r="H34" s="93"/>
      <c r="I34" s="93"/>
      <c r="J34" s="93"/>
      <c r="K34" s="93"/>
      <c r="L34" s="93"/>
      <c r="M34" s="93"/>
    </row>
    <row r="35" spans="1:13" ht="15" customHeight="1" x14ac:dyDescent="0.2">
      <c r="A35" s="92"/>
      <c r="B35" s="92"/>
      <c r="C35" s="92"/>
      <c r="D35" s="92"/>
      <c r="E35" s="93"/>
      <c r="F35" s="93"/>
      <c r="G35" s="93"/>
      <c r="H35" s="93"/>
      <c r="I35" s="93"/>
      <c r="J35" s="93"/>
      <c r="K35" s="93"/>
      <c r="L35" s="93"/>
      <c r="M35" s="93"/>
    </row>
    <row r="36" spans="1:13" ht="15" customHeight="1" x14ac:dyDescent="0.2">
      <c r="A36" s="92"/>
      <c r="B36" s="92"/>
      <c r="C36" s="92"/>
      <c r="D36" s="92"/>
      <c r="E36" s="93"/>
      <c r="F36" s="93"/>
      <c r="G36" s="93"/>
      <c r="H36" s="93"/>
      <c r="I36" s="93"/>
      <c r="J36" s="93"/>
      <c r="K36" s="93"/>
      <c r="L36" s="93"/>
      <c r="M36" s="93"/>
    </row>
    <row r="37" spans="1:13" ht="15" customHeight="1" x14ac:dyDescent="0.2">
      <c r="A37" s="92"/>
      <c r="B37" s="92"/>
      <c r="C37" s="92"/>
      <c r="D37" s="92"/>
      <c r="E37" s="93"/>
      <c r="F37" s="93"/>
      <c r="G37" s="93"/>
      <c r="H37" s="93"/>
      <c r="I37" s="93"/>
      <c r="J37" s="93"/>
      <c r="K37" s="93"/>
      <c r="L37" s="93"/>
      <c r="M37" s="93"/>
    </row>
    <row r="38" spans="1:13" ht="15" customHeight="1" x14ac:dyDescent="0.2">
      <c r="A38" s="960"/>
      <c r="B38" s="960"/>
      <c r="C38" s="960"/>
      <c r="D38" s="960"/>
      <c r="E38" s="960"/>
      <c r="F38" s="960"/>
      <c r="G38" s="960"/>
      <c r="H38" s="960"/>
      <c r="I38" s="960"/>
      <c r="J38" s="960"/>
      <c r="K38" s="960"/>
      <c r="L38" s="960"/>
      <c r="M38" s="960"/>
    </row>
    <row r="39" spans="1:13" ht="15" customHeight="1" x14ac:dyDescent="0.2">
      <c r="A39" s="1170" t="s">
        <v>329</v>
      </c>
      <c r="B39" s="1170"/>
      <c r="C39" s="1170"/>
      <c r="D39" s="1170"/>
      <c r="E39" s="1170"/>
      <c r="F39" s="1170"/>
      <c r="G39" s="1170"/>
      <c r="H39" s="1170"/>
      <c r="I39" s="1170"/>
      <c r="J39" s="1170"/>
      <c r="K39" s="1170"/>
      <c r="L39" s="1170"/>
      <c r="M39" s="1170"/>
    </row>
    <row r="40" spans="1:13" ht="24.95" customHeight="1" thickBot="1" x14ac:dyDescent="0.25">
      <c r="A40" s="1048" t="s">
        <v>331</v>
      </c>
      <c r="B40" s="1048"/>
      <c r="C40" s="1048"/>
      <c r="D40" s="1048"/>
      <c r="E40" s="1048"/>
      <c r="F40" s="1048"/>
      <c r="G40" s="1048"/>
      <c r="H40" s="1048"/>
      <c r="I40" s="1048"/>
      <c r="J40" s="1048"/>
      <c r="K40" s="1048"/>
      <c r="L40" s="1048"/>
      <c r="M40" s="1048"/>
    </row>
    <row r="41" spans="1:13" ht="24.95" customHeight="1" thickBot="1" x14ac:dyDescent="0.25">
      <c r="A41" s="1181" t="s">
        <v>223</v>
      </c>
      <c r="B41" s="1184"/>
      <c r="C41" s="91"/>
      <c r="D41" s="1187" t="s">
        <v>228</v>
      </c>
      <c r="E41" s="1178"/>
      <c r="F41" s="1179"/>
      <c r="G41" s="1179"/>
      <c r="H41" s="1180"/>
      <c r="I41" s="1188" t="s">
        <v>224</v>
      </c>
      <c r="J41" s="1189"/>
      <c r="K41" s="1189"/>
      <c r="L41" s="1190"/>
      <c r="M41" s="1184" t="s">
        <v>225</v>
      </c>
    </row>
    <row r="42" spans="1:13" ht="24.95" customHeight="1" thickBot="1" x14ac:dyDescent="0.25">
      <c r="A42" s="1182"/>
      <c r="B42" s="1185"/>
      <c r="C42" s="89"/>
      <c r="D42" s="1187"/>
      <c r="E42" s="1184" t="s">
        <v>226</v>
      </c>
      <c r="F42" s="1184" t="s">
        <v>227</v>
      </c>
      <c r="G42" s="91" t="s">
        <v>352</v>
      </c>
      <c r="H42" s="91" t="s">
        <v>301</v>
      </c>
      <c r="I42" s="1184" t="s">
        <v>334</v>
      </c>
      <c r="J42" s="91" t="s">
        <v>467</v>
      </c>
      <c r="K42" s="1184" t="s">
        <v>335</v>
      </c>
      <c r="L42" s="89" t="s">
        <v>253</v>
      </c>
      <c r="M42" s="1185"/>
    </row>
    <row r="43" spans="1:13" ht="13.5" thickBot="1" x14ac:dyDescent="0.25">
      <c r="A43" s="1183"/>
      <c r="B43" s="1186"/>
      <c r="C43" s="88"/>
      <c r="D43" s="1187"/>
      <c r="E43" s="1186"/>
      <c r="F43" s="1186"/>
      <c r="G43" s="88"/>
      <c r="H43" s="88"/>
      <c r="I43" s="1186"/>
      <c r="J43" s="109">
        <v>0.06</v>
      </c>
      <c r="K43" s="1186"/>
      <c r="L43" s="88"/>
      <c r="M43" s="1186"/>
    </row>
    <row r="44" spans="1:13" ht="14.25" x14ac:dyDescent="0.2">
      <c r="A44" s="66">
        <v>1</v>
      </c>
      <c r="B44" s="103" t="s">
        <v>354</v>
      </c>
      <c r="C44" s="104" t="s">
        <v>355</v>
      </c>
      <c r="D44" s="108" t="s">
        <v>78</v>
      </c>
      <c r="E44" s="105">
        <v>2500</v>
      </c>
      <c r="F44" s="70"/>
      <c r="G44" s="105">
        <v>200</v>
      </c>
      <c r="H44" s="105">
        <f>+E44</f>
        <v>2500</v>
      </c>
      <c r="I44" s="106"/>
      <c r="J44" s="107"/>
      <c r="K44" s="107"/>
      <c r="L44" s="107"/>
      <c r="M44" s="67"/>
    </row>
    <row r="45" spans="1:13" ht="14.25" x14ac:dyDescent="0.2">
      <c r="A45" s="66">
        <v>2</v>
      </c>
      <c r="B45" s="42" t="s">
        <v>356</v>
      </c>
      <c r="C45" s="102" t="s">
        <v>357</v>
      </c>
      <c r="D45" s="40" t="s">
        <v>78</v>
      </c>
      <c r="E45" s="70">
        <v>440</v>
      </c>
      <c r="F45" s="70"/>
      <c r="G45" s="70">
        <v>200</v>
      </c>
      <c r="H45" s="70">
        <f>+E45</f>
        <v>440</v>
      </c>
      <c r="I45" s="41">
        <v>34.1</v>
      </c>
      <c r="J45" s="68"/>
      <c r="K45" s="68">
        <v>33</v>
      </c>
      <c r="L45" s="68">
        <v>4.4000000000000004</v>
      </c>
      <c r="M45" s="67"/>
    </row>
    <row r="46" spans="1:13" ht="14.25" x14ac:dyDescent="0.2">
      <c r="A46" s="66">
        <v>3</v>
      </c>
      <c r="B46" s="42" t="s">
        <v>358</v>
      </c>
      <c r="C46" s="102" t="s">
        <v>359</v>
      </c>
      <c r="D46" s="40" t="s">
        <v>78</v>
      </c>
      <c r="E46" s="70">
        <v>1800</v>
      </c>
      <c r="F46" s="70"/>
      <c r="G46" s="70">
        <v>200</v>
      </c>
      <c r="H46" s="70">
        <f t="shared" ref="H46:H124" si="0">+E46</f>
        <v>1800</v>
      </c>
      <c r="I46" s="41"/>
      <c r="J46" s="68"/>
      <c r="K46" s="68">
        <v>75</v>
      </c>
      <c r="L46" s="68"/>
      <c r="M46" s="67"/>
    </row>
    <row r="47" spans="1:13" ht="14.25" x14ac:dyDescent="0.2">
      <c r="A47" s="66">
        <v>4</v>
      </c>
      <c r="B47" s="42" t="s">
        <v>360</v>
      </c>
      <c r="C47" s="102" t="s">
        <v>361</v>
      </c>
      <c r="D47" s="40" t="s">
        <v>78</v>
      </c>
      <c r="E47" s="70">
        <v>813.05</v>
      </c>
      <c r="F47" s="70"/>
      <c r="G47" s="70">
        <v>200</v>
      </c>
      <c r="H47" s="70">
        <f t="shared" si="0"/>
        <v>813.05</v>
      </c>
      <c r="I47" s="41">
        <v>63.01</v>
      </c>
      <c r="J47" s="68"/>
      <c r="K47" s="68">
        <v>60.98</v>
      </c>
      <c r="L47" s="68">
        <v>8.1300000000000008</v>
      </c>
      <c r="M47" s="67"/>
    </row>
    <row r="48" spans="1:13" ht="14.25" x14ac:dyDescent="0.2">
      <c r="A48" s="66">
        <v>5</v>
      </c>
      <c r="B48" s="42" t="s">
        <v>362</v>
      </c>
      <c r="C48" s="102" t="s">
        <v>363</v>
      </c>
      <c r="D48" s="40" t="s">
        <v>78</v>
      </c>
      <c r="E48" s="70">
        <v>484</v>
      </c>
      <c r="F48" s="70"/>
      <c r="G48" s="70">
        <v>200</v>
      </c>
      <c r="H48" s="70">
        <f t="shared" si="0"/>
        <v>484</v>
      </c>
      <c r="I48" s="41">
        <v>37.51</v>
      </c>
      <c r="J48" s="68"/>
      <c r="K48" s="68">
        <v>36.299999999999997</v>
      </c>
      <c r="L48" s="68">
        <v>4.84</v>
      </c>
      <c r="M48" s="67"/>
    </row>
    <row r="49" spans="1:13" ht="14.25" x14ac:dyDescent="0.2">
      <c r="A49" s="66">
        <v>6</v>
      </c>
      <c r="B49" s="42" t="s">
        <v>364</v>
      </c>
      <c r="C49" s="102" t="s">
        <v>365</v>
      </c>
      <c r="D49" s="40" t="s">
        <v>78</v>
      </c>
      <c r="E49" s="70">
        <v>1500</v>
      </c>
      <c r="F49" s="70"/>
      <c r="G49" s="70">
        <v>200</v>
      </c>
      <c r="H49" s="70">
        <f t="shared" si="0"/>
        <v>1500</v>
      </c>
      <c r="I49" s="41">
        <v>116.25</v>
      </c>
      <c r="J49" s="68"/>
      <c r="K49" s="68">
        <v>75</v>
      </c>
      <c r="L49" s="68">
        <v>10</v>
      </c>
      <c r="M49" s="67"/>
    </row>
    <row r="50" spans="1:13" ht="14.25" x14ac:dyDescent="0.2">
      <c r="A50" s="66"/>
      <c r="B50" s="42"/>
      <c r="C50" s="102"/>
      <c r="D50" s="40"/>
      <c r="E50" s="70"/>
      <c r="F50" s="70"/>
      <c r="G50" s="70"/>
      <c r="H50" s="70">
        <f t="shared" si="0"/>
        <v>0</v>
      </c>
      <c r="I50" s="41"/>
      <c r="J50" s="68"/>
      <c r="K50" s="68"/>
      <c r="L50" s="68"/>
      <c r="M50" s="67"/>
    </row>
    <row r="51" spans="1:13" ht="14.25" x14ac:dyDescent="0.2">
      <c r="A51" s="66">
        <v>7</v>
      </c>
      <c r="B51" s="42" t="s">
        <v>366</v>
      </c>
      <c r="C51" s="102" t="s">
        <v>367</v>
      </c>
      <c r="D51" s="40" t="s">
        <v>327</v>
      </c>
      <c r="E51" s="70">
        <v>1000</v>
      </c>
      <c r="F51" s="70"/>
      <c r="G51" s="70">
        <v>200</v>
      </c>
      <c r="H51" s="70">
        <f t="shared" si="0"/>
        <v>1000</v>
      </c>
      <c r="I51" s="41">
        <v>77.5</v>
      </c>
      <c r="J51" s="68"/>
      <c r="K51" s="68">
        <v>75</v>
      </c>
      <c r="L51" s="68">
        <v>10</v>
      </c>
      <c r="M51" s="67"/>
    </row>
    <row r="52" spans="1:13" ht="14.25" x14ac:dyDescent="0.2">
      <c r="A52" s="66">
        <v>8</v>
      </c>
      <c r="B52" s="42" t="s">
        <v>466</v>
      </c>
      <c r="C52" s="102" t="s">
        <v>368</v>
      </c>
      <c r="D52" s="40" t="s">
        <v>327</v>
      </c>
      <c r="E52" s="70">
        <v>825</v>
      </c>
      <c r="F52" s="70"/>
      <c r="G52" s="70">
        <v>200</v>
      </c>
      <c r="H52" s="70">
        <f t="shared" si="0"/>
        <v>825</v>
      </c>
      <c r="I52" s="41">
        <v>63.94</v>
      </c>
      <c r="J52" s="68"/>
      <c r="K52" s="68">
        <v>61.88</v>
      </c>
      <c r="L52" s="68">
        <v>8.25</v>
      </c>
      <c r="M52" s="67"/>
    </row>
    <row r="53" spans="1:13" ht="14.25" x14ac:dyDescent="0.2">
      <c r="A53" s="66">
        <v>9</v>
      </c>
      <c r="B53" s="42" t="s">
        <v>369</v>
      </c>
      <c r="C53" s="102" t="s">
        <v>370</v>
      </c>
      <c r="D53" s="40" t="s">
        <v>327</v>
      </c>
      <c r="E53" s="70">
        <v>310</v>
      </c>
      <c r="F53" s="70"/>
      <c r="G53" s="70">
        <v>200</v>
      </c>
      <c r="H53" s="70">
        <f t="shared" si="0"/>
        <v>310</v>
      </c>
      <c r="I53" s="41">
        <v>24.03</v>
      </c>
      <c r="J53" s="68"/>
      <c r="K53" s="68">
        <v>23.25</v>
      </c>
      <c r="L53" s="68">
        <v>3.1</v>
      </c>
      <c r="M53" s="67"/>
    </row>
    <row r="54" spans="1:13" ht="14.25" x14ac:dyDescent="0.2">
      <c r="A54" s="66">
        <v>10</v>
      </c>
      <c r="B54" s="42" t="s">
        <v>371</v>
      </c>
      <c r="C54" s="102" t="s">
        <v>372</v>
      </c>
      <c r="D54" s="40" t="s">
        <v>327</v>
      </c>
      <c r="E54" s="70">
        <v>770</v>
      </c>
      <c r="F54" s="70"/>
      <c r="G54" s="70">
        <v>200</v>
      </c>
      <c r="H54" s="70">
        <f t="shared" si="0"/>
        <v>770</v>
      </c>
      <c r="I54" s="41">
        <v>59.68</v>
      </c>
      <c r="J54" s="68"/>
      <c r="K54" s="68">
        <v>57.75</v>
      </c>
      <c r="L54" s="68">
        <v>7.7</v>
      </c>
      <c r="M54" s="67"/>
    </row>
    <row r="55" spans="1:13" ht="14.25" x14ac:dyDescent="0.2">
      <c r="A55" s="66">
        <v>11</v>
      </c>
      <c r="B55" s="42" t="s">
        <v>373</v>
      </c>
      <c r="C55" s="102" t="s">
        <v>374</v>
      </c>
      <c r="D55" s="40" t="s">
        <v>327</v>
      </c>
      <c r="E55" s="70">
        <v>400</v>
      </c>
      <c r="F55" s="70"/>
      <c r="G55" s="70">
        <v>200</v>
      </c>
      <c r="H55" s="70">
        <f t="shared" si="0"/>
        <v>400</v>
      </c>
      <c r="I55" s="41">
        <v>31</v>
      </c>
      <c r="J55" s="68"/>
      <c r="K55" s="68">
        <v>30</v>
      </c>
      <c r="L55" s="68">
        <v>4</v>
      </c>
      <c r="M55" s="67"/>
    </row>
    <row r="56" spans="1:13" ht="14.25" x14ac:dyDescent="0.2">
      <c r="A56" s="66">
        <v>12</v>
      </c>
      <c r="B56" s="42" t="s">
        <v>375</v>
      </c>
      <c r="C56" s="102" t="s">
        <v>376</v>
      </c>
      <c r="D56" s="40" t="s">
        <v>327</v>
      </c>
      <c r="E56" s="70">
        <v>400</v>
      </c>
      <c r="F56" s="70"/>
      <c r="G56" s="70">
        <v>200</v>
      </c>
      <c r="H56" s="70">
        <f t="shared" si="0"/>
        <v>400</v>
      </c>
      <c r="I56" s="41">
        <v>31</v>
      </c>
      <c r="J56" s="68"/>
      <c r="K56" s="68">
        <v>30</v>
      </c>
      <c r="L56" s="68">
        <v>4</v>
      </c>
      <c r="M56" s="67"/>
    </row>
    <row r="57" spans="1:13" ht="14.25" x14ac:dyDescent="0.2">
      <c r="A57" s="66">
        <v>13</v>
      </c>
      <c r="B57" s="42" t="s">
        <v>377</v>
      </c>
      <c r="C57" s="102" t="s">
        <v>378</v>
      </c>
      <c r="D57" s="40" t="s">
        <v>327</v>
      </c>
      <c r="E57" s="70">
        <v>500</v>
      </c>
      <c r="F57" s="70"/>
      <c r="G57" s="70">
        <v>200</v>
      </c>
      <c r="H57" s="70">
        <f t="shared" si="0"/>
        <v>500</v>
      </c>
      <c r="I57" s="41">
        <v>38.75</v>
      </c>
      <c r="J57" s="68"/>
      <c r="K57" s="68">
        <v>37.5</v>
      </c>
      <c r="L57" s="68">
        <v>5</v>
      </c>
      <c r="M57" s="67"/>
    </row>
    <row r="58" spans="1:13" ht="14.25" x14ac:dyDescent="0.2">
      <c r="A58" s="66">
        <v>14</v>
      </c>
      <c r="B58" s="42" t="s">
        <v>384</v>
      </c>
      <c r="C58" s="102" t="s">
        <v>385</v>
      </c>
      <c r="D58" s="40" t="s">
        <v>327</v>
      </c>
      <c r="E58" s="70">
        <v>1034</v>
      </c>
      <c r="F58" s="70"/>
      <c r="G58" s="70">
        <v>200</v>
      </c>
      <c r="H58" s="70">
        <f t="shared" si="0"/>
        <v>1034</v>
      </c>
      <c r="I58" s="41">
        <v>77.5</v>
      </c>
      <c r="J58" s="68"/>
      <c r="K58" s="68">
        <v>75</v>
      </c>
      <c r="L58" s="68">
        <v>10.34</v>
      </c>
      <c r="M58" s="67"/>
    </row>
    <row r="59" spans="1:13" ht="14.25" x14ac:dyDescent="0.2">
      <c r="A59" s="66">
        <v>15</v>
      </c>
      <c r="B59" s="42" t="s">
        <v>386</v>
      </c>
      <c r="C59" s="102" t="s">
        <v>387</v>
      </c>
      <c r="D59" s="40" t="s">
        <v>327</v>
      </c>
      <c r="E59" s="70">
        <v>310</v>
      </c>
      <c r="F59" s="70"/>
      <c r="G59" s="70">
        <v>200</v>
      </c>
      <c r="H59" s="70">
        <f t="shared" si="0"/>
        <v>310</v>
      </c>
      <c r="I59" s="41">
        <v>24.03</v>
      </c>
      <c r="J59" s="68"/>
      <c r="K59" s="68">
        <v>23.25</v>
      </c>
      <c r="L59" s="68">
        <v>3.1</v>
      </c>
      <c r="M59" s="67"/>
    </row>
    <row r="60" spans="1:13" ht="14.25" x14ac:dyDescent="0.2">
      <c r="A60" s="66">
        <v>16</v>
      </c>
      <c r="B60" s="42" t="s">
        <v>379</v>
      </c>
      <c r="C60" s="102" t="s">
        <v>380</v>
      </c>
      <c r="D60" s="108" t="s">
        <v>195</v>
      </c>
      <c r="E60" s="70">
        <v>825</v>
      </c>
      <c r="F60" s="70"/>
      <c r="G60" s="70">
        <v>200</v>
      </c>
      <c r="H60" s="70">
        <f t="shared" si="0"/>
        <v>825</v>
      </c>
      <c r="I60" s="41">
        <v>63.94</v>
      </c>
      <c r="J60" s="68"/>
      <c r="K60" s="68">
        <v>61.88</v>
      </c>
      <c r="L60" s="68">
        <v>8.25</v>
      </c>
      <c r="M60" s="67"/>
    </row>
    <row r="61" spans="1:13" ht="14.25" x14ac:dyDescent="0.2">
      <c r="A61" s="66">
        <v>17</v>
      </c>
      <c r="B61" s="42" t="s">
        <v>381</v>
      </c>
      <c r="C61" s="102" t="s">
        <v>382</v>
      </c>
      <c r="D61" s="40" t="s">
        <v>195</v>
      </c>
      <c r="E61" s="70">
        <v>687.5</v>
      </c>
      <c r="F61" s="70"/>
      <c r="G61" s="70">
        <v>200</v>
      </c>
      <c r="H61" s="70">
        <f t="shared" si="0"/>
        <v>687.5</v>
      </c>
      <c r="I61" s="41">
        <v>53.28</v>
      </c>
      <c r="J61" s="68"/>
      <c r="K61" s="68">
        <v>51.56</v>
      </c>
      <c r="L61" s="68">
        <v>6.88</v>
      </c>
      <c r="M61" s="67"/>
    </row>
    <row r="62" spans="1:13" ht="14.25" x14ac:dyDescent="0.2">
      <c r="A62" s="66">
        <v>18</v>
      </c>
      <c r="B62" s="42" t="s">
        <v>383</v>
      </c>
      <c r="C62" s="102" t="s">
        <v>382</v>
      </c>
      <c r="D62" s="40" t="s">
        <v>195</v>
      </c>
      <c r="E62" s="70">
        <v>385</v>
      </c>
      <c r="F62" s="70"/>
      <c r="G62" s="70">
        <v>200</v>
      </c>
      <c r="H62" s="70">
        <f t="shared" si="0"/>
        <v>385</v>
      </c>
      <c r="I62" s="41">
        <v>29.84</v>
      </c>
      <c r="J62" s="68"/>
      <c r="K62" s="68">
        <v>28.88</v>
      </c>
      <c r="L62" s="68">
        <v>3.85</v>
      </c>
      <c r="M62" s="67"/>
    </row>
    <row r="63" spans="1:13" ht="14.25" x14ac:dyDescent="0.2">
      <c r="A63" s="66">
        <v>19</v>
      </c>
      <c r="B63" s="42" t="s">
        <v>388</v>
      </c>
      <c r="C63" s="102" t="s">
        <v>382</v>
      </c>
      <c r="D63" s="40" t="s">
        <v>195</v>
      </c>
      <c r="E63" s="70">
        <v>310</v>
      </c>
      <c r="F63" s="70"/>
      <c r="G63" s="70">
        <v>200</v>
      </c>
      <c r="H63" s="70">
        <f t="shared" si="0"/>
        <v>310</v>
      </c>
      <c r="I63" s="41">
        <v>24.03</v>
      </c>
      <c r="J63" s="68"/>
      <c r="K63" s="68">
        <v>23.25</v>
      </c>
      <c r="L63" s="68">
        <v>3.1</v>
      </c>
      <c r="M63" s="67"/>
    </row>
    <row r="64" spans="1:13" ht="14.25" x14ac:dyDescent="0.2">
      <c r="A64" s="66">
        <v>20</v>
      </c>
      <c r="B64" s="42" t="s">
        <v>389</v>
      </c>
      <c r="C64" s="102" t="s">
        <v>390</v>
      </c>
      <c r="D64" s="40" t="s">
        <v>195</v>
      </c>
      <c r="E64" s="70">
        <v>385</v>
      </c>
      <c r="F64" s="70"/>
      <c r="G64" s="70">
        <v>200</v>
      </c>
      <c r="H64" s="70">
        <f t="shared" si="0"/>
        <v>385</v>
      </c>
      <c r="I64" s="41">
        <v>24.84</v>
      </c>
      <c r="J64" s="68"/>
      <c r="K64" s="68">
        <v>28.88</v>
      </c>
      <c r="L64" s="68">
        <v>3.85</v>
      </c>
      <c r="M64" s="67"/>
    </row>
    <row r="65" spans="1:13" ht="14.25" x14ac:dyDescent="0.2">
      <c r="A65" s="66">
        <v>21</v>
      </c>
      <c r="B65" s="42" t="s">
        <v>391</v>
      </c>
      <c r="C65" s="102" t="s">
        <v>382</v>
      </c>
      <c r="D65" s="40" t="s">
        <v>195</v>
      </c>
      <c r="E65" s="70">
        <v>449.19</v>
      </c>
      <c r="F65" s="70"/>
      <c r="G65" s="70">
        <v>200</v>
      </c>
      <c r="H65" s="70">
        <f t="shared" si="0"/>
        <v>449.19</v>
      </c>
      <c r="I65" s="41">
        <v>34.81</v>
      </c>
      <c r="J65" s="68"/>
      <c r="K65" s="68">
        <v>33.69</v>
      </c>
      <c r="L65" s="68">
        <v>4.49</v>
      </c>
      <c r="M65" s="67"/>
    </row>
    <row r="66" spans="1:13" ht="14.25" x14ac:dyDescent="0.2">
      <c r="A66" s="66">
        <v>22</v>
      </c>
      <c r="B66" s="42" t="s">
        <v>392</v>
      </c>
      <c r="C66" s="102" t="s">
        <v>393</v>
      </c>
      <c r="D66" s="40" t="s">
        <v>195</v>
      </c>
      <c r="E66" s="70">
        <v>936</v>
      </c>
      <c r="F66" s="70"/>
      <c r="G66" s="70">
        <v>200</v>
      </c>
      <c r="H66" s="70">
        <f t="shared" si="0"/>
        <v>936</v>
      </c>
      <c r="I66" s="41">
        <v>72.540000000000006</v>
      </c>
      <c r="J66" s="68"/>
      <c r="K66" s="68">
        <v>70.2</v>
      </c>
      <c r="L66" s="68">
        <v>9.36</v>
      </c>
      <c r="M66" s="67"/>
    </row>
    <row r="67" spans="1:13" ht="14.25" x14ac:dyDescent="0.2">
      <c r="A67" s="66">
        <v>23</v>
      </c>
      <c r="B67" s="42" t="s">
        <v>394</v>
      </c>
      <c r="C67" s="102" t="s">
        <v>390</v>
      </c>
      <c r="D67" s="40" t="s">
        <v>195</v>
      </c>
      <c r="E67" s="70">
        <v>343.98</v>
      </c>
      <c r="F67" s="70"/>
      <c r="G67" s="70">
        <v>200</v>
      </c>
      <c r="H67" s="70">
        <f t="shared" si="0"/>
        <v>343.98</v>
      </c>
      <c r="I67" s="41"/>
      <c r="J67" s="68"/>
      <c r="K67" s="68"/>
      <c r="L67" s="68"/>
      <c r="M67" s="67"/>
    </row>
    <row r="68" spans="1:13" ht="14.25" x14ac:dyDescent="0.2">
      <c r="A68" s="66">
        <v>24</v>
      </c>
      <c r="B68" s="42" t="s">
        <v>395</v>
      </c>
      <c r="C68" s="102" t="s">
        <v>390</v>
      </c>
      <c r="D68" s="40" t="s">
        <v>195</v>
      </c>
      <c r="E68" s="70">
        <v>417.1</v>
      </c>
      <c r="F68" s="70"/>
      <c r="G68" s="70">
        <v>200</v>
      </c>
      <c r="H68" s="70">
        <f t="shared" si="0"/>
        <v>417.1</v>
      </c>
      <c r="I68" s="41">
        <v>32.33</v>
      </c>
      <c r="J68" s="68"/>
      <c r="K68" s="68">
        <v>31.28</v>
      </c>
      <c r="L68" s="68">
        <v>4.17</v>
      </c>
      <c r="M68" s="67"/>
    </row>
    <row r="69" spans="1:13" ht="14.25" x14ac:dyDescent="0.2">
      <c r="A69" s="66">
        <v>25</v>
      </c>
      <c r="B69" s="42" t="s">
        <v>396</v>
      </c>
      <c r="C69" s="102" t="s">
        <v>397</v>
      </c>
      <c r="D69" s="40" t="s">
        <v>195</v>
      </c>
      <c r="E69" s="70">
        <v>687.5</v>
      </c>
      <c r="F69" s="70"/>
      <c r="G69" s="70">
        <v>200</v>
      </c>
      <c r="H69" s="70">
        <f t="shared" si="0"/>
        <v>687.5</v>
      </c>
      <c r="I69" s="41">
        <v>53.28</v>
      </c>
      <c r="J69" s="68"/>
      <c r="K69" s="68">
        <v>51.56</v>
      </c>
      <c r="L69" s="68">
        <v>6.88</v>
      </c>
      <c r="M69" s="67"/>
    </row>
    <row r="70" spans="1:13" ht="14.25" x14ac:dyDescent="0.2">
      <c r="A70" s="66">
        <v>26</v>
      </c>
      <c r="B70" s="42" t="s">
        <v>398</v>
      </c>
      <c r="C70" s="102" t="s">
        <v>399</v>
      </c>
      <c r="D70" s="40" t="s">
        <v>195</v>
      </c>
      <c r="E70" s="70">
        <v>333.33</v>
      </c>
      <c r="F70" s="70"/>
      <c r="G70" s="70">
        <v>200</v>
      </c>
      <c r="H70" s="70">
        <f t="shared" si="0"/>
        <v>333.33</v>
      </c>
      <c r="I70" s="41">
        <v>25.83</v>
      </c>
      <c r="J70" s="68"/>
      <c r="K70" s="68">
        <v>25</v>
      </c>
      <c r="L70" s="68">
        <v>3.33</v>
      </c>
      <c r="M70" s="67"/>
    </row>
    <row r="71" spans="1:13" ht="14.25" x14ac:dyDescent="0.2">
      <c r="A71" s="66">
        <v>27</v>
      </c>
      <c r="B71" s="42" t="s">
        <v>400</v>
      </c>
      <c r="C71" s="102" t="s">
        <v>399</v>
      </c>
      <c r="D71" s="40" t="s">
        <v>195</v>
      </c>
      <c r="E71" s="70">
        <v>483.62</v>
      </c>
      <c r="F71" s="70"/>
      <c r="G71" s="70">
        <v>200</v>
      </c>
      <c r="H71" s="70">
        <f t="shared" si="0"/>
        <v>483.62</v>
      </c>
      <c r="I71" s="41">
        <v>37.479999999999997</v>
      </c>
      <c r="J71" s="68"/>
      <c r="K71" s="68">
        <v>36.270000000000003</v>
      </c>
      <c r="L71" s="68">
        <v>4.84</v>
      </c>
      <c r="M71" s="67"/>
    </row>
    <row r="72" spans="1:13" ht="14.25" x14ac:dyDescent="0.2">
      <c r="A72" s="66">
        <v>28</v>
      </c>
      <c r="B72" s="69" t="s">
        <v>401</v>
      </c>
      <c r="C72" s="97" t="s">
        <v>402</v>
      </c>
      <c r="D72" s="40" t="s">
        <v>195</v>
      </c>
      <c r="E72" s="70">
        <v>330</v>
      </c>
      <c r="F72" s="70"/>
      <c r="G72" s="70">
        <v>200</v>
      </c>
      <c r="H72" s="70">
        <f t="shared" si="0"/>
        <v>330</v>
      </c>
      <c r="I72" s="41">
        <v>25.58</v>
      </c>
      <c r="J72" s="68"/>
      <c r="K72" s="68">
        <v>24.75</v>
      </c>
      <c r="L72" s="68">
        <v>3.3</v>
      </c>
      <c r="M72" s="67"/>
    </row>
    <row r="73" spans="1:13" ht="14.25" x14ac:dyDescent="0.2">
      <c r="A73" s="66">
        <v>29</v>
      </c>
      <c r="B73" s="42" t="s">
        <v>403</v>
      </c>
      <c r="C73" s="102" t="s">
        <v>404</v>
      </c>
      <c r="D73" s="40" t="s">
        <v>195</v>
      </c>
      <c r="E73" s="70">
        <v>700</v>
      </c>
      <c r="F73" s="70"/>
      <c r="G73" s="70">
        <v>200</v>
      </c>
      <c r="H73" s="70">
        <f t="shared" si="0"/>
        <v>700</v>
      </c>
      <c r="I73" s="41">
        <v>54.25</v>
      </c>
      <c r="J73" s="68"/>
      <c r="K73" s="68">
        <v>52.5</v>
      </c>
      <c r="L73" s="68">
        <v>7</v>
      </c>
      <c r="M73" s="67"/>
    </row>
    <row r="74" spans="1:13" ht="14.25" x14ac:dyDescent="0.2">
      <c r="A74" s="66">
        <v>30</v>
      </c>
      <c r="B74" s="69" t="s">
        <v>405</v>
      </c>
      <c r="C74" s="42" t="s">
        <v>406</v>
      </c>
      <c r="D74" s="40" t="s">
        <v>195</v>
      </c>
      <c r="E74" s="70">
        <v>550</v>
      </c>
      <c r="F74" s="70"/>
      <c r="G74" s="70">
        <v>200</v>
      </c>
      <c r="H74" s="70">
        <f t="shared" si="0"/>
        <v>550</v>
      </c>
      <c r="I74" s="41">
        <v>42.63</v>
      </c>
      <c r="J74" s="68"/>
      <c r="K74" s="68">
        <v>41.25</v>
      </c>
      <c r="L74" s="68">
        <v>5.5</v>
      </c>
      <c r="M74" s="67"/>
    </row>
    <row r="75" spans="1:13" ht="14.25" x14ac:dyDescent="0.2">
      <c r="A75" s="66">
        <v>31</v>
      </c>
      <c r="B75" s="69" t="s">
        <v>407</v>
      </c>
      <c r="C75" s="42" t="s">
        <v>408</v>
      </c>
      <c r="D75" s="40" t="s">
        <v>195</v>
      </c>
      <c r="E75" s="70">
        <v>594</v>
      </c>
      <c r="F75" s="70"/>
      <c r="G75" s="70">
        <v>200</v>
      </c>
      <c r="H75" s="70">
        <f t="shared" si="0"/>
        <v>594</v>
      </c>
      <c r="I75" s="41">
        <v>46.04</v>
      </c>
      <c r="J75" s="68"/>
      <c r="K75" s="68">
        <v>44.55</v>
      </c>
      <c r="L75" s="68">
        <v>5.94</v>
      </c>
      <c r="M75" s="67"/>
    </row>
    <row r="76" spans="1:13" ht="14.25" x14ac:dyDescent="0.2">
      <c r="A76" s="66">
        <v>32</v>
      </c>
      <c r="B76" s="69" t="s">
        <v>409</v>
      </c>
      <c r="C76" s="42" t="s">
        <v>410</v>
      </c>
      <c r="D76" s="40" t="s">
        <v>195</v>
      </c>
      <c r="E76" s="70">
        <v>400</v>
      </c>
      <c r="F76" s="70"/>
      <c r="G76" s="70">
        <v>200</v>
      </c>
      <c r="H76" s="70">
        <f t="shared" si="0"/>
        <v>400</v>
      </c>
      <c r="I76" s="41">
        <v>31</v>
      </c>
      <c r="J76" s="68"/>
      <c r="K76" s="68">
        <v>30</v>
      </c>
      <c r="L76" s="68">
        <v>4</v>
      </c>
      <c r="M76" s="67"/>
    </row>
    <row r="77" spans="1:13" ht="14.25" x14ac:dyDescent="0.2">
      <c r="A77" s="66">
        <v>33</v>
      </c>
      <c r="B77" s="69" t="s">
        <v>411</v>
      </c>
      <c r="C77" s="42" t="s">
        <v>412</v>
      </c>
      <c r="D77" s="40" t="s">
        <v>195</v>
      </c>
      <c r="E77" s="70">
        <v>1034</v>
      </c>
      <c r="F77" s="70"/>
      <c r="G77" s="70">
        <v>200</v>
      </c>
      <c r="H77" s="70">
        <f t="shared" si="0"/>
        <v>1034</v>
      </c>
      <c r="I77" s="41">
        <v>77.5</v>
      </c>
      <c r="J77" s="68"/>
      <c r="K77" s="68">
        <v>75</v>
      </c>
      <c r="L77" s="68">
        <v>10</v>
      </c>
      <c r="M77" s="67"/>
    </row>
    <row r="78" spans="1:13" ht="14.25" x14ac:dyDescent="0.2">
      <c r="A78" s="66">
        <v>34</v>
      </c>
      <c r="B78" s="69" t="s">
        <v>413</v>
      </c>
      <c r="C78" s="42" t="s">
        <v>414</v>
      </c>
      <c r="D78" s="40" t="s">
        <v>195</v>
      </c>
      <c r="E78" s="70">
        <v>385</v>
      </c>
      <c r="F78" s="70"/>
      <c r="G78" s="70">
        <v>200</v>
      </c>
      <c r="H78" s="70">
        <f t="shared" si="0"/>
        <v>385</v>
      </c>
      <c r="I78" s="41">
        <v>29.84</v>
      </c>
      <c r="J78" s="68"/>
      <c r="K78" s="68">
        <v>28.88</v>
      </c>
      <c r="L78" s="68">
        <v>3.85</v>
      </c>
      <c r="M78" s="67"/>
    </row>
    <row r="79" spans="1:13" ht="14.25" x14ac:dyDescent="0.2">
      <c r="A79" s="66">
        <v>35</v>
      </c>
      <c r="B79" s="69" t="s">
        <v>415</v>
      </c>
      <c r="C79" s="42" t="s">
        <v>416</v>
      </c>
      <c r="D79" s="40" t="s">
        <v>195</v>
      </c>
      <c r="E79" s="70">
        <v>385</v>
      </c>
      <c r="F79" s="70"/>
      <c r="G79" s="70">
        <v>200</v>
      </c>
      <c r="H79" s="70">
        <f t="shared" si="0"/>
        <v>385</v>
      </c>
      <c r="I79" s="41">
        <v>29.84</v>
      </c>
      <c r="J79" s="68"/>
      <c r="K79" s="68">
        <v>28.88</v>
      </c>
      <c r="L79" s="68">
        <v>3.85</v>
      </c>
      <c r="M79" s="67"/>
    </row>
    <row r="80" spans="1:13" ht="14.25" x14ac:dyDescent="0.2">
      <c r="A80" s="66">
        <v>36</v>
      </c>
      <c r="B80" s="69" t="s">
        <v>417</v>
      </c>
      <c r="C80" s="42" t="s">
        <v>418</v>
      </c>
      <c r="D80" s="40" t="s">
        <v>195</v>
      </c>
      <c r="E80" s="70">
        <v>500</v>
      </c>
      <c r="F80" s="70"/>
      <c r="G80" s="70">
        <v>200</v>
      </c>
      <c r="H80" s="70">
        <f t="shared" si="0"/>
        <v>500</v>
      </c>
      <c r="I80" s="41">
        <v>38.75</v>
      </c>
      <c r="J80" s="68"/>
      <c r="K80" s="68">
        <v>37.5</v>
      </c>
      <c r="L80" s="68">
        <v>5</v>
      </c>
      <c r="M80" s="67"/>
    </row>
    <row r="81" spans="1:13" ht="14.25" x14ac:dyDescent="0.2">
      <c r="A81" s="66">
        <v>37</v>
      </c>
      <c r="B81" s="69" t="s">
        <v>419</v>
      </c>
      <c r="C81" s="42" t="s">
        <v>420</v>
      </c>
      <c r="D81" s="40" t="s">
        <v>195</v>
      </c>
      <c r="E81" s="70">
        <v>440</v>
      </c>
      <c r="F81" s="70"/>
      <c r="G81" s="70">
        <v>200</v>
      </c>
      <c r="H81" s="70">
        <f t="shared" si="0"/>
        <v>440</v>
      </c>
      <c r="I81" s="41"/>
      <c r="J81" s="68">
        <v>26.4</v>
      </c>
      <c r="K81" s="68">
        <v>33</v>
      </c>
      <c r="L81" s="68">
        <v>4.4000000000000004</v>
      </c>
      <c r="M81" s="67"/>
    </row>
    <row r="82" spans="1:13" ht="14.25" x14ac:dyDescent="0.2">
      <c r="A82" s="66">
        <v>38</v>
      </c>
      <c r="B82" s="69" t="s">
        <v>421</v>
      </c>
      <c r="C82" s="42" t="s">
        <v>422</v>
      </c>
      <c r="D82" s="40" t="s">
        <v>195</v>
      </c>
      <c r="E82" s="70">
        <v>330</v>
      </c>
      <c r="F82" s="70"/>
      <c r="G82" s="70">
        <v>200</v>
      </c>
      <c r="H82" s="70">
        <f t="shared" si="0"/>
        <v>330</v>
      </c>
      <c r="I82" s="41">
        <v>25.58</v>
      </c>
      <c r="J82" s="68"/>
      <c r="K82" s="68">
        <v>24.75</v>
      </c>
      <c r="L82" s="68">
        <v>3.3</v>
      </c>
      <c r="M82" s="67"/>
    </row>
    <row r="83" spans="1:13" ht="14.25" x14ac:dyDescent="0.2">
      <c r="A83" s="66">
        <v>39</v>
      </c>
      <c r="B83" s="69" t="s">
        <v>423</v>
      </c>
      <c r="C83" s="42" t="s">
        <v>422</v>
      </c>
      <c r="D83" s="40" t="s">
        <v>195</v>
      </c>
      <c r="E83" s="70">
        <v>330</v>
      </c>
      <c r="F83" s="70"/>
      <c r="G83" s="70">
        <v>200</v>
      </c>
      <c r="H83" s="70">
        <f t="shared" si="0"/>
        <v>330</v>
      </c>
      <c r="I83" s="41"/>
      <c r="J83" s="68"/>
      <c r="K83" s="68">
        <v>24.75</v>
      </c>
      <c r="L83" s="68">
        <v>3.3</v>
      </c>
      <c r="M83" s="67"/>
    </row>
    <row r="84" spans="1:13" ht="14.25" x14ac:dyDescent="0.2">
      <c r="A84" s="66">
        <v>40</v>
      </c>
      <c r="B84" s="69" t="s">
        <v>424</v>
      </c>
      <c r="C84" s="42" t="s">
        <v>422</v>
      </c>
      <c r="D84" s="40" t="s">
        <v>195</v>
      </c>
      <c r="E84" s="70">
        <v>330</v>
      </c>
      <c r="F84" s="70"/>
      <c r="G84" s="70">
        <v>200</v>
      </c>
      <c r="H84" s="70">
        <f t="shared" si="0"/>
        <v>330</v>
      </c>
      <c r="I84" s="41">
        <v>9.9</v>
      </c>
      <c r="J84" s="68"/>
      <c r="K84" s="68">
        <v>24.75</v>
      </c>
      <c r="L84" s="68">
        <v>3.3</v>
      </c>
      <c r="M84" s="67"/>
    </row>
    <row r="85" spans="1:13" ht="14.25" x14ac:dyDescent="0.2">
      <c r="A85" s="66">
        <v>41</v>
      </c>
      <c r="B85" s="69" t="s">
        <v>425</v>
      </c>
      <c r="C85" s="42" t="s">
        <v>422</v>
      </c>
      <c r="D85" s="40" t="s">
        <v>195</v>
      </c>
      <c r="E85" s="70">
        <v>330</v>
      </c>
      <c r="F85" s="70"/>
      <c r="G85" s="70">
        <v>200</v>
      </c>
      <c r="H85" s="70">
        <f t="shared" si="0"/>
        <v>330</v>
      </c>
      <c r="I85" s="41">
        <v>9.9</v>
      </c>
      <c r="J85" s="68"/>
      <c r="K85" s="68">
        <v>24.75</v>
      </c>
      <c r="L85" s="68">
        <v>3.3</v>
      </c>
      <c r="M85" s="67"/>
    </row>
    <row r="86" spans="1:13" ht="14.25" x14ac:dyDescent="0.2">
      <c r="A86" s="66">
        <v>42</v>
      </c>
      <c r="B86" s="69" t="s">
        <v>426</v>
      </c>
      <c r="C86" s="42" t="s">
        <v>422</v>
      </c>
      <c r="D86" s="40" t="s">
        <v>195</v>
      </c>
      <c r="E86" s="70">
        <v>330</v>
      </c>
      <c r="F86" s="70"/>
      <c r="G86" s="70">
        <v>200</v>
      </c>
      <c r="H86" s="70">
        <f t="shared" si="0"/>
        <v>330</v>
      </c>
      <c r="I86" s="41">
        <v>9.9</v>
      </c>
      <c r="J86" s="68"/>
      <c r="K86" s="68">
        <v>24.75</v>
      </c>
      <c r="L86" s="68">
        <v>3.3</v>
      </c>
      <c r="M86" s="67"/>
    </row>
    <row r="87" spans="1:13" ht="14.25" x14ac:dyDescent="0.2">
      <c r="A87" s="66">
        <v>43</v>
      </c>
      <c r="B87" s="69" t="s">
        <v>427</v>
      </c>
      <c r="C87" s="42" t="s">
        <v>428</v>
      </c>
      <c r="D87" s="40" t="s">
        <v>195</v>
      </c>
      <c r="E87" s="70">
        <v>350</v>
      </c>
      <c r="F87" s="70"/>
      <c r="G87" s="70">
        <v>200</v>
      </c>
      <c r="H87" s="70">
        <f t="shared" si="0"/>
        <v>350</v>
      </c>
      <c r="I87" s="41">
        <v>27.13</v>
      </c>
      <c r="J87" s="68"/>
      <c r="K87" s="68">
        <v>26.25</v>
      </c>
      <c r="L87" s="68">
        <v>3.5</v>
      </c>
      <c r="M87" s="67"/>
    </row>
    <row r="88" spans="1:13" ht="14.25" x14ac:dyDescent="0.2">
      <c r="A88" s="66">
        <v>44</v>
      </c>
      <c r="B88" s="69" t="s">
        <v>429</v>
      </c>
      <c r="C88" s="42" t="s">
        <v>430</v>
      </c>
      <c r="D88" s="40" t="s">
        <v>195</v>
      </c>
      <c r="E88" s="70">
        <v>310</v>
      </c>
      <c r="F88" s="70"/>
      <c r="G88" s="70">
        <v>200</v>
      </c>
      <c r="H88" s="70">
        <f t="shared" si="0"/>
        <v>310</v>
      </c>
      <c r="I88" s="41">
        <v>24.03</v>
      </c>
      <c r="J88" s="68"/>
      <c r="K88" s="68">
        <v>23.25</v>
      </c>
      <c r="L88" s="68">
        <v>3.1</v>
      </c>
      <c r="M88" s="67"/>
    </row>
    <row r="89" spans="1:13" ht="14.25" x14ac:dyDescent="0.2">
      <c r="A89" s="66">
        <v>45</v>
      </c>
      <c r="B89" s="69" t="s">
        <v>431</v>
      </c>
      <c r="C89" s="42" t="s">
        <v>430</v>
      </c>
      <c r="D89" s="40" t="s">
        <v>195</v>
      </c>
      <c r="E89" s="70">
        <v>310</v>
      </c>
      <c r="F89" s="70"/>
      <c r="G89" s="70">
        <v>200</v>
      </c>
      <c r="H89" s="70">
        <f t="shared" si="0"/>
        <v>310</v>
      </c>
      <c r="I89" s="41">
        <v>24.03</v>
      </c>
      <c r="J89" s="68"/>
      <c r="K89" s="68">
        <v>23.25</v>
      </c>
      <c r="L89" s="68">
        <v>3.1</v>
      </c>
      <c r="M89" s="67"/>
    </row>
    <row r="90" spans="1:13" ht="14.25" x14ac:dyDescent="0.2">
      <c r="A90" s="66">
        <v>46</v>
      </c>
      <c r="B90" s="69" t="s">
        <v>432</v>
      </c>
      <c r="C90" s="42" t="s">
        <v>430</v>
      </c>
      <c r="D90" s="40" t="s">
        <v>195</v>
      </c>
      <c r="E90" s="70">
        <v>310</v>
      </c>
      <c r="F90" s="70"/>
      <c r="G90" s="70">
        <v>200</v>
      </c>
      <c r="H90" s="70">
        <f t="shared" si="0"/>
        <v>310</v>
      </c>
      <c r="I90" s="41">
        <v>24.03</v>
      </c>
      <c r="J90" s="68"/>
      <c r="K90" s="68">
        <v>23.25</v>
      </c>
      <c r="L90" s="68">
        <v>3.1</v>
      </c>
      <c r="M90" s="67"/>
    </row>
    <row r="91" spans="1:13" ht="14.25" x14ac:dyDescent="0.2">
      <c r="A91" s="66">
        <v>47</v>
      </c>
      <c r="B91" s="69" t="s">
        <v>433</v>
      </c>
      <c r="C91" s="42" t="s">
        <v>430</v>
      </c>
      <c r="D91" s="40" t="s">
        <v>195</v>
      </c>
      <c r="E91" s="70">
        <v>310</v>
      </c>
      <c r="F91" s="70"/>
      <c r="G91" s="70">
        <v>200</v>
      </c>
      <c r="H91" s="70">
        <f t="shared" si="0"/>
        <v>310</v>
      </c>
      <c r="I91" s="41">
        <v>24.03</v>
      </c>
      <c r="J91" s="68"/>
      <c r="K91" s="68">
        <v>23.25</v>
      </c>
      <c r="L91" s="68">
        <v>3.1</v>
      </c>
      <c r="M91" s="67"/>
    </row>
    <row r="92" spans="1:13" ht="14.25" x14ac:dyDescent="0.2">
      <c r="A92" s="66">
        <v>48</v>
      </c>
      <c r="B92" s="69" t="s">
        <v>434</v>
      </c>
      <c r="C92" s="42" t="s">
        <v>430</v>
      </c>
      <c r="D92" s="40" t="s">
        <v>195</v>
      </c>
      <c r="E92" s="70">
        <v>310</v>
      </c>
      <c r="F92" s="70"/>
      <c r="G92" s="70">
        <v>200</v>
      </c>
      <c r="H92" s="70">
        <f t="shared" si="0"/>
        <v>310</v>
      </c>
      <c r="I92" s="41">
        <v>24.03</v>
      </c>
      <c r="J92" s="68"/>
      <c r="K92" s="68">
        <v>23.25</v>
      </c>
      <c r="L92" s="68">
        <v>3.1</v>
      </c>
      <c r="M92" s="67"/>
    </row>
    <row r="93" spans="1:13" ht="14.25" x14ac:dyDescent="0.2">
      <c r="A93" s="66">
        <v>49</v>
      </c>
      <c r="B93" s="69" t="s">
        <v>435</v>
      </c>
      <c r="C93" s="42" t="s">
        <v>436</v>
      </c>
      <c r="D93" s="40" t="s">
        <v>195</v>
      </c>
      <c r="E93" s="70">
        <v>310</v>
      </c>
      <c r="F93" s="70"/>
      <c r="G93" s="70">
        <v>200</v>
      </c>
      <c r="H93" s="70">
        <f t="shared" si="0"/>
        <v>310</v>
      </c>
      <c r="I93" s="41">
        <v>24.03</v>
      </c>
      <c r="J93" s="68"/>
      <c r="K93" s="68">
        <v>23.25</v>
      </c>
      <c r="L93" s="68">
        <v>3.1</v>
      </c>
      <c r="M93" s="67"/>
    </row>
    <row r="94" spans="1:13" ht="14.25" x14ac:dyDescent="0.2">
      <c r="A94" s="66">
        <v>50</v>
      </c>
      <c r="B94" s="69" t="s">
        <v>437</v>
      </c>
      <c r="C94" s="42" t="s">
        <v>438</v>
      </c>
      <c r="D94" s="40" t="s">
        <v>195</v>
      </c>
      <c r="E94" s="70">
        <v>519.16</v>
      </c>
      <c r="F94" s="70"/>
      <c r="G94" s="70">
        <v>200</v>
      </c>
      <c r="H94" s="70">
        <f t="shared" si="0"/>
        <v>519.16</v>
      </c>
      <c r="I94" s="41"/>
      <c r="J94" s="68"/>
      <c r="K94" s="68"/>
      <c r="L94" s="68"/>
      <c r="M94" s="67"/>
    </row>
    <row r="95" spans="1:13" ht="14.25" x14ac:dyDescent="0.2">
      <c r="A95" s="66">
        <v>51</v>
      </c>
      <c r="B95" s="69" t="s">
        <v>439</v>
      </c>
      <c r="C95" s="42" t="s">
        <v>438</v>
      </c>
      <c r="D95" s="40" t="s">
        <v>195</v>
      </c>
      <c r="E95" s="70">
        <v>385</v>
      </c>
      <c r="F95" s="70"/>
      <c r="G95" s="70">
        <v>200</v>
      </c>
      <c r="H95" s="70">
        <f t="shared" si="0"/>
        <v>385</v>
      </c>
      <c r="I95" s="41">
        <v>29.84</v>
      </c>
      <c r="J95" s="68"/>
      <c r="K95" s="68">
        <v>28.88</v>
      </c>
      <c r="L95" s="68">
        <v>3.85</v>
      </c>
      <c r="M95" s="67"/>
    </row>
    <row r="96" spans="1:13" ht="14.25" x14ac:dyDescent="0.2">
      <c r="A96" s="66">
        <v>52</v>
      </c>
      <c r="B96" s="69" t="s">
        <v>440</v>
      </c>
      <c r="C96" s="42" t="s">
        <v>441</v>
      </c>
      <c r="D96" s="40" t="s">
        <v>195</v>
      </c>
      <c r="E96" s="70">
        <v>310</v>
      </c>
      <c r="F96" s="70"/>
      <c r="G96" s="70">
        <v>200</v>
      </c>
      <c r="H96" s="70">
        <f t="shared" si="0"/>
        <v>310</v>
      </c>
      <c r="I96" s="41">
        <v>24.03</v>
      </c>
      <c r="J96" s="68"/>
      <c r="K96" s="68">
        <v>23.25</v>
      </c>
      <c r="L96" s="68">
        <v>3.1</v>
      </c>
      <c r="M96" s="67"/>
    </row>
    <row r="97" spans="1:13" ht="14.25" x14ac:dyDescent="0.2">
      <c r="A97" s="66">
        <v>53</v>
      </c>
      <c r="B97" s="69" t="s">
        <v>442</v>
      </c>
      <c r="C97" s="42" t="s">
        <v>443</v>
      </c>
      <c r="D97" s="40" t="s">
        <v>195</v>
      </c>
      <c r="E97" s="70">
        <v>385</v>
      </c>
      <c r="F97" s="70"/>
      <c r="G97" s="70">
        <v>200</v>
      </c>
      <c r="H97" s="70">
        <f t="shared" si="0"/>
        <v>385</v>
      </c>
      <c r="I97" s="41">
        <v>29.84</v>
      </c>
      <c r="J97" s="68"/>
      <c r="K97" s="68">
        <v>28.88</v>
      </c>
      <c r="L97" s="68">
        <v>3.85</v>
      </c>
      <c r="M97" s="67"/>
    </row>
    <row r="98" spans="1:13" ht="14.25" x14ac:dyDescent="0.2">
      <c r="A98" s="66">
        <v>54</v>
      </c>
      <c r="B98" s="69" t="s">
        <v>444</v>
      </c>
      <c r="C98" s="42" t="s">
        <v>438</v>
      </c>
      <c r="D98" s="40" t="s">
        <v>195</v>
      </c>
      <c r="E98" s="70">
        <v>440</v>
      </c>
      <c r="F98" s="70"/>
      <c r="G98" s="70">
        <v>200</v>
      </c>
      <c r="H98" s="70">
        <f t="shared" si="0"/>
        <v>440</v>
      </c>
      <c r="I98" s="41">
        <v>34.1</v>
      </c>
      <c r="J98" s="68"/>
      <c r="K98" s="68">
        <v>33</v>
      </c>
      <c r="L98" s="68">
        <v>4.4000000000000004</v>
      </c>
      <c r="M98" s="67"/>
    </row>
    <row r="99" spans="1:13" ht="14.25" x14ac:dyDescent="0.2">
      <c r="A99" s="66">
        <v>55</v>
      </c>
      <c r="B99" s="69" t="s">
        <v>445</v>
      </c>
      <c r="C99" s="42" t="s">
        <v>443</v>
      </c>
      <c r="D99" s="40" t="s">
        <v>195</v>
      </c>
      <c r="E99" s="70">
        <v>357.5</v>
      </c>
      <c r="F99" s="70"/>
      <c r="G99" s="70">
        <v>200</v>
      </c>
      <c r="H99" s="70">
        <f t="shared" si="0"/>
        <v>357.5</v>
      </c>
      <c r="I99" s="41"/>
      <c r="J99" s="68">
        <v>21.45</v>
      </c>
      <c r="K99" s="68">
        <v>26.81</v>
      </c>
      <c r="L99" s="68">
        <v>3.58</v>
      </c>
      <c r="M99" s="67"/>
    </row>
    <row r="100" spans="1:13" ht="14.25" x14ac:dyDescent="0.2">
      <c r="A100" s="66">
        <v>56</v>
      </c>
      <c r="B100" s="69" t="s">
        <v>446</v>
      </c>
      <c r="C100" s="42" t="s">
        <v>447</v>
      </c>
      <c r="D100" s="40" t="s">
        <v>195</v>
      </c>
      <c r="E100" s="70">
        <v>444.44</v>
      </c>
      <c r="F100" s="70"/>
      <c r="G100" s="70">
        <v>200</v>
      </c>
      <c r="H100" s="70">
        <f t="shared" si="0"/>
        <v>444.44</v>
      </c>
      <c r="I100" s="41">
        <v>34.44</v>
      </c>
      <c r="J100" s="68"/>
      <c r="K100" s="68">
        <v>33.33</v>
      </c>
      <c r="L100" s="68">
        <v>4.4400000000000004</v>
      </c>
      <c r="M100" s="67"/>
    </row>
    <row r="101" spans="1:13" ht="14.25" x14ac:dyDescent="0.2">
      <c r="A101" s="66">
        <v>57</v>
      </c>
      <c r="B101" s="69" t="s">
        <v>448</v>
      </c>
      <c r="C101" s="42" t="s">
        <v>443</v>
      </c>
      <c r="D101" s="40" t="s">
        <v>195</v>
      </c>
      <c r="E101" s="70">
        <v>385</v>
      </c>
      <c r="F101" s="70"/>
      <c r="G101" s="70">
        <v>200</v>
      </c>
      <c r="H101" s="70">
        <f t="shared" si="0"/>
        <v>385</v>
      </c>
      <c r="I101" s="41"/>
      <c r="J101" s="68"/>
      <c r="K101" s="68">
        <v>28.88</v>
      </c>
      <c r="L101" s="68">
        <v>3.85</v>
      </c>
      <c r="M101" s="67"/>
    </row>
    <row r="102" spans="1:13" ht="14.25" x14ac:dyDescent="0.2">
      <c r="A102" s="66">
        <v>58</v>
      </c>
      <c r="B102" s="69" t="s">
        <v>449</v>
      </c>
      <c r="C102" s="42" t="s">
        <v>450</v>
      </c>
      <c r="D102" s="40" t="s">
        <v>195</v>
      </c>
      <c r="E102" s="70">
        <v>350</v>
      </c>
      <c r="F102" s="70"/>
      <c r="G102" s="70">
        <v>200</v>
      </c>
      <c r="H102" s="70">
        <f t="shared" si="0"/>
        <v>350</v>
      </c>
      <c r="I102" s="41">
        <v>27.13</v>
      </c>
      <c r="J102" s="68"/>
      <c r="K102" s="68">
        <v>26.25</v>
      </c>
      <c r="L102" s="68">
        <v>3.5</v>
      </c>
      <c r="M102" s="67"/>
    </row>
    <row r="103" spans="1:13" ht="14.25" x14ac:dyDescent="0.2">
      <c r="A103" s="66">
        <v>59</v>
      </c>
      <c r="B103" s="69" t="s">
        <v>451</v>
      </c>
      <c r="C103" s="42" t="s">
        <v>452</v>
      </c>
      <c r="D103" s="40" t="s">
        <v>195</v>
      </c>
      <c r="E103" s="70">
        <v>550</v>
      </c>
      <c r="F103" s="70"/>
      <c r="G103" s="70">
        <v>200</v>
      </c>
      <c r="H103" s="70">
        <f t="shared" si="0"/>
        <v>550</v>
      </c>
      <c r="I103" s="41">
        <v>42.63</v>
      </c>
      <c r="J103" s="68"/>
      <c r="K103" s="68">
        <v>41.25</v>
      </c>
      <c r="L103" s="68">
        <v>5.5</v>
      </c>
      <c r="M103" s="67"/>
    </row>
    <row r="104" spans="1:13" ht="14.25" x14ac:dyDescent="0.2">
      <c r="A104" s="66"/>
      <c r="B104" s="69"/>
      <c r="C104" s="42"/>
      <c r="D104" s="40"/>
      <c r="E104" s="70"/>
      <c r="F104" s="70"/>
      <c r="G104" s="70"/>
      <c r="H104" s="70"/>
      <c r="I104" s="41"/>
      <c r="J104" s="68"/>
      <c r="K104" s="68"/>
      <c r="L104" s="68"/>
      <c r="M104" s="67"/>
    </row>
    <row r="105" spans="1:13" ht="14.25" x14ac:dyDescent="0.2">
      <c r="A105" s="66">
        <v>60</v>
      </c>
      <c r="B105" s="69" t="s">
        <v>453</v>
      </c>
      <c r="C105" s="42" t="s">
        <v>454</v>
      </c>
      <c r="D105" s="108" t="s">
        <v>353</v>
      </c>
      <c r="E105" s="70">
        <v>385</v>
      </c>
      <c r="F105" s="70"/>
      <c r="G105" s="70">
        <v>200</v>
      </c>
      <c r="H105" s="70">
        <f t="shared" ref="H105:H112" si="1">+E105</f>
        <v>385</v>
      </c>
      <c r="I105" s="41"/>
      <c r="J105" s="68">
        <v>23.1</v>
      </c>
      <c r="K105" s="68">
        <v>28.88</v>
      </c>
      <c r="L105" s="68">
        <v>3.85</v>
      </c>
      <c r="M105" s="67"/>
    </row>
    <row r="106" spans="1:13" ht="14.25" x14ac:dyDescent="0.2">
      <c r="A106" s="66">
        <v>61</v>
      </c>
      <c r="B106" s="69" t="s">
        <v>455</v>
      </c>
      <c r="C106" s="42" t="s">
        <v>456</v>
      </c>
      <c r="D106" s="40" t="s">
        <v>353</v>
      </c>
      <c r="E106" s="70">
        <v>310</v>
      </c>
      <c r="F106" s="70"/>
      <c r="G106" s="70">
        <v>200</v>
      </c>
      <c r="H106" s="70">
        <f t="shared" si="1"/>
        <v>310</v>
      </c>
      <c r="I106" s="41">
        <v>24.03</v>
      </c>
      <c r="J106" s="68"/>
      <c r="K106" s="68">
        <v>23.25</v>
      </c>
      <c r="L106" s="68">
        <v>3.1</v>
      </c>
      <c r="M106" s="67"/>
    </row>
    <row r="107" spans="1:13" ht="14.25" x14ac:dyDescent="0.2">
      <c r="A107" s="66">
        <v>62</v>
      </c>
      <c r="B107" s="69" t="s">
        <v>457</v>
      </c>
      <c r="C107" s="42" t="s">
        <v>456</v>
      </c>
      <c r="D107" s="40" t="s">
        <v>353</v>
      </c>
      <c r="E107" s="70">
        <v>310</v>
      </c>
      <c r="F107" s="70"/>
      <c r="G107" s="70">
        <v>200</v>
      </c>
      <c r="H107" s="70">
        <f t="shared" si="1"/>
        <v>310</v>
      </c>
      <c r="I107" s="41">
        <v>24.03</v>
      </c>
      <c r="J107" s="68"/>
      <c r="K107" s="68">
        <v>23.25</v>
      </c>
      <c r="L107" s="68">
        <v>3.1</v>
      </c>
      <c r="M107" s="67"/>
    </row>
    <row r="108" spans="1:13" ht="14.25" x14ac:dyDescent="0.2">
      <c r="A108" s="66">
        <v>63</v>
      </c>
      <c r="B108" s="69" t="s">
        <v>458</v>
      </c>
      <c r="C108" s="42" t="s">
        <v>459</v>
      </c>
      <c r="D108" s="40" t="s">
        <v>353</v>
      </c>
      <c r="E108" s="70">
        <v>330</v>
      </c>
      <c r="F108" s="70"/>
      <c r="G108" s="70">
        <v>200</v>
      </c>
      <c r="H108" s="70">
        <f t="shared" si="1"/>
        <v>330</v>
      </c>
      <c r="I108" s="41">
        <v>26.2</v>
      </c>
      <c r="J108" s="68"/>
      <c r="K108" s="68">
        <v>24.75</v>
      </c>
      <c r="L108" s="68">
        <v>3.3</v>
      </c>
      <c r="M108" s="67"/>
    </row>
    <row r="109" spans="1:13" ht="14.25" x14ac:dyDescent="0.2">
      <c r="A109" s="66">
        <v>64</v>
      </c>
      <c r="B109" s="69" t="s">
        <v>460</v>
      </c>
      <c r="C109" s="42" t="s">
        <v>459</v>
      </c>
      <c r="D109" s="40" t="s">
        <v>353</v>
      </c>
      <c r="E109" s="70">
        <v>330</v>
      </c>
      <c r="F109" s="70"/>
      <c r="G109" s="70">
        <v>200</v>
      </c>
      <c r="H109" s="70">
        <f t="shared" si="1"/>
        <v>330</v>
      </c>
      <c r="I109" s="41">
        <v>24.75</v>
      </c>
      <c r="J109" s="68"/>
      <c r="K109" s="68">
        <v>25.58</v>
      </c>
      <c r="L109" s="68">
        <v>3.3</v>
      </c>
      <c r="M109" s="67"/>
    </row>
    <row r="110" spans="1:13" ht="14.25" x14ac:dyDescent="0.2">
      <c r="A110" s="66">
        <v>65</v>
      </c>
      <c r="B110" s="69" t="s">
        <v>461</v>
      </c>
      <c r="C110" s="42" t="s">
        <v>459</v>
      </c>
      <c r="D110" s="40" t="s">
        <v>353</v>
      </c>
      <c r="E110" s="70">
        <v>310</v>
      </c>
      <c r="F110" s="70"/>
      <c r="G110" s="70">
        <v>200</v>
      </c>
      <c r="H110" s="70">
        <f t="shared" si="1"/>
        <v>310</v>
      </c>
      <c r="I110" s="41">
        <v>24.03</v>
      </c>
      <c r="J110" s="68"/>
      <c r="K110" s="68">
        <v>23.25</v>
      </c>
      <c r="L110" s="68">
        <v>3.1</v>
      </c>
      <c r="M110" s="67"/>
    </row>
    <row r="111" spans="1:13" ht="14.25" x14ac:dyDescent="0.2">
      <c r="A111" s="66">
        <v>66</v>
      </c>
      <c r="B111" s="69" t="s">
        <v>462</v>
      </c>
      <c r="C111" s="42" t="s">
        <v>459</v>
      </c>
      <c r="D111" s="40" t="s">
        <v>353</v>
      </c>
      <c r="E111" s="70">
        <v>310</v>
      </c>
      <c r="F111" s="70"/>
      <c r="G111" s="70">
        <v>200</v>
      </c>
      <c r="H111" s="70">
        <f t="shared" si="1"/>
        <v>310</v>
      </c>
      <c r="I111" s="41">
        <v>24.03</v>
      </c>
      <c r="J111" s="68"/>
      <c r="K111" s="68">
        <v>23.25</v>
      </c>
      <c r="L111" s="68">
        <v>3.1</v>
      </c>
      <c r="M111" s="67"/>
    </row>
    <row r="112" spans="1:13" ht="14.25" x14ac:dyDescent="0.2">
      <c r="A112" s="66">
        <v>67</v>
      </c>
      <c r="B112" s="110" t="s">
        <v>468</v>
      </c>
      <c r="C112" s="42" t="s">
        <v>469</v>
      </c>
      <c r="D112" s="40" t="s">
        <v>353</v>
      </c>
      <c r="E112" s="70">
        <v>504.9</v>
      </c>
      <c r="F112" s="70"/>
      <c r="G112" s="70">
        <v>200</v>
      </c>
      <c r="H112" s="70">
        <f t="shared" si="1"/>
        <v>504.9</v>
      </c>
      <c r="I112" s="41">
        <v>39.130000000000003</v>
      </c>
      <c r="J112" s="68"/>
      <c r="K112" s="68">
        <v>37.869999999999997</v>
      </c>
      <c r="L112" s="68">
        <v>5.05</v>
      </c>
      <c r="M112" s="67"/>
    </row>
    <row r="113" spans="1:13" ht="14.25" x14ac:dyDescent="0.2">
      <c r="A113" s="66"/>
      <c r="B113" s="69"/>
      <c r="C113" s="42"/>
      <c r="D113" s="40"/>
      <c r="E113" s="70"/>
      <c r="F113" s="70"/>
      <c r="G113" s="70"/>
      <c r="H113" s="70"/>
      <c r="I113" s="41"/>
      <c r="J113" s="68"/>
      <c r="K113" s="68"/>
      <c r="L113" s="68"/>
      <c r="M113" s="67"/>
    </row>
    <row r="114" spans="1:13" ht="14.25" x14ac:dyDescent="0.2">
      <c r="A114" s="66"/>
      <c r="B114" s="69"/>
      <c r="C114" s="42"/>
      <c r="D114" s="40"/>
      <c r="E114" s="70"/>
      <c r="F114" s="70"/>
      <c r="G114" s="70"/>
      <c r="H114" s="70"/>
      <c r="I114" s="41"/>
      <c r="J114" s="68"/>
      <c r="K114" s="68"/>
      <c r="L114" s="68"/>
      <c r="M114" s="67"/>
    </row>
    <row r="115" spans="1:13" ht="14.25" x14ac:dyDescent="0.2">
      <c r="A115" s="66"/>
      <c r="B115" s="69"/>
      <c r="C115" s="42"/>
      <c r="D115" s="40"/>
      <c r="E115" s="70"/>
      <c r="F115" s="70"/>
      <c r="G115" s="70"/>
      <c r="H115" s="70"/>
      <c r="I115" s="41"/>
      <c r="J115" s="68"/>
      <c r="K115" s="68"/>
      <c r="L115" s="68"/>
      <c r="M115" s="67"/>
    </row>
    <row r="116" spans="1:13" ht="14.25" x14ac:dyDescent="0.2">
      <c r="A116" s="66"/>
      <c r="B116" s="69"/>
      <c r="C116" s="42"/>
      <c r="D116" s="40"/>
      <c r="E116" s="70"/>
      <c r="F116" s="70"/>
      <c r="G116" s="70"/>
      <c r="H116" s="70"/>
      <c r="I116" s="41"/>
      <c r="J116" s="68"/>
      <c r="K116" s="68"/>
      <c r="L116" s="68"/>
      <c r="M116" s="67"/>
    </row>
    <row r="117" spans="1:13" ht="14.25" x14ac:dyDescent="0.2">
      <c r="A117" s="66"/>
      <c r="B117" s="69"/>
      <c r="C117" s="42"/>
      <c r="D117" s="40"/>
      <c r="E117" s="70"/>
      <c r="F117" s="70"/>
      <c r="G117" s="70"/>
      <c r="H117" s="70"/>
      <c r="I117" s="41"/>
      <c r="J117" s="68"/>
      <c r="K117" s="68"/>
      <c r="L117" s="68"/>
      <c r="M117" s="67"/>
    </row>
    <row r="118" spans="1:13" ht="14.25" x14ac:dyDescent="0.2">
      <c r="A118" s="66"/>
      <c r="B118" s="69"/>
      <c r="C118" s="42"/>
      <c r="D118" s="40"/>
      <c r="E118" s="70"/>
      <c r="F118" s="70"/>
      <c r="G118" s="70"/>
      <c r="H118" s="70"/>
      <c r="I118" s="41"/>
      <c r="J118" s="68"/>
      <c r="K118" s="68"/>
      <c r="L118" s="68"/>
      <c r="M118" s="67"/>
    </row>
    <row r="119" spans="1:13" ht="14.25" x14ac:dyDescent="0.2">
      <c r="A119" s="66"/>
      <c r="B119" s="69"/>
      <c r="C119" s="42"/>
      <c r="D119" s="40"/>
      <c r="E119" s="70"/>
      <c r="F119" s="70"/>
      <c r="G119" s="70"/>
      <c r="H119" s="70"/>
      <c r="I119" s="41"/>
      <c r="J119" s="68"/>
      <c r="K119" s="68"/>
      <c r="L119" s="68"/>
      <c r="M119" s="67"/>
    </row>
    <row r="120" spans="1:13" ht="14.25" x14ac:dyDescent="0.2">
      <c r="A120" s="66"/>
      <c r="B120" s="69"/>
      <c r="C120" s="42"/>
      <c r="D120" s="40"/>
      <c r="E120" s="70"/>
      <c r="F120" s="70"/>
      <c r="G120" s="70"/>
      <c r="H120" s="70"/>
      <c r="I120" s="41"/>
      <c r="J120" s="68"/>
      <c r="K120" s="68"/>
      <c r="L120" s="68"/>
      <c r="M120" s="67"/>
    </row>
    <row r="121" spans="1:13" ht="14.25" x14ac:dyDescent="0.2">
      <c r="A121" s="66"/>
      <c r="B121" s="69"/>
      <c r="C121" s="42"/>
      <c r="D121" s="40"/>
      <c r="E121" s="70"/>
      <c r="F121" s="70"/>
      <c r="G121" s="70"/>
      <c r="H121" s="70"/>
      <c r="I121" s="41"/>
      <c r="J121" s="68"/>
      <c r="K121" s="68"/>
      <c r="L121" s="68"/>
      <c r="M121" s="67"/>
    </row>
    <row r="122" spans="1:13" ht="14.25" x14ac:dyDescent="0.2">
      <c r="A122" s="66"/>
      <c r="B122" s="69"/>
      <c r="C122" s="42"/>
      <c r="D122" s="40"/>
      <c r="E122" s="70"/>
      <c r="F122" s="70"/>
      <c r="G122" s="70"/>
      <c r="H122" s="70"/>
      <c r="I122" s="41"/>
      <c r="J122" s="68"/>
      <c r="K122" s="68"/>
      <c r="L122" s="68"/>
      <c r="M122" s="67"/>
    </row>
    <row r="123" spans="1:13" ht="14.25" x14ac:dyDescent="0.2">
      <c r="A123" s="66"/>
      <c r="B123" s="69"/>
      <c r="C123" s="42"/>
      <c r="D123" s="40"/>
      <c r="E123" s="70"/>
      <c r="F123" s="70"/>
      <c r="G123" s="70"/>
      <c r="H123" s="70"/>
      <c r="I123" s="41"/>
      <c r="J123" s="68"/>
      <c r="K123" s="68"/>
      <c r="L123" s="68"/>
      <c r="M123" s="67"/>
    </row>
    <row r="124" spans="1:13" ht="14.25" x14ac:dyDescent="0.2">
      <c r="A124" s="66"/>
      <c r="B124" s="69"/>
      <c r="C124" s="42"/>
      <c r="D124" s="40"/>
      <c r="E124" s="70"/>
      <c r="F124" s="70"/>
      <c r="G124" s="70"/>
      <c r="H124" s="70">
        <f t="shared" si="0"/>
        <v>0</v>
      </c>
      <c r="I124" s="41"/>
      <c r="J124" s="68"/>
      <c r="K124" s="68"/>
      <c r="L124" s="68"/>
      <c r="M124" s="67"/>
    </row>
    <row r="125" spans="1:13" ht="15" thickBot="1" x14ac:dyDescent="0.25">
      <c r="A125" s="66"/>
      <c r="B125" s="69"/>
      <c r="C125" s="42"/>
      <c r="D125" s="40"/>
      <c r="E125" s="70"/>
      <c r="F125" s="70"/>
      <c r="G125" s="70"/>
      <c r="H125" s="70"/>
      <c r="I125" s="41"/>
      <c r="J125" s="68"/>
      <c r="K125" s="68"/>
      <c r="L125" s="68"/>
      <c r="M125" s="67"/>
    </row>
    <row r="126" spans="1:13" ht="15.75" thickBot="1" x14ac:dyDescent="0.25">
      <c r="A126" s="1175"/>
      <c r="B126" s="1176"/>
      <c r="C126" s="1191"/>
      <c r="D126" s="1177"/>
      <c r="E126" s="71">
        <f t="shared" ref="E126:M126" si="2">SUM(E44:E125)</f>
        <v>35423.269999999997</v>
      </c>
      <c r="F126" s="71">
        <f t="shared" si="2"/>
        <v>0</v>
      </c>
      <c r="G126" s="71"/>
      <c r="H126" s="71">
        <f t="shared" si="2"/>
        <v>35423.269999999997</v>
      </c>
      <c r="I126" s="71">
        <f t="shared" si="2"/>
        <v>2140.7300000000005</v>
      </c>
      <c r="J126" s="71">
        <f t="shared" si="2"/>
        <v>70.949999999999989</v>
      </c>
      <c r="K126" s="71">
        <f t="shared" si="2"/>
        <v>2302.7800000000002</v>
      </c>
      <c r="L126" s="71">
        <f t="shared" si="2"/>
        <v>297.27000000000021</v>
      </c>
      <c r="M126" s="71">
        <f t="shared" si="2"/>
        <v>0</v>
      </c>
    </row>
  </sheetData>
  <mergeCells count="28">
    <mergeCell ref="A126:D126"/>
    <mergeCell ref="I41:L41"/>
    <mergeCell ref="M41:M43"/>
    <mergeCell ref="E42:E43"/>
    <mergeCell ref="F42:F43"/>
    <mergeCell ref="I42:I43"/>
    <mergeCell ref="K42:K43"/>
    <mergeCell ref="A1:M1"/>
    <mergeCell ref="A2:M2"/>
    <mergeCell ref="B3:M3"/>
    <mergeCell ref="A4:A6"/>
    <mergeCell ref="B4:B6"/>
    <mergeCell ref="D4:D6"/>
    <mergeCell ref="I4:L4"/>
    <mergeCell ref="M4:M6"/>
    <mergeCell ref="E5:E6"/>
    <mergeCell ref="I5:I6"/>
    <mergeCell ref="K5:K6"/>
    <mergeCell ref="A25:D25"/>
    <mergeCell ref="E4:H4"/>
    <mergeCell ref="A41:A43"/>
    <mergeCell ref="B41:B43"/>
    <mergeCell ref="D41:D43"/>
    <mergeCell ref="E41:H41"/>
    <mergeCell ref="A39:M39"/>
    <mergeCell ref="F5:F6"/>
    <mergeCell ref="A40:M40"/>
    <mergeCell ref="A38:M38"/>
  </mergeCells>
  <pageMargins left="0.7" right="0.7" top="0.75" bottom="0.75" header="0.3" footer="0.3"/>
  <pageSetup scale="80" orientation="landscape"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sheetPr>
  <dimension ref="A1:Y97"/>
  <sheetViews>
    <sheetView topLeftCell="C76" workbookViewId="0">
      <selection activeCell="D72" sqref="D72"/>
    </sheetView>
  </sheetViews>
  <sheetFormatPr baseColWidth="10" defaultColWidth="11.42578125" defaultRowHeight="15" x14ac:dyDescent="0.25"/>
  <cols>
    <col min="1" max="1" width="0.140625" style="443" hidden="1" customWidth="1"/>
    <col min="2" max="2" width="0.28515625" style="443" hidden="1" customWidth="1"/>
    <col min="3" max="3" width="6.85546875" style="443" customWidth="1"/>
    <col min="4" max="4" width="18.140625" style="443" customWidth="1"/>
    <col min="5" max="5" width="15" style="443" customWidth="1"/>
    <col min="6" max="6" width="11.42578125" style="443"/>
    <col min="7" max="7" width="15.85546875" style="443" customWidth="1"/>
    <col min="8" max="8" width="12.5703125" style="443" customWidth="1"/>
    <col min="9" max="9" width="11.42578125" style="443"/>
    <col min="10" max="10" width="13.85546875" style="443" customWidth="1"/>
    <col min="11" max="11" width="11.28515625" style="443" customWidth="1"/>
    <col min="12" max="12" width="12.28515625" style="443" customWidth="1"/>
    <col min="13" max="13" width="13.28515625" style="443" customWidth="1"/>
    <col min="14" max="14" width="9" style="443" customWidth="1"/>
    <col min="15" max="15" width="14.7109375" style="443" customWidth="1"/>
    <col min="16" max="16" width="9.7109375" style="443" customWidth="1"/>
    <col min="17" max="17" width="13.7109375" style="443" customWidth="1"/>
    <col min="18" max="18" width="14.42578125" style="443" hidden="1" customWidth="1"/>
    <col min="19" max="19" width="15.5703125" style="443" hidden="1" customWidth="1"/>
    <col min="20" max="20" width="17.42578125" style="443" hidden="1" customWidth="1"/>
    <col min="21" max="21" width="30.28515625" style="443" customWidth="1"/>
    <col min="22" max="22" width="4.28515625" style="443" customWidth="1"/>
    <col min="23" max="23" width="1.28515625" style="443" customWidth="1"/>
    <col min="24" max="16384" width="11.42578125" style="443"/>
  </cols>
  <sheetData>
    <row r="1" spans="2:25" ht="18.75" x14ac:dyDescent="0.3">
      <c r="C1" s="1215" t="s">
        <v>329</v>
      </c>
      <c r="D1" s="1215"/>
      <c r="E1" s="1215"/>
      <c r="F1" s="1215"/>
      <c r="G1" s="1215"/>
      <c r="H1" s="1215"/>
      <c r="I1" s="1215"/>
      <c r="J1" s="1215"/>
      <c r="K1" s="1215"/>
      <c r="L1" s="1215"/>
      <c r="M1" s="1215"/>
      <c r="N1" s="1215"/>
      <c r="O1" s="1215"/>
      <c r="P1" s="1215"/>
      <c r="Q1" s="1215"/>
      <c r="R1" s="1215"/>
      <c r="S1" s="1215"/>
      <c r="T1" s="1215"/>
      <c r="U1" s="1215"/>
      <c r="V1" s="444"/>
    </row>
    <row r="2" spans="2:25" ht="18.75" x14ac:dyDescent="0.3">
      <c r="C2" s="1215" t="s">
        <v>713</v>
      </c>
      <c r="D2" s="1215"/>
      <c r="E2" s="1215"/>
      <c r="F2" s="1215"/>
      <c r="G2" s="1215"/>
      <c r="H2" s="1215"/>
      <c r="I2" s="1215"/>
      <c r="J2" s="1215"/>
      <c r="K2" s="1215"/>
      <c r="L2" s="1215"/>
      <c r="M2" s="1215"/>
      <c r="N2" s="1215"/>
      <c r="O2" s="1215"/>
      <c r="P2" s="1215"/>
      <c r="Q2" s="1215"/>
      <c r="R2" s="1215"/>
      <c r="S2" s="1215"/>
      <c r="T2" s="1215"/>
      <c r="U2" s="1215"/>
      <c r="V2" s="444"/>
    </row>
    <row r="3" spans="2:25" ht="18.75" x14ac:dyDescent="0.3">
      <c r="C3" s="1216">
        <v>44896</v>
      </c>
      <c r="D3" s="1215"/>
      <c r="E3" s="1215"/>
      <c r="F3" s="1215"/>
      <c r="G3" s="1215"/>
      <c r="H3" s="1215"/>
      <c r="I3" s="1215"/>
      <c r="J3" s="1215"/>
      <c r="K3" s="1215"/>
      <c r="L3" s="1215"/>
      <c r="M3" s="1215"/>
      <c r="N3" s="1215"/>
      <c r="O3" s="1215"/>
      <c r="P3" s="1215"/>
      <c r="Q3" s="1215"/>
      <c r="R3" s="1215"/>
      <c r="S3" s="1215"/>
      <c r="T3" s="1215"/>
      <c r="U3" s="1215"/>
      <c r="V3" s="444"/>
    </row>
    <row r="4" spans="2:25" ht="20.25" customHeight="1" x14ac:dyDescent="0.25">
      <c r="C4" s="445" t="s">
        <v>714</v>
      </c>
      <c r="D4" s="445">
        <v>51101</v>
      </c>
      <c r="E4" s="446"/>
      <c r="F4" s="446"/>
      <c r="G4" s="446"/>
      <c r="H4" s="446"/>
      <c r="I4" s="446"/>
      <c r="J4" s="446"/>
      <c r="K4" s="446"/>
      <c r="L4" s="446"/>
      <c r="M4" s="446"/>
      <c r="N4" s="446"/>
      <c r="O4" s="446"/>
      <c r="P4" s="446"/>
      <c r="Q4" s="446"/>
      <c r="R4" s="446"/>
      <c r="S4" s="446"/>
      <c r="T4" s="446"/>
      <c r="U4" s="446"/>
      <c r="V4" s="446"/>
    </row>
    <row r="5" spans="2:25" x14ac:dyDescent="0.25">
      <c r="C5" s="445" t="s">
        <v>715</v>
      </c>
      <c r="E5" s="1217"/>
      <c r="F5" s="1217"/>
      <c r="G5" s="446"/>
      <c r="H5" s="446"/>
      <c r="I5" s="446"/>
      <c r="J5" s="446"/>
      <c r="K5" s="446"/>
      <c r="L5" s="446"/>
      <c r="M5" s="446"/>
      <c r="N5" s="446"/>
      <c r="O5" s="446"/>
      <c r="P5" s="446"/>
      <c r="Q5" s="446"/>
      <c r="R5" s="446"/>
      <c r="S5" s="446"/>
      <c r="T5" s="446"/>
      <c r="U5" s="446"/>
      <c r="V5" s="446"/>
    </row>
    <row r="6" spans="2:25" ht="15.75" thickBot="1" x14ac:dyDescent="0.3">
      <c r="C6" s="561" t="s">
        <v>716</v>
      </c>
      <c r="D6" s="446"/>
    </row>
    <row r="7" spans="2:25" x14ac:dyDescent="0.25">
      <c r="C7" s="1218" t="s">
        <v>717</v>
      </c>
      <c r="D7" s="1220" t="s">
        <v>718</v>
      </c>
      <c r="E7" s="1222" t="s">
        <v>483</v>
      </c>
      <c r="F7" s="1224" t="s">
        <v>719</v>
      </c>
      <c r="G7" s="1203" t="s">
        <v>720</v>
      </c>
      <c r="H7" s="1207" t="s">
        <v>721</v>
      </c>
      <c r="I7" s="1213" t="s">
        <v>722</v>
      </c>
      <c r="J7" s="1193" t="s">
        <v>723</v>
      </c>
      <c r="K7" s="1207" t="s">
        <v>724</v>
      </c>
      <c r="L7" s="1207"/>
      <c r="M7" s="1193" t="s">
        <v>725</v>
      </c>
      <c r="N7" s="1203" t="s">
        <v>726</v>
      </c>
      <c r="O7" s="1205" t="s">
        <v>727</v>
      </c>
      <c r="P7" s="1193" t="s">
        <v>728</v>
      </c>
      <c r="Q7" s="1207" t="s">
        <v>729</v>
      </c>
      <c r="R7" s="1209" t="s">
        <v>730</v>
      </c>
      <c r="S7" s="1211" t="s">
        <v>731</v>
      </c>
      <c r="T7" s="1193" t="s">
        <v>732</v>
      </c>
      <c r="U7" s="1195" t="s">
        <v>733</v>
      </c>
      <c r="V7" s="447"/>
    </row>
    <row r="8" spans="2:25" ht="40.5" customHeight="1" thickBot="1" x14ac:dyDescent="0.3">
      <c r="C8" s="1219"/>
      <c r="D8" s="1221"/>
      <c r="E8" s="1223"/>
      <c r="F8" s="1225"/>
      <c r="G8" s="1204"/>
      <c r="H8" s="1208"/>
      <c r="I8" s="1214"/>
      <c r="J8" s="1194"/>
      <c r="K8" s="448" t="s">
        <v>734</v>
      </c>
      <c r="L8" s="448" t="s">
        <v>735</v>
      </c>
      <c r="M8" s="1194"/>
      <c r="N8" s="1204"/>
      <c r="O8" s="1206"/>
      <c r="P8" s="1194"/>
      <c r="Q8" s="1208"/>
      <c r="R8" s="1210"/>
      <c r="S8" s="1212"/>
      <c r="T8" s="1194"/>
      <c r="U8" s="1196"/>
      <c r="V8" s="447"/>
    </row>
    <row r="9" spans="2:25" ht="20.100000000000001" customHeight="1" thickBot="1" x14ac:dyDescent="0.3">
      <c r="C9" s="1197" t="s">
        <v>736</v>
      </c>
      <c r="D9" s="1197"/>
      <c r="E9" s="1197"/>
      <c r="F9" s="1197"/>
      <c r="G9" s="1197"/>
      <c r="H9" s="1197"/>
      <c r="I9" s="1197"/>
      <c r="J9" s="1197"/>
      <c r="K9" s="1197"/>
      <c r="L9" s="1197"/>
      <c r="M9" s="1197"/>
      <c r="N9" s="1197"/>
      <c r="O9" s="1197"/>
      <c r="P9" s="1197"/>
      <c r="Q9" s="1197"/>
      <c r="R9" s="1197"/>
      <c r="S9" s="1197"/>
      <c r="T9" s="1197"/>
      <c r="U9" s="1198"/>
      <c r="V9" s="449"/>
    </row>
    <row r="10" spans="2:25" ht="41.25" customHeight="1" x14ac:dyDescent="0.3">
      <c r="C10" s="450">
        <v>1</v>
      </c>
      <c r="D10" s="451" t="s">
        <v>737</v>
      </c>
      <c r="E10" s="452">
        <v>2500</v>
      </c>
      <c r="F10" s="453"/>
      <c r="G10" s="452">
        <f>2500+F10</f>
        <v>2500</v>
      </c>
      <c r="H10" s="454"/>
      <c r="I10" s="455"/>
      <c r="J10" s="454"/>
      <c r="K10" s="454"/>
      <c r="L10" s="454"/>
      <c r="M10" s="454"/>
      <c r="N10" s="454"/>
      <c r="O10" s="454"/>
      <c r="P10" s="454"/>
      <c r="Q10" s="456">
        <f>(ROUND(IF((G10)&lt;=472,0,IF((G10)&lt;=895.24,17.67+0.1*((G10)-472),IF((G10)&lt;=2038.1,60+0.2*((G10)-895.24),288.57+0.3*((G10)-2038.11)))),2))</f>
        <v>427.14</v>
      </c>
      <c r="R10" s="457">
        <f>'[2]DESCUENTO OCTUBRE'!$R$7</f>
        <v>0</v>
      </c>
      <c r="S10" s="458">
        <f>+H10+L10+Q10+R10+K10</f>
        <v>427.14</v>
      </c>
      <c r="T10" s="457">
        <f t="shared" ref="T10:T16" si="0">+G10-S10</f>
        <v>2072.86</v>
      </c>
      <c r="U10" s="459"/>
      <c r="Y10" s="460"/>
    </row>
    <row r="11" spans="2:25" ht="42" customHeight="1" x14ac:dyDescent="0.3">
      <c r="B11" s="461"/>
      <c r="C11" s="462">
        <v>2</v>
      </c>
      <c r="D11" s="451" t="s">
        <v>738</v>
      </c>
      <c r="E11" s="463">
        <v>500</v>
      </c>
      <c r="F11" s="458"/>
      <c r="G11" s="463">
        <f>E11+F11</f>
        <v>500</v>
      </c>
      <c r="H11" s="458">
        <f>+G11*3%</f>
        <v>15</v>
      </c>
      <c r="I11" s="464">
        <f>+G11*0.01</f>
        <v>5</v>
      </c>
      <c r="J11" s="458">
        <f>+G11*7.5%</f>
        <v>37.5</v>
      </c>
      <c r="K11" s="458">
        <f>+G11*7.25%</f>
        <v>36.25</v>
      </c>
      <c r="L11" s="458"/>
      <c r="M11" s="458">
        <f t="shared" ref="M11" si="1">+E11*7.75%</f>
        <v>38.75</v>
      </c>
      <c r="N11" s="458"/>
      <c r="O11" s="458">
        <f>G11-H11-K11</f>
        <v>448.75</v>
      </c>
      <c r="P11" s="458"/>
      <c r="Q11" s="456">
        <f>(ROUND(IF((O11)&lt;=472,0,IF((O11)&lt;=895.24,17.67+0.1*((O11)-472),IF((O11)&lt;=2038.1,60+0.2*((O11)-895.24),288.57+0.3*((O11)-2038.11)))),2))</f>
        <v>0</v>
      </c>
      <c r="R11" s="465">
        <f>'[3]DESCUENTO NOVIEMBRE'!$R$8</f>
        <v>96.17</v>
      </c>
      <c r="S11" s="458">
        <f>+H11+Q11+R11+K11</f>
        <v>147.42000000000002</v>
      </c>
      <c r="T11" s="458">
        <f t="shared" si="0"/>
        <v>352.58</v>
      </c>
      <c r="U11" s="466"/>
      <c r="V11" s="467"/>
    </row>
    <row r="12" spans="2:25" ht="39.950000000000003" customHeight="1" x14ac:dyDescent="0.25">
      <c r="B12" s="461"/>
      <c r="C12" s="462" t="s">
        <v>739</v>
      </c>
      <c r="D12" s="451" t="s">
        <v>740</v>
      </c>
      <c r="E12" s="463">
        <v>1800</v>
      </c>
      <c r="F12" s="458"/>
      <c r="G12" s="463">
        <f>E12+F12</f>
        <v>1800</v>
      </c>
      <c r="H12" s="458">
        <f>1000*3%</f>
        <v>30</v>
      </c>
      <c r="I12" s="464">
        <v>10</v>
      </c>
      <c r="J12" s="458">
        <f>1000*7.5%</f>
        <v>75</v>
      </c>
      <c r="K12" s="458"/>
      <c r="L12" s="458">
        <f>+G12*7.25%</f>
        <v>130.5</v>
      </c>
      <c r="M12" s="458">
        <f>+G12*7.75%</f>
        <v>139.5</v>
      </c>
      <c r="N12" s="458"/>
      <c r="O12" s="458">
        <f>G12-H12-L12</f>
        <v>1639.5</v>
      </c>
      <c r="P12" s="458"/>
      <c r="Q12" s="456">
        <f>(ROUND(IF((O12)&lt;=472,0,IF((O12)&lt;=895.24,17.67+0.1*((O12)-472),IF((O12)&lt;=2038.1,60+0.2*((O12)-895.24),288.57+0.3*((O12)-2038.11)))),2))</f>
        <v>208.85</v>
      </c>
      <c r="R12" s="457">
        <f>'[3]DESCUENTO NOVIEMBRE'!$R$9</f>
        <v>0</v>
      </c>
      <c r="S12" s="458">
        <f>+H12+L12+Q12+R12</f>
        <v>369.35</v>
      </c>
      <c r="T12" s="458">
        <f t="shared" si="0"/>
        <v>1430.65</v>
      </c>
      <c r="U12" s="466"/>
      <c r="V12" s="467"/>
    </row>
    <row r="13" spans="2:25" ht="39.950000000000003" customHeight="1" x14ac:dyDescent="0.25">
      <c r="B13" s="461"/>
      <c r="C13" s="462" t="s">
        <v>741</v>
      </c>
      <c r="D13" s="451" t="s">
        <v>742</v>
      </c>
      <c r="E13" s="468">
        <v>1300</v>
      </c>
      <c r="F13" s="464"/>
      <c r="G13" s="468">
        <f>SUM(E13:F13)</f>
        <v>1300</v>
      </c>
      <c r="H13" s="458">
        <f>1000*0.03</f>
        <v>30</v>
      </c>
      <c r="I13" s="464">
        <f>1000*0.01</f>
        <v>10</v>
      </c>
      <c r="J13" s="469">
        <f>1000*7.5%</f>
        <v>75</v>
      </c>
      <c r="K13" s="458">
        <f>+G13*7.25%</f>
        <v>94.25</v>
      </c>
      <c r="L13" s="469"/>
      <c r="M13" s="469">
        <f>+G13*7.75%</f>
        <v>100.75</v>
      </c>
      <c r="N13" s="469"/>
      <c r="O13" s="458">
        <f>G13-H13-K13</f>
        <v>1175.75</v>
      </c>
      <c r="P13" s="469"/>
      <c r="Q13" s="456">
        <f>(ROUND(IF((O13)&lt;=472,0,IF((O13)&lt;=895.24,17.67+0.1*((O13)-472),IF((O13)&lt;=2038.1,60+0.2*((O13)-895.24),288.57+0.3*((O13)-2038.11)))),2))</f>
        <v>116.1</v>
      </c>
      <c r="R13" s="470">
        <f>'[3]DESCUENTO NOVIEMBRE'!$R$10</f>
        <v>254.72</v>
      </c>
      <c r="S13" s="458">
        <f>+H13+K13+Q13+R13</f>
        <v>495.07</v>
      </c>
      <c r="T13" s="458">
        <f t="shared" si="0"/>
        <v>804.93000000000006</v>
      </c>
      <c r="U13" s="471"/>
      <c r="V13" s="467"/>
    </row>
    <row r="14" spans="2:25" ht="39.950000000000003" customHeight="1" x14ac:dyDescent="0.3">
      <c r="B14" s="461"/>
      <c r="C14" s="462" t="s">
        <v>743</v>
      </c>
      <c r="D14" s="451" t="s">
        <v>744</v>
      </c>
      <c r="E14" s="468">
        <v>1000</v>
      </c>
      <c r="F14" s="464"/>
      <c r="G14" s="468">
        <f>SUM(E14:F14)</f>
        <v>1000</v>
      </c>
      <c r="H14" s="458">
        <f>+E14*0.03</f>
        <v>30</v>
      </c>
      <c r="I14" s="464">
        <f>1000*0.01</f>
        <v>10</v>
      </c>
      <c r="J14" s="469">
        <f>1000*7.5%</f>
        <v>75</v>
      </c>
      <c r="K14" s="458">
        <f>+G14*7.25%</f>
        <v>72.5</v>
      </c>
      <c r="L14" s="469"/>
      <c r="M14" s="469">
        <f>+G14*7.75%</f>
        <v>77.5</v>
      </c>
      <c r="N14" s="472"/>
      <c r="O14" s="458">
        <f>G14-H14-K14</f>
        <v>897.5</v>
      </c>
      <c r="P14" s="469"/>
      <c r="Q14" s="456">
        <f>(ROUND(IF((O14)&lt;=472,0,IF((O14)&lt;=895.24,17.67+0.1*((O14)-472),IF((O14)&lt;=2038.1,60+0.2*((O14)-895.24),288.57+0.3*((O14)-2038.11)))),2))</f>
        <v>60.45</v>
      </c>
      <c r="R14" s="473">
        <f>'[3]DESCUENTO NOVIEMBRE'!$R$11</f>
        <v>140.07</v>
      </c>
      <c r="S14" s="458">
        <f>+H14+K14+Q14+R14</f>
        <v>303.02</v>
      </c>
      <c r="T14" s="458">
        <f t="shared" si="0"/>
        <v>696.98</v>
      </c>
      <c r="U14" s="471"/>
      <c r="V14" s="467"/>
    </row>
    <row r="15" spans="2:25" ht="39.950000000000003" customHeight="1" x14ac:dyDescent="0.25">
      <c r="B15" s="461"/>
      <c r="C15" s="450" t="s">
        <v>745</v>
      </c>
      <c r="D15" s="451" t="s">
        <v>746</v>
      </c>
      <c r="E15" s="468">
        <v>1200</v>
      </c>
      <c r="F15" s="458"/>
      <c r="G15" s="468">
        <v>1200</v>
      </c>
      <c r="H15" s="458">
        <v>30</v>
      </c>
      <c r="I15" s="464">
        <v>10</v>
      </c>
      <c r="J15" s="469">
        <f>1000*7.5%</f>
        <v>75</v>
      </c>
      <c r="K15" s="469"/>
      <c r="L15" s="469">
        <f>+G15*7.25%</f>
        <v>87</v>
      </c>
      <c r="M15" s="469">
        <f>+G15*7.75%</f>
        <v>93</v>
      </c>
      <c r="N15" s="469"/>
      <c r="O15" s="458">
        <f>G15-H15-L15</f>
        <v>1083</v>
      </c>
      <c r="P15" s="469"/>
      <c r="Q15" s="456">
        <f>(ROUND(IF((O15)&lt;=472,0,IF((O15)&lt;=895.24,17.67+0.1*((O15)-472),IF((O15)&lt;=2038.1,60+0.2*((O15)-895.24),288.57+0.3*((O15)-2038.11)))),2))</f>
        <v>97.55</v>
      </c>
      <c r="R15" s="457">
        <f>'[3]DESCUENTO NOVIEMBRE'!$R$12</f>
        <v>0</v>
      </c>
      <c r="S15" s="458">
        <f>+H15+L15+Q15+R15</f>
        <v>214.55</v>
      </c>
      <c r="T15" s="458">
        <f>+G15-S15</f>
        <v>985.45</v>
      </c>
      <c r="U15" s="471"/>
      <c r="V15" s="467"/>
    </row>
    <row r="16" spans="2:25" ht="39.950000000000003" customHeight="1" thickBot="1" x14ac:dyDescent="0.3">
      <c r="C16" s="450" t="s">
        <v>747</v>
      </c>
      <c r="D16" s="451" t="s">
        <v>748</v>
      </c>
      <c r="E16" s="463">
        <v>500</v>
      </c>
      <c r="F16" s="464"/>
      <c r="G16" s="463">
        <f>E16+F16</f>
        <v>500</v>
      </c>
      <c r="H16" s="458">
        <f>+G16*3%</f>
        <v>15</v>
      </c>
      <c r="I16" s="464">
        <f>+G16*0.01</f>
        <v>5</v>
      </c>
      <c r="J16" s="458">
        <f>+G16*7.5%</f>
        <v>37.5</v>
      </c>
      <c r="K16" s="458">
        <v>0</v>
      </c>
      <c r="L16" s="469">
        <f>+G16*7.25%</f>
        <v>36.25</v>
      </c>
      <c r="M16" s="458">
        <f t="shared" ref="M16" si="2">+E16*7.75%</f>
        <v>38.75</v>
      </c>
      <c r="N16" s="458"/>
      <c r="O16" s="458">
        <f>G16-H16-L16</f>
        <v>448.75</v>
      </c>
      <c r="P16" s="458"/>
      <c r="Q16" s="456">
        <f t="shared" ref="Q16" si="3">(ROUND(IF((O16)&lt;=472,0,IF((O16)&lt;=895.24,17.67+0.1*((O16)-472),IF((O16)&lt;=2038.1,60+0.2*((O16)-895.24),288.57+0.3*((O16)-2038.11)))),2))</f>
        <v>0</v>
      </c>
      <c r="R16" s="474">
        <f>'[3]DESCUENTO NOVIEMBRE'!$R$13</f>
        <v>0</v>
      </c>
      <c r="S16" s="458">
        <f>+H16+L16+Q16+R16</f>
        <v>51.25</v>
      </c>
      <c r="T16" s="458">
        <f t="shared" si="0"/>
        <v>448.75</v>
      </c>
      <c r="U16" s="475"/>
      <c r="V16" s="467"/>
    </row>
    <row r="17" spans="3:22" ht="24" customHeight="1" thickBot="1" x14ac:dyDescent="0.3">
      <c r="C17" s="1199" t="s">
        <v>749</v>
      </c>
      <c r="D17" s="1200"/>
      <c r="E17" s="476">
        <f>SUM(E10:E16)</f>
        <v>8800</v>
      </c>
      <c r="F17" s="477">
        <f>SUM(F10:F16)</f>
        <v>0</v>
      </c>
      <c r="G17" s="476">
        <f>SUM(G10:G16)</f>
        <v>8800</v>
      </c>
      <c r="H17" s="476">
        <f t="shared" ref="H17:M17" si="4">SUM(H11:H16)</f>
        <v>150</v>
      </c>
      <c r="I17" s="478">
        <f t="shared" si="4"/>
        <v>50</v>
      </c>
      <c r="J17" s="477">
        <f t="shared" si="4"/>
        <v>375</v>
      </c>
      <c r="K17" s="476">
        <f t="shared" si="4"/>
        <v>203</v>
      </c>
      <c r="L17" s="476">
        <f t="shared" si="4"/>
        <v>253.75</v>
      </c>
      <c r="M17" s="477">
        <f t="shared" si="4"/>
        <v>488.25</v>
      </c>
      <c r="N17" s="477">
        <f>SUM(N12:N16)</f>
        <v>0</v>
      </c>
      <c r="O17" s="477">
        <f>SUM(O11:O16)</f>
        <v>5693.25</v>
      </c>
      <c r="P17" s="477">
        <f>SUM(P12:P16)</f>
        <v>0</v>
      </c>
      <c r="Q17" s="477">
        <f>SUM(Q10:Q16)</f>
        <v>910.09</v>
      </c>
      <c r="R17" s="477">
        <f>SUM(R10:R16)</f>
        <v>490.96</v>
      </c>
      <c r="S17" s="477">
        <f>SUM(S10:S16)</f>
        <v>2007.8</v>
      </c>
      <c r="T17" s="477">
        <f>SUM(T10:T16)</f>
        <v>6792.2</v>
      </c>
      <c r="U17" s="479"/>
      <c r="V17" s="480"/>
    </row>
    <row r="18" spans="3:22" ht="24" customHeight="1" x14ac:dyDescent="0.25">
      <c r="C18" s="481" t="s">
        <v>750</v>
      </c>
      <c r="D18" s="481"/>
      <c r="E18" s="481"/>
      <c r="F18" s="482"/>
      <c r="G18" s="483"/>
      <c r="H18" s="483"/>
      <c r="I18" s="483"/>
      <c r="J18" s="483"/>
      <c r="K18" s="483"/>
      <c r="L18" s="483"/>
      <c r="M18" s="483"/>
      <c r="N18" s="483"/>
      <c r="O18" s="483"/>
      <c r="P18" s="484"/>
      <c r="Q18" s="484"/>
      <c r="R18" s="484"/>
      <c r="S18" s="484"/>
      <c r="T18" s="484"/>
      <c r="U18" s="485"/>
      <c r="V18" s="486"/>
    </row>
    <row r="19" spans="3:22" ht="39.950000000000003" customHeight="1" x14ac:dyDescent="0.3">
      <c r="C19" s="487">
        <v>8</v>
      </c>
      <c r="D19" s="451" t="s">
        <v>751</v>
      </c>
      <c r="E19" s="473">
        <v>900</v>
      </c>
      <c r="F19" s="473"/>
      <c r="G19" s="473">
        <f>SUM(E19:F19)</f>
        <v>900</v>
      </c>
      <c r="H19" s="473">
        <f>+E19*3%</f>
        <v>27</v>
      </c>
      <c r="I19" s="473">
        <f>+E19*0.01</f>
        <v>9</v>
      </c>
      <c r="J19" s="473">
        <f>+E19*7.5%</f>
        <v>67.5</v>
      </c>
      <c r="K19" s="473">
        <f>+E19*7.25%</f>
        <v>65.25</v>
      </c>
      <c r="L19" s="488"/>
      <c r="M19" s="488">
        <f>+E19*7.75%</f>
        <v>69.75</v>
      </c>
      <c r="N19" s="488"/>
      <c r="O19" s="488">
        <f>G19-H19-K19</f>
        <v>807.75</v>
      </c>
      <c r="P19" s="473"/>
      <c r="Q19" s="489">
        <f>(ROUND(IF((O19)&lt;=472,0,IF((O19)&lt;=895.24,17.67+0.1*((O19)-472),IF((O19)&lt;=2038.1,60+0.2*((O19)-895.24),288.57+0.3*((O19)-2038.11)))),2))</f>
        <v>51.25</v>
      </c>
      <c r="R19" s="473">
        <f>'[3]DESCUENTO NOVIEMBRE'!$R$18</f>
        <v>71.399999999999991</v>
      </c>
      <c r="S19" s="473">
        <f>+H19+K19+Q19+R19</f>
        <v>214.89999999999998</v>
      </c>
      <c r="T19" s="473">
        <f>+G19-S19</f>
        <v>685.1</v>
      </c>
      <c r="U19" s="490"/>
      <c r="V19" s="486"/>
    </row>
    <row r="20" spans="3:22" ht="35.1" customHeight="1" x14ac:dyDescent="0.3">
      <c r="C20" s="450" t="s">
        <v>752</v>
      </c>
      <c r="D20" s="451" t="s">
        <v>753</v>
      </c>
      <c r="E20" s="473">
        <v>400</v>
      </c>
      <c r="F20" s="473"/>
      <c r="G20" s="473">
        <f>SUM(E20:F20)</f>
        <v>400</v>
      </c>
      <c r="H20" s="473">
        <f>+E20*3%</f>
        <v>12</v>
      </c>
      <c r="I20" s="473">
        <f>+E20*0.01</f>
        <v>4</v>
      </c>
      <c r="J20" s="473">
        <f>+E20*7.5%</f>
        <v>30</v>
      </c>
      <c r="K20" s="491"/>
      <c r="L20" s="473">
        <f>+E20*7.25%</f>
        <v>28.999999999999996</v>
      </c>
      <c r="M20" s="473">
        <f>+E20*7.75%</f>
        <v>31</v>
      </c>
      <c r="N20" s="473"/>
      <c r="O20" s="488">
        <f>G20-H20-L20</f>
        <v>359</v>
      </c>
      <c r="P20" s="473"/>
      <c r="Q20" s="489">
        <f>(ROUND(IF((O20)&lt;=472,0,IF((O20)&lt;=895.24,17.67+0.1*((O20)-472),IF((O20)&lt;=2038.1,60+0.2*((O20)-895.24),288.57+0.3*((O20)-2038.11)))),2))</f>
        <v>0</v>
      </c>
      <c r="R20" s="473">
        <f>'[3]DESCUENTO NOVIEMBRE'!$R$19</f>
        <v>0</v>
      </c>
      <c r="S20" s="473">
        <f>+H20+L20+R20+Q20</f>
        <v>41</v>
      </c>
      <c r="T20" s="473">
        <f t="shared" ref="T20:T34" si="5">+G20-S20</f>
        <v>359</v>
      </c>
      <c r="U20" s="492"/>
      <c r="V20" s="493"/>
    </row>
    <row r="21" spans="3:22" ht="35.1" customHeight="1" x14ac:dyDescent="0.3">
      <c r="C21" s="450" t="s">
        <v>754</v>
      </c>
      <c r="D21" s="451" t="s">
        <v>755</v>
      </c>
      <c r="E21" s="473">
        <v>1100</v>
      </c>
      <c r="F21" s="473"/>
      <c r="G21" s="473">
        <f>+E21+F21</f>
        <v>1100</v>
      </c>
      <c r="H21" s="473">
        <f>1000*3%</f>
        <v>30</v>
      </c>
      <c r="I21" s="473">
        <f>1000*0.01</f>
        <v>10</v>
      </c>
      <c r="J21" s="473">
        <f>1000*7.5%</f>
        <v>75</v>
      </c>
      <c r="K21" s="473"/>
      <c r="L21" s="469">
        <f>+G21*7.25%</f>
        <v>79.75</v>
      </c>
      <c r="M21" s="473">
        <f>+G21*7.75%</f>
        <v>85.25</v>
      </c>
      <c r="N21" s="473"/>
      <c r="O21" s="488">
        <f>G21-H21-L21</f>
        <v>990.25</v>
      </c>
      <c r="P21" s="473"/>
      <c r="Q21" s="489">
        <f>(ROUND(IF((O21)&lt;=472,0,IF((O21)&lt;=895.24,17.67+0.1*((O21)-472),IF((O21)&lt;=2038.1,60+0.2*((O21)-895.24),288.57+0.3*((O21)-2038.11)))),2))</f>
        <v>79</v>
      </c>
      <c r="R21" s="473">
        <f>'[3]DESCUENTO NOVIEMBRE'!$R$20</f>
        <v>0</v>
      </c>
      <c r="S21" s="473">
        <f>+H21+L21+Q21+R21</f>
        <v>188.75</v>
      </c>
      <c r="T21" s="473">
        <f t="shared" si="5"/>
        <v>911.25</v>
      </c>
      <c r="U21" s="490"/>
      <c r="V21" s="493"/>
    </row>
    <row r="22" spans="3:22" ht="35.1" customHeight="1" x14ac:dyDescent="0.3">
      <c r="C22" s="450" t="s">
        <v>756</v>
      </c>
      <c r="D22" s="451" t="s">
        <v>757</v>
      </c>
      <c r="E22" s="473">
        <v>400</v>
      </c>
      <c r="F22" s="473"/>
      <c r="G22" s="473">
        <v>400</v>
      </c>
      <c r="H22" s="473">
        <f>+G22*0.03</f>
        <v>12</v>
      </c>
      <c r="I22" s="473">
        <f>+G22*0.01</f>
        <v>4</v>
      </c>
      <c r="J22" s="473">
        <f>+G22*7.5%</f>
        <v>30</v>
      </c>
      <c r="K22" s="473">
        <f>G22*7.25/100</f>
        <v>29</v>
      </c>
      <c r="L22" s="473"/>
      <c r="M22" s="473">
        <f>+G22*7.75%</f>
        <v>31</v>
      </c>
      <c r="N22" s="473"/>
      <c r="O22" s="488">
        <f>G22-H22-K22</f>
        <v>359</v>
      </c>
      <c r="P22" s="473"/>
      <c r="Q22" s="489">
        <f t="shared" ref="Q22:Q32" si="6">(ROUND(IF((O22)&lt;=472,0,IF((O22)&lt;=895.24,17.67+0.1*((O22)-472),IF((O22)&lt;=2038.1,60+0.2*((O22)-895.24),288.57+0.3*((O22)-2038.11)))),2))</f>
        <v>0</v>
      </c>
      <c r="R22" s="473">
        <f>'[3]DESCUENTO NOVIEMBRE'!$R$21</f>
        <v>77.260000000000005</v>
      </c>
      <c r="S22" s="473">
        <f>+H22+L22+Q22+R22+K22</f>
        <v>118.26</v>
      </c>
      <c r="T22" s="473">
        <f t="shared" si="5"/>
        <v>281.74</v>
      </c>
      <c r="U22" s="490"/>
      <c r="V22" s="493"/>
    </row>
    <row r="23" spans="3:22" ht="35.1" customHeight="1" x14ac:dyDescent="0.3">
      <c r="C23" s="450" t="s">
        <v>758</v>
      </c>
      <c r="D23" s="451" t="s">
        <v>757</v>
      </c>
      <c r="E23" s="473">
        <v>500</v>
      </c>
      <c r="F23" s="473"/>
      <c r="G23" s="473">
        <f>E23+F23</f>
        <v>500</v>
      </c>
      <c r="H23" s="458">
        <f>+E23*3%</f>
        <v>15</v>
      </c>
      <c r="I23" s="464">
        <f>+E23*0.01</f>
        <v>5</v>
      </c>
      <c r="J23" s="458">
        <f>+E23*7.5%</f>
        <v>37.5</v>
      </c>
      <c r="K23" s="458">
        <f>+E23*7.25%</f>
        <v>36.25</v>
      </c>
      <c r="L23" s="458"/>
      <c r="M23" s="458">
        <f>+E23*7.75%</f>
        <v>38.75</v>
      </c>
      <c r="N23" s="458"/>
      <c r="O23" s="488">
        <f>G23-H23-K23</f>
        <v>448.75</v>
      </c>
      <c r="P23" s="458"/>
      <c r="Q23" s="489">
        <f t="shared" si="6"/>
        <v>0</v>
      </c>
      <c r="R23" s="473">
        <f>'[3]DESCUENTO NOVIEMBRE'!$R$22</f>
        <v>100.61</v>
      </c>
      <c r="S23" s="458">
        <f>+H23+L23+Q23+R23+K23</f>
        <v>151.86000000000001</v>
      </c>
      <c r="T23" s="458">
        <f t="shared" si="5"/>
        <v>348.14</v>
      </c>
      <c r="U23" s="490"/>
      <c r="V23" s="493"/>
    </row>
    <row r="24" spans="3:22" ht="35.1" customHeight="1" x14ac:dyDescent="0.3">
      <c r="C24" s="450" t="s">
        <v>759</v>
      </c>
      <c r="D24" s="451" t="s">
        <v>760</v>
      </c>
      <c r="E24" s="473">
        <v>1100</v>
      </c>
      <c r="F24" s="473"/>
      <c r="G24" s="473">
        <f>+E24+F24</f>
        <v>1100</v>
      </c>
      <c r="H24" s="473">
        <f>1000*3/100</f>
        <v>30</v>
      </c>
      <c r="I24" s="473">
        <v>10</v>
      </c>
      <c r="J24" s="473">
        <f>1000*7.5%</f>
        <v>75</v>
      </c>
      <c r="K24" s="473">
        <f>+G24*7.25%</f>
        <v>79.75</v>
      </c>
      <c r="L24" s="473"/>
      <c r="M24" s="473">
        <f>+G24*7.75%</f>
        <v>85.25</v>
      </c>
      <c r="N24" s="473"/>
      <c r="O24" s="488">
        <f>G24-H24-K24</f>
        <v>990.25</v>
      </c>
      <c r="P24" s="473"/>
      <c r="Q24" s="489">
        <f>(ROUND(IF((O24)&lt;=472,0,IF((O24)&lt;=895.24,17.67+0.1*((O24)-472),IF((O24)&lt;=2038.1,60+0.2*((O24)-895.24),288.57+0.3*((O24)-2038.11)))),2))</f>
        <v>79</v>
      </c>
      <c r="R24" s="473">
        <f>'[3]DESCUENTO NOVIEMBRE'!$R$23</f>
        <v>262.68</v>
      </c>
      <c r="S24" s="473">
        <f>+H24+K24+Q24+R24</f>
        <v>451.43</v>
      </c>
      <c r="T24" s="473">
        <f t="shared" si="5"/>
        <v>648.56999999999994</v>
      </c>
      <c r="U24" s="490"/>
      <c r="V24" s="493"/>
    </row>
    <row r="25" spans="3:22" ht="35.1" customHeight="1" x14ac:dyDescent="0.3">
      <c r="C25" s="450" t="s">
        <v>761</v>
      </c>
      <c r="D25" s="494" t="s">
        <v>762</v>
      </c>
      <c r="E25" s="473">
        <v>900</v>
      </c>
      <c r="F25" s="495"/>
      <c r="G25" s="473">
        <f t="shared" ref="G25" si="7">+E25+F25</f>
        <v>900</v>
      </c>
      <c r="H25" s="473">
        <f t="shared" ref="H25" si="8">+E25*3%</f>
        <v>27</v>
      </c>
      <c r="I25" s="473">
        <f t="shared" ref="I25:I41" si="9">+E25*0.01</f>
        <v>9</v>
      </c>
      <c r="J25" s="473">
        <f t="shared" ref="J25" si="10">+E25*7.5%</f>
        <v>67.5</v>
      </c>
      <c r="K25" s="473">
        <f>+E25*7.25%</f>
        <v>65.25</v>
      </c>
      <c r="L25" s="473"/>
      <c r="M25" s="473">
        <f t="shared" ref="M25:M47" si="11">+E25*7.75%</f>
        <v>69.75</v>
      </c>
      <c r="N25" s="473"/>
      <c r="O25" s="488">
        <f>G25-H25-K25</f>
        <v>807.75</v>
      </c>
      <c r="P25" s="473"/>
      <c r="Q25" s="489">
        <f t="shared" si="6"/>
        <v>51.25</v>
      </c>
      <c r="R25" s="495">
        <f>'[3]DESCUENTO NOVIEMBRE'!$R$24</f>
        <v>0.34</v>
      </c>
      <c r="S25" s="473">
        <f>+H25+K25+Q25+R25</f>
        <v>143.84</v>
      </c>
      <c r="T25" s="496">
        <f t="shared" si="5"/>
        <v>756.16</v>
      </c>
      <c r="U25" s="490"/>
      <c r="V25" s="493"/>
    </row>
    <row r="26" spans="3:22" ht="35.1" customHeight="1" x14ac:dyDescent="0.3">
      <c r="C26" s="450" t="s">
        <v>763</v>
      </c>
      <c r="D26" s="497" t="s">
        <v>764</v>
      </c>
      <c r="E26" s="473">
        <v>500</v>
      </c>
      <c r="F26" s="473"/>
      <c r="G26" s="473">
        <f>SUM(E26:F26)</f>
        <v>500</v>
      </c>
      <c r="H26" s="473">
        <f>+E26*0.03</f>
        <v>15</v>
      </c>
      <c r="I26" s="473">
        <f t="shared" si="9"/>
        <v>5</v>
      </c>
      <c r="J26" s="473">
        <f>+E26*7.5%</f>
        <v>37.5</v>
      </c>
      <c r="K26" s="473">
        <f>+E26*7.25%</f>
        <v>36.25</v>
      </c>
      <c r="L26" s="473"/>
      <c r="M26" s="473">
        <f t="shared" si="11"/>
        <v>38.75</v>
      </c>
      <c r="N26" s="473"/>
      <c r="O26" s="488">
        <f>G26-H26-K26</f>
        <v>448.75</v>
      </c>
      <c r="P26" s="473"/>
      <c r="Q26" s="489">
        <f>(ROUND(IF((O26)&lt;=472,0,IF((O26)&lt;=895.24,17.67+0.1*((O26)-472),IF((O26)&lt;=2038.1,60+0.2*((O26)-895.24),288.57+0.3*((O26)-2038.11)))),2))</f>
        <v>0</v>
      </c>
      <c r="R26" s="470">
        <f>'[3]DESCUENTO NOVIEMBRE'!$R$25</f>
        <v>78.44</v>
      </c>
      <c r="S26" s="473">
        <f>+H26+L26+Q26+R26+K26</f>
        <v>129.69</v>
      </c>
      <c r="T26" s="473">
        <f t="shared" si="5"/>
        <v>370.31</v>
      </c>
      <c r="U26" s="490"/>
      <c r="V26" s="493"/>
    </row>
    <row r="27" spans="3:22" ht="35.1" customHeight="1" x14ac:dyDescent="0.3">
      <c r="C27" s="450" t="s">
        <v>765</v>
      </c>
      <c r="D27" s="498" t="s">
        <v>766</v>
      </c>
      <c r="E27" s="473">
        <v>825</v>
      </c>
      <c r="F27" s="473"/>
      <c r="G27" s="473">
        <f t="shared" ref="G27:G34" si="12">+E27+F27</f>
        <v>825</v>
      </c>
      <c r="H27" s="473">
        <f t="shared" ref="H27:H41" si="13">+E27*3%</f>
        <v>24.75</v>
      </c>
      <c r="I27" s="473">
        <f t="shared" si="9"/>
        <v>8.25</v>
      </c>
      <c r="J27" s="473">
        <f t="shared" ref="J27:J41" si="14">+E27*7.5%</f>
        <v>61.875</v>
      </c>
      <c r="K27" s="473"/>
      <c r="L27" s="473">
        <f t="shared" ref="L27" si="15">+E27*7.25%</f>
        <v>59.812499999999993</v>
      </c>
      <c r="M27" s="473">
        <f t="shared" si="11"/>
        <v>63.9375</v>
      </c>
      <c r="N27" s="473"/>
      <c r="O27" s="488">
        <f>G27-H27-L27</f>
        <v>740.4375</v>
      </c>
      <c r="P27" s="473"/>
      <c r="Q27" s="489">
        <f t="shared" si="6"/>
        <v>44.51</v>
      </c>
      <c r="R27" s="473">
        <f>'[3]DESCUENTO NOVIEMBRE'!$R$26</f>
        <v>417.61</v>
      </c>
      <c r="S27" s="470">
        <f>+H27+L27+Q27+R27</f>
        <v>546.6825</v>
      </c>
      <c r="T27" s="499">
        <f t="shared" si="5"/>
        <v>278.3175</v>
      </c>
      <c r="U27" s="490"/>
      <c r="V27" s="493"/>
    </row>
    <row r="28" spans="3:22" ht="35.1" customHeight="1" x14ac:dyDescent="0.3">
      <c r="C28" s="500" t="s">
        <v>767</v>
      </c>
      <c r="D28" s="494" t="s">
        <v>768</v>
      </c>
      <c r="E28" s="473">
        <v>600</v>
      </c>
      <c r="F28" s="473"/>
      <c r="G28" s="473">
        <f t="shared" si="12"/>
        <v>600</v>
      </c>
      <c r="H28" s="473">
        <f>+E28*3%</f>
        <v>18</v>
      </c>
      <c r="I28" s="473">
        <f>+E28*0.01</f>
        <v>6</v>
      </c>
      <c r="J28" s="473">
        <f>+E28*7.5%</f>
        <v>45</v>
      </c>
      <c r="K28" s="473"/>
      <c r="L28" s="473">
        <f>+E28*7.25%</f>
        <v>43.5</v>
      </c>
      <c r="M28" s="473">
        <f>+E28*7.75%</f>
        <v>46.5</v>
      </c>
      <c r="N28" s="473"/>
      <c r="O28" s="473">
        <f>G28-H28-L28</f>
        <v>538.5</v>
      </c>
      <c r="P28" s="473"/>
      <c r="Q28" s="489">
        <f>(ROUND(IF((O28)&lt;=472,0,IF((O28)&lt;=895.24,17.67+0.1*((O28)-472),IF((O28)&lt;=2038.1,60+0.2*((O28)-895.24),288.57+0.3*((O28)-2038.11)))),2))</f>
        <v>24.32</v>
      </c>
      <c r="R28" s="473">
        <f>'[3]DESCUENTO NOVIEMBRE'!$R$27</f>
        <v>196.42000000000002</v>
      </c>
      <c r="S28" s="473">
        <f>+H28+L28+Q28+R28</f>
        <v>282.24</v>
      </c>
      <c r="T28" s="496">
        <f t="shared" si="5"/>
        <v>317.76</v>
      </c>
      <c r="U28" s="490"/>
      <c r="V28" s="493"/>
    </row>
    <row r="29" spans="3:22" ht="35.1" customHeight="1" x14ac:dyDescent="0.3">
      <c r="C29" s="450" t="s">
        <v>769</v>
      </c>
      <c r="D29" s="451" t="s">
        <v>390</v>
      </c>
      <c r="E29" s="473">
        <v>400</v>
      </c>
      <c r="F29" s="473"/>
      <c r="G29" s="473">
        <f t="shared" si="12"/>
        <v>400</v>
      </c>
      <c r="H29" s="473">
        <f t="shared" ref="H29:H30" si="16">+E29*3%</f>
        <v>12</v>
      </c>
      <c r="I29" s="473">
        <f t="shared" ref="I29:I30" si="17">+E29*0.01</f>
        <v>4</v>
      </c>
      <c r="J29" s="473">
        <f t="shared" ref="J29" si="18">+E29*7.5%</f>
        <v>30</v>
      </c>
      <c r="K29" s="473">
        <f>+G29*7.25%</f>
        <v>28.999999999999996</v>
      </c>
      <c r="L29" s="473"/>
      <c r="M29" s="473">
        <f t="shared" ref="M29:M30" si="19">+E29*7.75%</f>
        <v>31</v>
      </c>
      <c r="N29" s="473"/>
      <c r="O29" s="488">
        <f>G29-H29-K29</f>
        <v>359</v>
      </c>
      <c r="P29" s="473"/>
      <c r="Q29" s="489">
        <f>(ROUND(IF((O29)&lt;=472,0,IF((O29)&lt;=895.24,17.67+0.1*((O29)-472),IF((O29)&lt;=2038.1,60+0.2*((O29)-895.24),288.57+0.3*((O29)-2038.11)))),2))</f>
        <v>0</v>
      </c>
      <c r="R29" s="473">
        <f>'[3]DESCUENTO NOVIEMBRE'!$R$28</f>
        <v>114</v>
      </c>
      <c r="S29" s="473">
        <f>+H29+K29+Q29+R29</f>
        <v>155</v>
      </c>
      <c r="T29" s="496">
        <f t="shared" si="5"/>
        <v>245</v>
      </c>
      <c r="U29" s="490"/>
      <c r="V29" s="493"/>
    </row>
    <row r="30" spans="3:22" ht="44.25" customHeight="1" x14ac:dyDescent="0.3">
      <c r="C30" s="462" t="s">
        <v>770</v>
      </c>
      <c r="D30" s="451" t="s">
        <v>771</v>
      </c>
      <c r="E30" s="473">
        <v>825</v>
      </c>
      <c r="F30" s="473"/>
      <c r="G30" s="473">
        <f t="shared" si="12"/>
        <v>825</v>
      </c>
      <c r="H30" s="473">
        <f t="shared" si="16"/>
        <v>24.75</v>
      </c>
      <c r="I30" s="473">
        <f t="shared" si="17"/>
        <v>8.25</v>
      </c>
      <c r="J30" s="473">
        <f>+E30*7.5%</f>
        <v>61.875</v>
      </c>
      <c r="K30" s="473">
        <f>+E30*7.25%</f>
        <v>59.812499999999993</v>
      </c>
      <c r="L30" s="473"/>
      <c r="M30" s="473">
        <f t="shared" si="19"/>
        <v>63.9375</v>
      </c>
      <c r="N30" s="473"/>
      <c r="O30" s="488">
        <f>G30-H30-K30</f>
        <v>740.4375</v>
      </c>
      <c r="P30" s="473"/>
      <c r="Q30" s="489">
        <f>(ROUND(IF((O30)&lt;=472,0,IF((O30)&lt;=895.24,17.67+0.1*((O30)-472),IF((O30)&lt;=2038.1,60+0.2*((O30)-895.24),288.57+0.3*((O30)-2038.11)))),2))</f>
        <v>44.51</v>
      </c>
      <c r="R30" s="473">
        <f>'[3]DESCUENTO NOVIEMBRE'!$R$29</f>
        <v>251</v>
      </c>
      <c r="S30" s="473">
        <f>Q30+K30+H30+R30</f>
        <v>380.07249999999999</v>
      </c>
      <c r="T30" s="496">
        <f>+G30-S30</f>
        <v>444.92750000000001</v>
      </c>
      <c r="U30" s="466"/>
      <c r="V30" s="493"/>
    </row>
    <row r="31" spans="3:22" ht="44.25" customHeight="1" x14ac:dyDescent="0.3">
      <c r="C31" s="462" t="s">
        <v>772</v>
      </c>
      <c r="D31" s="501" t="s">
        <v>773</v>
      </c>
      <c r="E31" s="473">
        <v>687.5</v>
      </c>
      <c r="F31" s="473"/>
      <c r="G31" s="473">
        <f t="shared" si="12"/>
        <v>687.5</v>
      </c>
      <c r="H31" s="473">
        <f>+E31*3%</f>
        <v>20.625</v>
      </c>
      <c r="I31" s="473">
        <f>+E31*0.01</f>
        <v>6.875</v>
      </c>
      <c r="J31" s="473">
        <f>+E31*7.5%</f>
        <v>51.5625</v>
      </c>
      <c r="K31" s="473"/>
      <c r="L31" s="473">
        <f>+E31*7.25%</f>
        <v>49.84375</v>
      </c>
      <c r="M31" s="473">
        <f>+E31*7.75%</f>
        <v>53.28125</v>
      </c>
      <c r="N31" s="473"/>
      <c r="O31" s="488">
        <f>G31-H31-L31</f>
        <v>617.03125</v>
      </c>
      <c r="P31" s="473"/>
      <c r="Q31" s="489">
        <f>(ROUND(IF((O31)&lt;=472,0,IF((O31)&lt;=895.24,17.67+0.1*((O31)-472),IF((O31)&lt;=2038.1,60+0.2*((O31)-895.24),288.57+0.3*((O31)-2038.11)))),2))</f>
        <v>32.17</v>
      </c>
      <c r="R31" s="473">
        <f>'[3]DESCUENTO NOVIEMBRE'!$R$30</f>
        <v>407.75</v>
      </c>
      <c r="S31" s="473">
        <f>+H31+L31+Q31+R31</f>
        <v>510.38875000000002</v>
      </c>
      <c r="T31" s="496">
        <f t="shared" si="5"/>
        <v>177.11124999999998</v>
      </c>
      <c r="U31" s="490"/>
      <c r="V31" s="493"/>
    </row>
    <row r="32" spans="3:22" ht="44.25" customHeight="1" x14ac:dyDescent="0.3">
      <c r="C32" s="462" t="s">
        <v>774</v>
      </c>
      <c r="D32" s="502" t="s">
        <v>775</v>
      </c>
      <c r="E32" s="473">
        <f>385+15</f>
        <v>400</v>
      </c>
      <c r="F32" s="473"/>
      <c r="G32" s="473">
        <f t="shared" si="12"/>
        <v>400</v>
      </c>
      <c r="H32" s="473">
        <f t="shared" si="13"/>
        <v>12</v>
      </c>
      <c r="I32" s="473">
        <f t="shared" si="9"/>
        <v>4</v>
      </c>
      <c r="J32" s="473">
        <f t="shared" si="14"/>
        <v>30</v>
      </c>
      <c r="K32" s="473"/>
      <c r="L32" s="473">
        <f>+G32*7.25%</f>
        <v>28.999999999999996</v>
      </c>
      <c r="M32" s="473">
        <f t="shared" si="11"/>
        <v>31</v>
      </c>
      <c r="N32" s="473"/>
      <c r="O32" s="488">
        <f>G32-H32-L32</f>
        <v>359</v>
      </c>
      <c r="P32" s="473"/>
      <c r="Q32" s="489">
        <f t="shared" si="6"/>
        <v>0</v>
      </c>
      <c r="R32" s="473">
        <f>'[3]DESCUENTO NOVIEMBRE'!$R$31</f>
        <v>158</v>
      </c>
      <c r="S32" s="473">
        <f>+H32+L32+Q32+R32</f>
        <v>199</v>
      </c>
      <c r="T32" s="496">
        <f t="shared" si="5"/>
        <v>201</v>
      </c>
      <c r="U32" s="490"/>
      <c r="V32" s="493"/>
    </row>
    <row r="33" spans="3:22" ht="36.75" customHeight="1" x14ac:dyDescent="0.3">
      <c r="C33" s="462" t="s">
        <v>776</v>
      </c>
      <c r="D33" s="503" t="s">
        <v>777</v>
      </c>
      <c r="E33" s="473">
        <v>500</v>
      </c>
      <c r="F33" s="473"/>
      <c r="G33" s="473">
        <f t="shared" si="12"/>
        <v>500</v>
      </c>
      <c r="H33" s="473">
        <f>+E33*3%</f>
        <v>15</v>
      </c>
      <c r="I33" s="473">
        <f t="shared" si="9"/>
        <v>5</v>
      </c>
      <c r="J33" s="473">
        <f t="shared" si="14"/>
        <v>37.5</v>
      </c>
      <c r="K33" s="473">
        <f t="shared" ref="K33" si="20">+E33*7.25%</f>
        <v>36.25</v>
      </c>
      <c r="L33" s="473"/>
      <c r="M33" s="473">
        <f t="shared" si="11"/>
        <v>38.75</v>
      </c>
      <c r="N33" s="473"/>
      <c r="O33" s="488">
        <f>G33-H33-K33</f>
        <v>448.75</v>
      </c>
      <c r="P33" s="473"/>
      <c r="Q33" s="489">
        <f>(ROUND(IF((O33)&lt;=472,0,IF((O33)&lt;=895.24,17.67+0.1*((O33)-472),IF((O33)&lt;=2038.1,60+0.2*((O33)-895.24),288.57+0.3*((O33)-2038.11)))),2))</f>
        <v>0</v>
      </c>
      <c r="R33" s="473">
        <f>'[3]DESCUENTO NOVIEMBRE'!$R$32</f>
        <v>0</v>
      </c>
      <c r="S33" s="473">
        <f>+H33+K33+Q33+R33</f>
        <v>51.25</v>
      </c>
      <c r="T33" s="496">
        <f t="shared" si="5"/>
        <v>448.75</v>
      </c>
      <c r="U33" s="490"/>
      <c r="V33" s="493"/>
    </row>
    <row r="34" spans="3:22" ht="36" customHeight="1" x14ac:dyDescent="0.3">
      <c r="C34" s="462" t="s">
        <v>778</v>
      </c>
      <c r="D34" s="502" t="s">
        <v>775</v>
      </c>
      <c r="E34" s="473">
        <v>400</v>
      </c>
      <c r="F34" s="473"/>
      <c r="G34" s="473">
        <f t="shared" si="12"/>
        <v>400</v>
      </c>
      <c r="H34" s="473">
        <f t="shared" ref="H34" si="21">+E34*3%</f>
        <v>12</v>
      </c>
      <c r="I34" s="473">
        <f t="shared" si="9"/>
        <v>4</v>
      </c>
      <c r="J34" s="473">
        <f t="shared" si="14"/>
        <v>30</v>
      </c>
      <c r="K34" s="473">
        <f>+E34*7.25%</f>
        <v>28.999999999999996</v>
      </c>
      <c r="L34" s="473"/>
      <c r="M34" s="473">
        <f t="shared" si="11"/>
        <v>31</v>
      </c>
      <c r="N34" s="473"/>
      <c r="O34" s="488">
        <f>G34-H34-K34</f>
        <v>359</v>
      </c>
      <c r="P34" s="473"/>
      <c r="Q34" s="489">
        <f>(ROUND(IF((O34)&lt;=472,0,IF((O34)&lt;=895.24,17.67+0.1*((O34)-472),IF((O34)&lt;=2038.1,60+0.2*((O34)-895.24),288.57+0.3*((O34)-2038.11)))),2))</f>
        <v>0</v>
      </c>
      <c r="R34" s="473">
        <f>'[3]DESCUENTO NOVIEMBRE'!$R$33</f>
        <v>0</v>
      </c>
      <c r="S34" s="473">
        <f>+H34+K34+Q34+R34</f>
        <v>41</v>
      </c>
      <c r="T34" s="496">
        <f t="shared" si="5"/>
        <v>359</v>
      </c>
      <c r="U34" s="490"/>
      <c r="V34" s="493"/>
    </row>
    <row r="35" spans="3:22" ht="30.75" customHeight="1" x14ac:dyDescent="0.3">
      <c r="C35" s="504"/>
      <c r="D35" s="505"/>
      <c r="E35" s="506">
        <f>SUM(E19:E34)</f>
        <v>10437.5</v>
      </c>
      <c r="F35" s="507">
        <f t="shared" ref="F35:P35" si="22">SUM(F19:F34)</f>
        <v>0</v>
      </c>
      <c r="G35" s="506">
        <f t="shared" si="22"/>
        <v>10437.5</v>
      </c>
      <c r="H35" s="506">
        <f t="shared" si="22"/>
        <v>307.125</v>
      </c>
      <c r="I35" s="506">
        <f t="shared" si="22"/>
        <v>102.375</v>
      </c>
      <c r="J35" s="506">
        <f t="shared" si="22"/>
        <v>767.8125</v>
      </c>
      <c r="K35" s="506">
        <f t="shared" si="22"/>
        <v>465.8125</v>
      </c>
      <c r="L35" s="506">
        <f t="shared" si="22"/>
        <v>290.90625</v>
      </c>
      <c r="M35" s="506">
        <f t="shared" si="22"/>
        <v>808.90625</v>
      </c>
      <c r="N35" s="506">
        <f t="shared" si="22"/>
        <v>0</v>
      </c>
      <c r="O35" s="506">
        <f>SUM(O19:O34)</f>
        <v>9373.65625</v>
      </c>
      <c r="P35" s="506">
        <f t="shared" si="22"/>
        <v>0</v>
      </c>
      <c r="Q35" s="506">
        <f>SUM(Q19:Q34)</f>
        <v>406.01</v>
      </c>
      <c r="R35" s="506">
        <f>SUM(R19:R34)</f>
        <v>2135.5100000000002</v>
      </c>
      <c r="S35" s="506">
        <f>SUM(S19:S34)-0.01</f>
        <v>3605.3537500000002</v>
      </c>
      <c r="T35" s="506">
        <f>SUM(T19:T34)+0.01</f>
        <v>6832.1462500000007</v>
      </c>
      <c r="U35" s="490"/>
      <c r="V35" s="493"/>
    </row>
    <row r="36" spans="3:22" ht="13.5" customHeight="1" x14ac:dyDescent="0.25">
      <c r="C36" s="504"/>
      <c r="D36" s="508"/>
      <c r="E36" s="509"/>
      <c r="F36" s="510"/>
      <c r="G36" s="509"/>
      <c r="H36" s="509"/>
      <c r="I36" s="509"/>
      <c r="J36" s="509"/>
      <c r="K36" s="509"/>
      <c r="L36" s="509"/>
      <c r="M36" s="509"/>
      <c r="N36" s="509"/>
      <c r="O36" s="509"/>
      <c r="P36" s="510"/>
      <c r="Q36" s="510"/>
      <c r="R36" s="510"/>
      <c r="S36" s="510"/>
      <c r="T36" s="511"/>
      <c r="U36" s="490"/>
      <c r="V36" s="493"/>
    </row>
    <row r="37" spans="3:22" ht="35.1" customHeight="1" x14ac:dyDescent="0.3">
      <c r="C37" s="450" t="s">
        <v>779</v>
      </c>
      <c r="D37" s="494" t="s">
        <v>780</v>
      </c>
      <c r="E37" s="473">
        <v>825</v>
      </c>
      <c r="F37" s="473"/>
      <c r="G37" s="473">
        <f t="shared" ref="G37:G44" si="23">+E37+F37</f>
        <v>825</v>
      </c>
      <c r="H37" s="473">
        <f>+E37*3%</f>
        <v>24.75</v>
      </c>
      <c r="I37" s="473">
        <f>+E37*0.01</f>
        <v>8.25</v>
      </c>
      <c r="J37" s="473">
        <f>+E37*7.5%</f>
        <v>61.875</v>
      </c>
      <c r="K37" s="473"/>
      <c r="L37" s="473">
        <f>+E37*7.25%</f>
        <v>59.812499999999993</v>
      </c>
      <c r="M37" s="473">
        <f t="shared" si="11"/>
        <v>63.9375</v>
      </c>
      <c r="N37" s="473"/>
      <c r="O37" s="473">
        <f>G37-H37-L37</f>
        <v>740.4375</v>
      </c>
      <c r="P37" s="473"/>
      <c r="Q37" s="489">
        <f>(ROUND(IF((O37)&lt;=472,0,IF((O37)&lt;=895.24,17.67+0.1*((O37)-472),IF((O37)&lt;=2038.1,60+0.2*((O37)-895.24),288.57+0.3*((O37)-2038.11)))),2))</f>
        <v>44.51</v>
      </c>
      <c r="R37" s="473">
        <f>'[3]DESCUENTO NOVIEMBRE'!$R$38</f>
        <v>158.63999999999999</v>
      </c>
      <c r="S37" s="473">
        <f>+H37+L37+Q37+R37</f>
        <v>287.71249999999998</v>
      </c>
      <c r="T37" s="496">
        <f>+G37-S37</f>
        <v>537.28750000000002</v>
      </c>
      <c r="U37" s="490"/>
      <c r="V37" s="493"/>
    </row>
    <row r="38" spans="3:22" ht="35.1" customHeight="1" x14ac:dyDescent="0.3">
      <c r="C38" s="450" t="s">
        <v>781</v>
      </c>
      <c r="D38" s="512" t="s">
        <v>782</v>
      </c>
      <c r="E38" s="488">
        <v>400</v>
      </c>
      <c r="F38" s="473"/>
      <c r="G38" s="488">
        <f>SUM(E38:F38)</f>
        <v>400</v>
      </c>
      <c r="H38" s="488">
        <f t="shared" ref="H38:H39" si="24">+E38*3%</f>
        <v>12</v>
      </c>
      <c r="I38" s="488">
        <f t="shared" ref="I38:I39" si="25">+E38*0.01</f>
        <v>4</v>
      </c>
      <c r="J38" s="488">
        <f t="shared" ref="J38:J39" si="26">+E38*7.5%</f>
        <v>30</v>
      </c>
      <c r="K38" s="488"/>
      <c r="L38" s="488">
        <f t="shared" ref="L38" si="27">+E38*7.25%</f>
        <v>28.999999999999996</v>
      </c>
      <c r="M38" s="488">
        <f t="shared" si="11"/>
        <v>31</v>
      </c>
      <c r="N38" s="488"/>
      <c r="O38" s="473">
        <f>G38-H38-L38</f>
        <v>359</v>
      </c>
      <c r="P38" s="473"/>
      <c r="Q38" s="489">
        <f>(ROUND(IF((O38)&lt;=472,0,IF((O38)&lt;=895.24,17.67+0.1*((O38)-472),IF((O38)&lt;=2038.1,60+0.2*((O38)-895.24),288.57+0.3*((O38)-2038.11)))),2))</f>
        <v>0</v>
      </c>
      <c r="R38" s="473">
        <f>'[3]DESCUENTO NOVIEMBRE'!$R$39</f>
        <v>0</v>
      </c>
      <c r="S38" s="473">
        <f>+H38+L38+Q38+R38</f>
        <v>41</v>
      </c>
      <c r="T38" s="496">
        <f>+G38-S38</f>
        <v>359</v>
      </c>
      <c r="U38" s="490"/>
      <c r="V38" s="493"/>
    </row>
    <row r="39" spans="3:22" ht="35.1" customHeight="1" x14ac:dyDescent="0.3">
      <c r="C39" s="450" t="s">
        <v>783</v>
      </c>
      <c r="D39" s="512" t="s">
        <v>782</v>
      </c>
      <c r="E39" s="488">
        <v>400</v>
      </c>
      <c r="F39" s="473"/>
      <c r="G39" s="488">
        <f>SUM(E39:F39)</f>
        <v>400</v>
      </c>
      <c r="H39" s="488">
        <f t="shared" si="24"/>
        <v>12</v>
      </c>
      <c r="I39" s="488">
        <f t="shared" si="25"/>
        <v>4</v>
      </c>
      <c r="J39" s="488">
        <f t="shared" si="26"/>
        <v>30</v>
      </c>
      <c r="K39" s="488">
        <f t="shared" ref="K39" si="28">+E39*7.25%</f>
        <v>28.999999999999996</v>
      </c>
      <c r="L39" s="488"/>
      <c r="M39" s="488">
        <f t="shared" si="11"/>
        <v>31</v>
      </c>
      <c r="N39" s="488"/>
      <c r="O39" s="473">
        <f>G39-H39-K39</f>
        <v>359</v>
      </c>
      <c r="P39" s="473"/>
      <c r="Q39" s="489">
        <f t="shared" ref="Q39:Q49" si="29">(ROUND(IF((O39)&lt;=472,0,IF((O39)&lt;=895.24,17.67+0.1*((O39)-472),IF((O39)&lt;=2038.1,60+0.2*((O39)-895.24),288.57+0.3*((O39)-2038.11)))),2))</f>
        <v>0</v>
      </c>
      <c r="R39" s="470">
        <f>'[3]DESCUENTO NOVIEMBRE'!$R$40</f>
        <v>0</v>
      </c>
      <c r="S39" s="473">
        <f>+H39+K39+Q39+R39</f>
        <v>41</v>
      </c>
      <c r="T39" s="496">
        <f>+G39-S39</f>
        <v>359</v>
      </c>
      <c r="U39" s="490"/>
      <c r="V39" s="493"/>
    </row>
    <row r="40" spans="3:22" ht="35.1" customHeight="1" x14ac:dyDescent="0.3">
      <c r="C40" s="450" t="s">
        <v>784</v>
      </c>
      <c r="D40" s="513" t="s">
        <v>785</v>
      </c>
      <c r="E40" s="514">
        <f>385+15</f>
        <v>400</v>
      </c>
      <c r="F40" s="515"/>
      <c r="G40" s="514">
        <f>+E40+F40</f>
        <v>400</v>
      </c>
      <c r="H40" s="514">
        <f>+E40*3%</f>
        <v>12</v>
      </c>
      <c r="I40" s="514">
        <f>+E40*1%</f>
        <v>4</v>
      </c>
      <c r="J40" s="514">
        <f>+E40*7.5%</f>
        <v>30</v>
      </c>
      <c r="K40" s="514"/>
      <c r="L40" s="514">
        <f>+E40*7.25%</f>
        <v>28.999999999999996</v>
      </c>
      <c r="M40" s="514">
        <f>+E40*7.75%</f>
        <v>31</v>
      </c>
      <c r="N40" s="514"/>
      <c r="O40" s="473">
        <f>G40-H40-L40</f>
        <v>359</v>
      </c>
      <c r="P40" s="515"/>
      <c r="Q40" s="489">
        <f t="shared" si="29"/>
        <v>0</v>
      </c>
      <c r="R40" s="474">
        <f>'[3]DESCUENTO NOVIEMBRE'!$R$41</f>
        <v>0</v>
      </c>
      <c r="S40" s="515">
        <f>+H40+L40+Q40+R40</f>
        <v>41</v>
      </c>
      <c r="T40" s="515">
        <f>+G40-S40</f>
        <v>359</v>
      </c>
      <c r="U40" s="490"/>
      <c r="V40" s="493"/>
    </row>
    <row r="41" spans="3:22" ht="35.1" customHeight="1" x14ac:dyDescent="0.3">
      <c r="C41" s="450" t="s">
        <v>786</v>
      </c>
      <c r="D41" s="516" t="s">
        <v>787</v>
      </c>
      <c r="E41" s="488">
        <f>350+150</f>
        <v>500</v>
      </c>
      <c r="F41" s="473"/>
      <c r="G41" s="488">
        <f t="shared" si="23"/>
        <v>500</v>
      </c>
      <c r="H41" s="488">
        <f t="shared" si="13"/>
        <v>15</v>
      </c>
      <c r="I41" s="488">
        <f t="shared" si="9"/>
        <v>5</v>
      </c>
      <c r="J41" s="488">
        <f t="shared" si="14"/>
        <v>37.5</v>
      </c>
      <c r="K41" s="488"/>
      <c r="L41" s="488">
        <f>+E41*7.25%</f>
        <v>36.25</v>
      </c>
      <c r="M41" s="488">
        <f t="shared" si="11"/>
        <v>38.75</v>
      </c>
      <c r="N41" s="488"/>
      <c r="O41" s="473">
        <f>G41-H41-L41</f>
        <v>448.75</v>
      </c>
      <c r="P41" s="473"/>
      <c r="Q41" s="489">
        <f t="shared" si="29"/>
        <v>0</v>
      </c>
      <c r="R41" s="473">
        <f>'[3]DESCUENTO NOVIEMBRE'!$R$42</f>
        <v>98.320000000000007</v>
      </c>
      <c r="S41" s="473">
        <f>+H41+L41+Q41+R41</f>
        <v>149.57</v>
      </c>
      <c r="T41" s="496">
        <f>+G41-S41</f>
        <v>350.43</v>
      </c>
      <c r="U41" s="490"/>
      <c r="V41" s="493"/>
    </row>
    <row r="42" spans="3:22" ht="35.1" customHeight="1" x14ac:dyDescent="0.3">
      <c r="C42" s="450" t="s">
        <v>788</v>
      </c>
      <c r="D42" s="517" t="s">
        <v>789</v>
      </c>
      <c r="E42" s="488">
        <v>450</v>
      </c>
      <c r="F42" s="473"/>
      <c r="G42" s="488">
        <f>E42+F42</f>
        <v>450</v>
      </c>
      <c r="H42" s="488">
        <f>+E42*0.03</f>
        <v>13.5</v>
      </c>
      <c r="I42" s="488">
        <f>+E42*0.01</f>
        <v>4.5</v>
      </c>
      <c r="J42" s="488">
        <f>+E42*7.5%</f>
        <v>33.75</v>
      </c>
      <c r="K42" s="488">
        <f>450*7.25/100</f>
        <v>32.625</v>
      </c>
      <c r="L42" s="488"/>
      <c r="M42" s="488">
        <f>+E42*7.75%</f>
        <v>34.875</v>
      </c>
      <c r="N42" s="488"/>
      <c r="O42" s="473">
        <f>G42-H42-K42</f>
        <v>403.875</v>
      </c>
      <c r="P42" s="473"/>
      <c r="Q42" s="489">
        <f t="shared" si="29"/>
        <v>0</v>
      </c>
      <c r="R42" s="473">
        <f>'[3]DESCUENTO NOVIEMBRE'!$R$43</f>
        <v>117.59</v>
      </c>
      <c r="S42" s="473">
        <f>+H42+Q42+R42+K42</f>
        <v>163.715</v>
      </c>
      <c r="T42" s="473">
        <f>+G42-S42-0.01</f>
        <v>286.27499999999998</v>
      </c>
      <c r="U42" s="490"/>
      <c r="V42" s="493"/>
    </row>
    <row r="43" spans="3:22" ht="39.950000000000003" customHeight="1" x14ac:dyDescent="0.3">
      <c r="C43" s="450" t="s">
        <v>790</v>
      </c>
      <c r="D43" s="518" t="s">
        <v>791</v>
      </c>
      <c r="E43" s="488">
        <v>400</v>
      </c>
      <c r="F43" s="473"/>
      <c r="G43" s="488">
        <f t="shared" si="23"/>
        <v>400</v>
      </c>
      <c r="H43" s="488">
        <f>E43*3%</f>
        <v>12</v>
      </c>
      <c r="I43" s="488">
        <f>E43*0.01</f>
        <v>4</v>
      </c>
      <c r="J43" s="488">
        <f>+E43*7.5%</f>
        <v>30</v>
      </c>
      <c r="K43" s="488">
        <f>E43*7.25%</f>
        <v>28.999999999999996</v>
      </c>
      <c r="L43" s="488"/>
      <c r="M43" s="488">
        <f>+E43*7.75%</f>
        <v>31</v>
      </c>
      <c r="N43" s="488"/>
      <c r="O43" s="473">
        <f>G43-H43-K43</f>
        <v>359</v>
      </c>
      <c r="P43" s="473"/>
      <c r="Q43" s="489">
        <f t="shared" si="29"/>
        <v>0</v>
      </c>
      <c r="R43" s="473">
        <f>'[3]DESCUENTO NOVIEMBRE'!$R$44</f>
        <v>0</v>
      </c>
      <c r="S43" s="515">
        <f>+H43+K43+Q43+R43</f>
        <v>41</v>
      </c>
      <c r="T43" s="496">
        <f t="shared" ref="T43:T49" si="30">+G43-S43</f>
        <v>359</v>
      </c>
      <c r="U43" s="490"/>
      <c r="V43" s="493"/>
    </row>
    <row r="44" spans="3:22" ht="30.75" customHeight="1" x14ac:dyDescent="0.3">
      <c r="C44" s="450" t="s">
        <v>792</v>
      </c>
      <c r="D44" s="517" t="s">
        <v>793</v>
      </c>
      <c r="E44" s="514">
        <v>400</v>
      </c>
      <c r="F44" s="515"/>
      <c r="G44" s="514">
        <f t="shared" si="23"/>
        <v>400</v>
      </c>
      <c r="H44" s="514">
        <f>+E44*3%</f>
        <v>12</v>
      </c>
      <c r="I44" s="514">
        <f t="shared" ref="I44" si="31">+E44*1%</f>
        <v>4</v>
      </c>
      <c r="J44" s="514">
        <f>+E44*7.5%</f>
        <v>30</v>
      </c>
      <c r="K44" s="514"/>
      <c r="L44" s="514">
        <f t="shared" ref="L44:L45" si="32">+E44*7.25%</f>
        <v>28.999999999999996</v>
      </c>
      <c r="M44" s="514">
        <f t="shared" si="11"/>
        <v>31</v>
      </c>
      <c r="N44" s="514"/>
      <c r="O44" s="473">
        <f>G44-H44-L44</f>
        <v>359</v>
      </c>
      <c r="P44" s="515"/>
      <c r="Q44" s="489">
        <f t="shared" si="29"/>
        <v>0</v>
      </c>
      <c r="R44" s="470">
        <f>'[3]DESCUENTO NOVIEMBRE'!$R$45</f>
        <v>78.31</v>
      </c>
      <c r="S44" s="515">
        <f>+H44+L44+Q44+R44</f>
        <v>119.31</v>
      </c>
      <c r="T44" s="515">
        <f t="shared" si="30"/>
        <v>280.69</v>
      </c>
      <c r="U44" s="519"/>
      <c r="V44" s="493"/>
    </row>
    <row r="45" spans="3:22" ht="39.950000000000003" customHeight="1" x14ac:dyDescent="0.3">
      <c r="C45" s="450" t="s">
        <v>794</v>
      </c>
      <c r="D45" s="497" t="s">
        <v>795</v>
      </c>
      <c r="E45" s="473">
        <v>700</v>
      </c>
      <c r="F45" s="473"/>
      <c r="G45" s="473">
        <f>+E45+F45</f>
        <v>700</v>
      </c>
      <c r="H45" s="473">
        <f t="shared" ref="H45:H47" si="33">+E45*3%</f>
        <v>21</v>
      </c>
      <c r="I45" s="473">
        <f t="shared" ref="I45:I49" si="34">+E45*0.01</f>
        <v>7</v>
      </c>
      <c r="J45" s="473">
        <f t="shared" ref="J45:J49" si="35">+E45*7.5%</f>
        <v>52.5</v>
      </c>
      <c r="K45" s="473"/>
      <c r="L45" s="473">
        <f t="shared" si="32"/>
        <v>50.75</v>
      </c>
      <c r="M45" s="473">
        <f t="shared" si="11"/>
        <v>54.25</v>
      </c>
      <c r="N45" s="473"/>
      <c r="O45" s="473">
        <f>G45-H45-L45</f>
        <v>628.25</v>
      </c>
      <c r="P45" s="473"/>
      <c r="Q45" s="489">
        <f t="shared" si="29"/>
        <v>33.299999999999997</v>
      </c>
      <c r="R45" s="474">
        <f>'[3]DESCUENTO NOVIEMBRE'!$R$46</f>
        <v>79.33</v>
      </c>
      <c r="S45" s="473">
        <f>+H45+L45+Q45+R45</f>
        <v>184.38</v>
      </c>
      <c r="T45" s="496">
        <f t="shared" si="30"/>
        <v>515.62</v>
      </c>
      <c r="U45" s="490"/>
      <c r="V45" s="493"/>
    </row>
    <row r="46" spans="3:22" ht="35.1" customHeight="1" x14ac:dyDescent="0.3">
      <c r="C46" s="450" t="s">
        <v>796</v>
      </c>
      <c r="D46" s="497" t="s">
        <v>797</v>
      </c>
      <c r="E46" s="473">
        <v>700</v>
      </c>
      <c r="F46" s="473"/>
      <c r="G46" s="473">
        <f>+E46+F46</f>
        <v>700</v>
      </c>
      <c r="H46" s="473">
        <f>+E46*3%</f>
        <v>21</v>
      </c>
      <c r="I46" s="473">
        <f>+E46*0.01</f>
        <v>7</v>
      </c>
      <c r="J46" s="473">
        <f>+E46*7.5%</f>
        <v>52.5</v>
      </c>
      <c r="K46" s="473"/>
      <c r="L46" s="473">
        <f>+E46*7.25%</f>
        <v>50.75</v>
      </c>
      <c r="M46" s="473">
        <f>+E46*7.75%</f>
        <v>54.25</v>
      </c>
      <c r="N46" s="473"/>
      <c r="O46" s="473">
        <f>G46-H46-L46</f>
        <v>628.25</v>
      </c>
      <c r="P46" s="473"/>
      <c r="Q46" s="489">
        <f t="shared" si="29"/>
        <v>33.299999999999997</v>
      </c>
      <c r="R46" s="474">
        <f>'[3]DESCUENTO NOVIEMBRE'!$R$47</f>
        <v>0.68</v>
      </c>
      <c r="S46" s="473">
        <f>+H46+L46+Q46+R46</f>
        <v>105.73</v>
      </c>
      <c r="T46" s="496">
        <f t="shared" si="30"/>
        <v>594.27</v>
      </c>
      <c r="U46" s="490"/>
      <c r="V46" s="493"/>
    </row>
    <row r="47" spans="3:22" ht="35.1" customHeight="1" x14ac:dyDescent="0.3">
      <c r="C47" s="450" t="s">
        <v>798</v>
      </c>
      <c r="D47" s="494" t="s">
        <v>799</v>
      </c>
      <c r="E47" s="473">
        <v>500</v>
      </c>
      <c r="F47" s="473"/>
      <c r="G47" s="495">
        <f>SUM(E47:F47)</f>
        <v>500</v>
      </c>
      <c r="H47" s="473">
        <f t="shared" si="33"/>
        <v>15</v>
      </c>
      <c r="I47" s="473">
        <f t="shared" si="34"/>
        <v>5</v>
      </c>
      <c r="J47" s="473">
        <f t="shared" si="35"/>
        <v>37.5</v>
      </c>
      <c r="K47" s="473"/>
      <c r="L47" s="473">
        <f>+E47*7.25%</f>
        <v>36.25</v>
      </c>
      <c r="M47" s="473">
        <f t="shared" si="11"/>
        <v>38.75</v>
      </c>
      <c r="N47" s="473"/>
      <c r="O47" s="473">
        <f>G47-H47-L47</f>
        <v>448.75</v>
      </c>
      <c r="P47" s="473"/>
      <c r="Q47" s="489">
        <f t="shared" si="29"/>
        <v>0</v>
      </c>
      <c r="R47" s="473">
        <f>'[3]DESCUENTO NOVIEMBRE'!$R$48</f>
        <v>79.56</v>
      </c>
      <c r="S47" s="473">
        <f>+H47+L47+Q47+R47</f>
        <v>130.81</v>
      </c>
      <c r="T47" s="496">
        <f t="shared" si="30"/>
        <v>369.19</v>
      </c>
      <c r="U47" s="490"/>
      <c r="V47" s="493"/>
    </row>
    <row r="48" spans="3:22" ht="35.25" customHeight="1" x14ac:dyDescent="0.3">
      <c r="C48" s="450" t="s">
        <v>800</v>
      </c>
      <c r="D48" s="497" t="s">
        <v>801</v>
      </c>
      <c r="E48" s="452">
        <v>550</v>
      </c>
      <c r="F48" s="473"/>
      <c r="G48" s="520">
        <f>SUM(E48:F48)</f>
        <v>550</v>
      </c>
      <c r="H48" s="458">
        <f>+E48*3%</f>
        <v>16.5</v>
      </c>
      <c r="I48" s="464">
        <f>+E48*0.01</f>
        <v>5.5</v>
      </c>
      <c r="J48" s="458">
        <f>+E48*7.5%</f>
        <v>41.25</v>
      </c>
      <c r="K48" s="457">
        <f>E48*7.25/100</f>
        <v>39.875</v>
      </c>
      <c r="L48" s="457"/>
      <c r="M48" s="458">
        <f>+E48*7.75%</f>
        <v>42.625</v>
      </c>
      <c r="N48" s="457"/>
      <c r="O48" s="473">
        <f>G48-H48-K48</f>
        <v>493.625</v>
      </c>
      <c r="P48" s="457"/>
      <c r="Q48" s="489">
        <f t="shared" si="29"/>
        <v>19.829999999999998</v>
      </c>
      <c r="R48" s="474">
        <f>'[3]DESCUENTO NOVIEMBRE'!$R$49</f>
        <v>0</v>
      </c>
      <c r="S48" s="458">
        <f>R48+H48+K48+Q48</f>
        <v>76.204999999999998</v>
      </c>
      <c r="T48" s="496">
        <f t="shared" si="30"/>
        <v>473.79500000000002</v>
      </c>
      <c r="U48" s="521"/>
      <c r="V48" s="522"/>
    </row>
    <row r="49" spans="3:22" ht="34.5" customHeight="1" thickBot="1" x14ac:dyDescent="0.35">
      <c r="C49" s="450" t="s">
        <v>802</v>
      </c>
      <c r="D49" s="497" t="s">
        <v>803</v>
      </c>
      <c r="E49" s="523">
        <v>500</v>
      </c>
      <c r="F49" s="473"/>
      <c r="G49" s="523">
        <f>+E49+F49</f>
        <v>500</v>
      </c>
      <c r="H49" s="457">
        <f>+E49*3%</f>
        <v>15</v>
      </c>
      <c r="I49" s="453">
        <f t="shared" si="34"/>
        <v>5</v>
      </c>
      <c r="J49" s="457">
        <f t="shared" si="35"/>
        <v>37.5</v>
      </c>
      <c r="K49" s="458"/>
      <c r="L49" s="458">
        <f>+E49*7.25%</f>
        <v>36.25</v>
      </c>
      <c r="M49" s="524">
        <f>+E49*7.75%</f>
        <v>38.75</v>
      </c>
      <c r="N49" s="524"/>
      <c r="O49" s="473">
        <f>G49-H49-L49</f>
        <v>448.75</v>
      </c>
      <c r="P49" s="524"/>
      <c r="Q49" s="489">
        <f t="shared" si="29"/>
        <v>0</v>
      </c>
      <c r="R49" s="525">
        <f>'[3]DESCUENTO NOVIEMBRE'!$R$50</f>
        <v>0</v>
      </c>
      <c r="S49" s="457">
        <f>R49+H49+L49+Q49</f>
        <v>51.25</v>
      </c>
      <c r="T49" s="526">
        <f t="shared" si="30"/>
        <v>448.75</v>
      </c>
      <c r="U49" s="521"/>
      <c r="V49" s="522"/>
    </row>
    <row r="50" spans="3:22" ht="27.75" customHeight="1" thickBot="1" x14ac:dyDescent="0.3">
      <c r="C50" s="1201" t="s">
        <v>804</v>
      </c>
      <c r="D50" s="1202"/>
      <c r="E50" s="527">
        <f>SUM(E37:E49)</f>
        <v>6725</v>
      </c>
      <c r="F50" s="527">
        <f t="shared" ref="F50:P50" si="36">SUM(F37:F49)</f>
        <v>0</v>
      </c>
      <c r="G50" s="527">
        <f t="shared" si="36"/>
        <v>6725</v>
      </c>
      <c r="H50" s="527">
        <f t="shared" si="36"/>
        <v>201.75</v>
      </c>
      <c r="I50" s="527">
        <f t="shared" si="36"/>
        <v>67.25</v>
      </c>
      <c r="J50" s="527">
        <f t="shared" si="36"/>
        <v>504.375</v>
      </c>
      <c r="K50" s="527">
        <f t="shared" si="36"/>
        <v>130.5</v>
      </c>
      <c r="L50" s="527">
        <f t="shared" si="36"/>
        <v>357.0625</v>
      </c>
      <c r="M50" s="527">
        <f t="shared" si="36"/>
        <v>521.1875</v>
      </c>
      <c r="N50" s="527">
        <f t="shared" si="36"/>
        <v>0</v>
      </c>
      <c r="O50" s="527">
        <f>SUM(O37:O49)</f>
        <v>6035.6875</v>
      </c>
      <c r="P50" s="527">
        <f t="shared" si="36"/>
        <v>0</v>
      </c>
      <c r="Q50" s="527">
        <f>SUM(Q37:Q49)</f>
        <v>130.94</v>
      </c>
      <c r="R50" s="527">
        <f>SUM(R37:R49)</f>
        <v>612.42999999999984</v>
      </c>
      <c r="S50" s="527">
        <f>SUM(S37:S49)</f>
        <v>1432.6824999999999</v>
      </c>
      <c r="T50" s="527">
        <f>SUM(T37:T49)+0.01</f>
        <v>5292.3175000000001</v>
      </c>
      <c r="U50" s="528"/>
      <c r="V50" s="529"/>
    </row>
    <row r="51" spans="3:22" ht="27.2" customHeight="1" x14ac:dyDescent="0.3">
      <c r="C51" s="530"/>
      <c r="D51" s="531"/>
      <c r="E51" s="532">
        <f t="shared" ref="E51:R51" si="37">+E17+E35+E50</f>
        <v>25962.5</v>
      </c>
      <c r="F51" s="532">
        <f t="shared" si="37"/>
        <v>0</v>
      </c>
      <c r="G51" s="532">
        <f t="shared" si="37"/>
        <v>25962.5</v>
      </c>
      <c r="H51" s="532">
        <f t="shared" si="37"/>
        <v>658.875</v>
      </c>
      <c r="I51" s="533">
        <f t="shared" si="37"/>
        <v>219.625</v>
      </c>
      <c r="J51" s="533">
        <f t="shared" si="37"/>
        <v>1647.1875</v>
      </c>
      <c r="K51" s="532">
        <f t="shared" si="37"/>
        <v>799.3125</v>
      </c>
      <c r="L51" s="532">
        <f t="shared" si="37"/>
        <v>901.71875</v>
      </c>
      <c r="M51" s="533">
        <f t="shared" si="37"/>
        <v>1818.34375</v>
      </c>
      <c r="N51" s="533">
        <f t="shared" si="37"/>
        <v>0</v>
      </c>
      <c r="O51" s="533">
        <f t="shared" si="37"/>
        <v>21102.59375</v>
      </c>
      <c r="P51" s="533">
        <f t="shared" si="37"/>
        <v>0</v>
      </c>
      <c r="Q51" s="532">
        <f t="shared" si="37"/>
        <v>1447.04</v>
      </c>
      <c r="R51" s="533">
        <f t="shared" si="37"/>
        <v>3238.9</v>
      </c>
      <c r="S51" s="533">
        <f>+S17+S35+S50</f>
        <v>7045.8362500000003</v>
      </c>
      <c r="T51" s="532">
        <f>+T17+T35+T50</f>
        <v>18916.66375</v>
      </c>
      <c r="U51" s="534"/>
      <c r="V51" s="535"/>
    </row>
    <row r="52" spans="3:22" ht="20.25" customHeight="1" x14ac:dyDescent="0.25">
      <c r="C52" s="1192" t="s">
        <v>316</v>
      </c>
      <c r="D52" s="1192"/>
      <c r="E52" s="538"/>
      <c r="F52" s="519"/>
      <c r="G52" s="538"/>
      <c r="H52" s="538"/>
      <c r="I52" s="538"/>
      <c r="J52" s="538"/>
      <c r="K52" s="519"/>
      <c r="L52" s="519"/>
      <c r="M52" s="539"/>
      <c r="N52" s="540"/>
      <c r="O52" s="540"/>
      <c r="P52" s="538"/>
      <c r="Q52" s="538"/>
      <c r="R52" s="519"/>
      <c r="S52" s="519"/>
      <c r="T52" s="538"/>
      <c r="U52" s="538"/>
    </row>
    <row r="53" spans="3:22" ht="39.950000000000003" customHeight="1" x14ac:dyDescent="0.25">
      <c r="C53" s="541" t="s">
        <v>805</v>
      </c>
      <c r="D53" s="494" t="s">
        <v>806</v>
      </c>
      <c r="E53" s="515">
        <v>1100</v>
      </c>
      <c r="F53" s="470"/>
      <c r="G53" s="515">
        <f t="shared" ref="G53:G69" si="38">+E53+F53</f>
        <v>1100</v>
      </c>
      <c r="H53" s="458">
        <f>1000*0.03</f>
        <v>30</v>
      </c>
      <c r="I53" s="464">
        <f>1000*0.01</f>
        <v>10</v>
      </c>
      <c r="J53" s="469">
        <f>1000*7.5%</f>
        <v>75</v>
      </c>
      <c r="K53" s="469">
        <f>+E53*7.25%</f>
        <v>79.75</v>
      </c>
      <c r="L53" s="469"/>
      <c r="M53" s="469">
        <f>+E53*7.75%</f>
        <v>85.25</v>
      </c>
      <c r="N53" s="469"/>
      <c r="O53" s="469">
        <f>G53-H53-K53</f>
        <v>990.25</v>
      </c>
      <c r="P53" s="469"/>
      <c r="Q53" s="542">
        <f>(ROUND(IF((O53)&lt;=472,0,IF((O53)&lt;=895.24,17.67+0.1*((O53)-472),IF((O53)&lt;=2038.1,60+0.2*((O53)-895.24),288.57+0.3*((O53)-2038.11)))),2))</f>
        <v>79</v>
      </c>
      <c r="R53" s="470">
        <f>'[3]DESCUENTO NOVIEMBRE'!$R$58</f>
        <v>3.28</v>
      </c>
      <c r="S53" s="458">
        <f>+H53+K53+Q53+R53</f>
        <v>192.03</v>
      </c>
      <c r="T53" s="458">
        <f>+G53-S53-0.01</f>
        <v>907.96</v>
      </c>
      <c r="U53" s="466"/>
    </row>
    <row r="54" spans="3:22" s="467" customFormat="1" ht="39.950000000000003" customHeight="1" x14ac:dyDescent="0.2">
      <c r="C54" s="541" t="s">
        <v>807</v>
      </c>
      <c r="D54" s="513" t="s">
        <v>806</v>
      </c>
      <c r="E54" s="514">
        <v>600</v>
      </c>
      <c r="F54" s="470"/>
      <c r="G54" s="514">
        <f t="shared" si="38"/>
        <v>600</v>
      </c>
      <c r="H54" s="458">
        <f>+E54*0.03</f>
        <v>18</v>
      </c>
      <c r="I54" s="464">
        <f>600*0.01</f>
        <v>6</v>
      </c>
      <c r="J54" s="469">
        <f>600*7.5%</f>
        <v>45</v>
      </c>
      <c r="K54" s="469"/>
      <c r="L54" s="469">
        <f>+E54*7.25%</f>
        <v>43.5</v>
      </c>
      <c r="M54" s="469">
        <f t="shared" ref="M54:M73" si="39">+E54*7.75%</f>
        <v>46.5</v>
      </c>
      <c r="N54" s="469"/>
      <c r="O54" s="469">
        <f t="shared" ref="O54:O61" si="40">G54-H54-L54</f>
        <v>538.5</v>
      </c>
      <c r="P54" s="469"/>
      <c r="Q54" s="542">
        <f t="shared" ref="Q54:Q81" si="41">(ROUND(IF((O54)&lt;=472,0,IF((O54)&lt;=895.24,17.67+0.1*((O54)-472),IF((O54)&lt;=2038.1,60+0.2*((O54)-895.24),288.57+0.3*((O54)-2038.11)))),2))</f>
        <v>24.32</v>
      </c>
      <c r="R54" s="470">
        <f>'[3]DESCUENTO NOVIEMBRE'!$R$59</f>
        <v>0</v>
      </c>
      <c r="S54" s="458">
        <f>+H54+L54+Q54+R54</f>
        <v>85.82</v>
      </c>
      <c r="T54" s="458">
        <f t="shared" ref="T54:T81" si="42">+G54-S54</f>
        <v>514.18000000000006</v>
      </c>
      <c r="U54" s="466"/>
    </row>
    <row r="55" spans="3:22" ht="39.950000000000003" customHeight="1" x14ac:dyDescent="0.3">
      <c r="C55" s="541" t="s">
        <v>808</v>
      </c>
      <c r="D55" s="451" t="s">
        <v>809</v>
      </c>
      <c r="E55" s="515">
        <v>500</v>
      </c>
      <c r="F55" s="473"/>
      <c r="G55" s="515">
        <f t="shared" si="38"/>
        <v>500</v>
      </c>
      <c r="H55" s="515">
        <f t="shared" ref="H55:H62" si="43">+E55*3%</f>
        <v>15</v>
      </c>
      <c r="I55" s="515">
        <f t="shared" ref="I55:I69" si="44">+E55*1%</f>
        <v>5</v>
      </c>
      <c r="J55" s="514">
        <f>+E55*7.5%</f>
        <v>37.5</v>
      </c>
      <c r="K55" s="515"/>
      <c r="L55" s="515">
        <f t="shared" ref="L55:L58" si="45">+E55*7.25%</f>
        <v>36.25</v>
      </c>
      <c r="M55" s="515">
        <f t="shared" si="39"/>
        <v>38.75</v>
      </c>
      <c r="N55" s="515"/>
      <c r="O55" s="469">
        <f t="shared" si="40"/>
        <v>448.75</v>
      </c>
      <c r="P55" s="515"/>
      <c r="Q55" s="542">
        <f t="shared" si="41"/>
        <v>0</v>
      </c>
      <c r="R55" s="470">
        <f>'[3]DESCUENTO NOVIEMBRE'!$R$60</f>
        <v>116</v>
      </c>
      <c r="S55" s="515">
        <f>+H55+L55+Q55+R55</f>
        <v>167.25</v>
      </c>
      <c r="T55" s="515">
        <f t="shared" si="42"/>
        <v>332.75</v>
      </c>
      <c r="U55" s="519"/>
    </row>
    <row r="56" spans="3:22" ht="39.950000000000003" customHeight="1" x14ac:dyDescent="0.3">
      <c r="C56" s="543" t="s">
        <v>810</v>
      </c>
      <c r="D56" s="451" t="s">
        <v>811</v>
      </c>
      <c r="E56" s="515">
        <v>600</v>
      </c>
      <c r="F56" s="473"/>
      <c r="G56" s="515">
        <f t="shared" si="38"/>
        <v>600</v>
      </c>
      <c r="H56" s="515">
        <f t="shared" si="43"/>
        <v>18</v>
      </c>
      <c r="I56" s="515">
        <f t="shared" si="44"/>
        <v>6</v>
      </c>
      <c r="J56" s="515">
        <f>+E56*7.5%</f>
        <v>45</v>
      </c>
      <c r="K56" s="515"/>
      <c r="L56" s="515">
        <f t="shared" si="45"/>
        <v>43.5</v>
      </c>
      <c r="M56" s="515">
        <f t="shared" si="39"/>
        <v>46.5</v>
      </c>
      <c r="N56" s="515"/>
      <c r="O56" s="469">
        <f t="shared" si="40"/>
        <v>538.5</v>
      </c>
      <c r="P56" s="515"/>
      <c r="Q56" s="542">
        <f t="shared" si="41"/>
        <v>24.32</v>
      </c>
      <c r="R56" s="470">
        <f>'[3]DESCUENTO NOVIEMBRE'!$R$61</f>
        <v>117.89999999999999</v>
      </c>
      <c r="S56" s="515">
        <f>+H56+L56+Q56+R56</f>
        <v>203.71999999999997</v>
      </c>
      <c r="T56" s="515">
        <f t="shared" si="42"/>
        <v>396.28000000000003</v>
      </c>
      <c r="U56" s="519"/>
    </row>
    <row r="57" spans="3:22" ht="39.950000000000003" customHeight="1" x14ac:dyDescent="0.3">
      <c r="C57" s="543" t="s">
        <v>812</v>
      </c>
      <c r="D57" s="451" t="s">
        <v>813</v>
      </c>
      <c r="E57" s="515">
        <v>500</v>
      </c>
      <c r="F57" s="473"/>
      <c r="G57" s="514">
        <f t="shared" si="38"/>
        <v>500</v>
      </c>
      <c r="H57" s="514">
        <f t="shared" si="43"/>
        <v>15</v>
      </c>
      <c r="I57" s="514">
        <f t="shared" si="44"/>
        <v>5</v>
      </c>
      <c r="J57" s="514">
        <f>+E57*7.5%</f>
        <v>37.5</v>
      </c>
      <c r="K57" s="514"/>
      <c r="L57" s="514">
        <f t="shared" si="45"/>
        <v>36.25</v>
      </c>
      <c r="M57" s="514">
        <f t="shared" si="39"/>
        <v>38.75</v>
      </c>
      <c r="N57" s="514"/>
      <c r="O57" s="472">
        <f t="shared" si="40"/>
        <v>448.75</v>
      </c>
      <c r="P57" s="514"/>
      <c r="Q57" s="542">
        <f t="shared" si="41"/>
        <v>0</v>
      </c>
      <c r="R57" s="470">
        <f>'[3]DESCUENTO NOVIEMBRE'!$R$62</f>
        <v>97.3</v>
      </c>
      <c r="S57" s="515">
        <f>+H57+L57+Q57+R57</f>
        <v>148.55000000000001</v>
      </c>
      <c r="T57" s="515">
        <f t="shared" si="42"/>
        <v>351.45</v>
      </c>
      <c r="U57" s="519"/>
    </row>
    <row r="58" spans="3:22" ht="39.950000000000003" customHeight="1" x14ac:dyDescent="0.3">
      <c r="C58" s="543" t="s">
        <v>814</v>
      </c>
      <c r="D58" s="451" t="s">
        <v>815</v>
      </c>
      <c r="E58" s="515">
        <v>600</v>
      </c>
      <c r="F58" s="473"/>
      <c r="G58" s="514">
        <f t="shared" si="38"/>
        <v>600</v>
      </c>
      <c r="H58" s="514">
        <f t="shared" si="43"/>
        <v>18</v>
      </c>
      <c r="I58" s="514">
        <f t="shared" si="44"/>
        <v>6</v>
      </c>
      <c r="J58" s="514">
        <f t="shared" ref="J58:J62" si="46">+E58*7.5%</f>
        <v>45</v>
      </c>
      <c r="K58" s="514"/>
      <c r="L58" s="514">
        <f t="shared" si="45"/>
        <v>43.5</v>
      </c>
      <c r="M58" s="514">
        <f>+E58*7.75%</f>
        <v>46.5</v>
      </c>
      <c r="N58" s="514"/>
      <c r="O58" s="472">
        <f t="shared" si="40"/>
        <v>538.5</v>
      </c>
      <c r="P58" s="514"/>
      <c r="Q58" s="542">
        <f t="shared" si="41"/>
        <v>24.32</v>
      </c>
      <c r="R58" s="470">
        <f>'[3]DESCUENTO NOVIEMBRE'!$R$63</f>
        <v>1.38</v>
      </c>
      <c r="S58" s="515">
        <f>+H58+L58+Q58+R58</f>
        <v>87.199999999999989</v>
      </c>
      <c r="T58" s="515">
        <f t="shared" si="42"/>
        <v>512.79999999999995</v>
      </c>
      <c r="U58" s="519"/>
    </row>
    <row r="59" spans="3:22" ht="39.950000000000003" customHeight="1" x14ac:dyDescent="0.25">
      <c r="C59" s="543" t="s">
        <v>816</v>
      </c>
      <c r="D59" s="544" t="s">
        <v>817</v>
      </c>
      <c r="E59" s="515">
        <v>400</v>
      </c>
      <c r="F59" s="515"/>
      <c r="G59" s="514">
        <f t="shared" si="38"/>
        <v>400</v>
      </c>
      <c r="H59" s="514">
        <f t="shared" si="43"/>
        <v>12</v>
      </c>
      <c r="I59" s="514">
        <f t="shared" si="44"/>
        <v>4</v>
      </c>
      <c r="J59" s="514">
        <f t="shared" si="46"/>
        <v>30</v>
      </c>
      <c r="K59" s="514"/>
      <c r="L59" s="514"/>
      <c r="M59" s="514"/>
      <c r="N59" s="514"/>
      <c r="O59" s="472">
        <f t="shared" si="40"/>
        <v>388</v>
      </c>
      <c r="P59" s="514"/>
      <c r="Q59" s="542">
        <f t="shared" si="41"/>
        <v>0</v>
      </c>
      <c r="R59" s="515">
        <f>'[3]DESCUENTO NOVIEMBRE'!$R$64</f>
        <v>0</v>
      </c>
      <c r="S59" s="515">
        <f>+H59+K59+Q59+R59</f>
        <v>12</v>
      </c>
      <c r="T59" s="515">
        <f t="shared" si="42"/>
        <v>388</v>
      </c>
      <c r="U59" s="519"/>
    </row>
    <row r="60" spans="3:22" s="467" customFormat="1" ht="39.950000000000003" customHeight="1" x14ac:dyDescent="0.2">
      <c r="C60" s="543" t="s">
        <v>818</v>
      </c>
      <c r="D60" s="544" t="s">
        <v>817</v>
      </c>
      <c r="E60" s="515">
        <v>400</v>
      </c>
      <c r="F60" s="515"/>
      <c r="G60" s="514">
        <f t="shared" si="38"/>
        <v>400</v>
      </c>
      <c r="H60" s="514">
        <f t="shared" si="43"/>
        <v>12</v>
      </c>
      <c r="I60" s="514">
        <f t="shared" si="44"/>
        <v>4</v>
      </c>
      <c r="J60" s="514">
        <f t="shared" si="46"/>
        <v>30</v>
      </c>
      <c r="K60" s="514"/>
      <c r="L60" s="514">
        <f>+E60*7.25%</f>
        <v>28.999999999999996</v>
      </c>
      <c r="M60" s="514">
        <f>+E60*7.75%</f>
        <v>31</v>
      </c>
      <c r="N60" s="514"/>
      <c r="O60" s="472">
        <f t="shared" si="40"/>
        <v>359</v>
      </c>
      <c r="P60" s="514"/>
      <c r="Q60" s="542">
        <f t="shared" si="41"/>
        <v>0</v>
      </c>
      <c r="R60" s="470">
        <f>'[3]DESCUENTO NOVIEMBRE'!$R$65</f>
        <v>72</v>
      </c>
      <c r="S60" s="515">
        <f>+H60+L60+Q60+R60</f>
        <v>113</v>
      </c>
      <c r="T60" s="515">
        <f t="shared" si="42"/>
        <v>287</v>
      </c>
      <c r="U60" s="466"/>
    </row>
    <row r="61" spans="3:22" s="467" customFormat="1" ht="39.950000000000003" customHeight="1" x14ac:dyDescent="0.2">
      <c r="C61" s="543" t="s">
        <v>819</v>
      </c>
      <c r="D61" s="497" t="s">
        <v>820</v>
      </c>
      <c r="E61" s="515">
        <v>400</v>
      </c>
      <c r="F61" s="515"/>
      <c r="G61" s="514">
        <f t="shared" si="38"/>
        <v>400</v>
      </c>
      <c r="H61" s="514">
        <f t="shared" si="43"/>
        <v>12</v>
      </c>
      <c r="I61" s="514">
        <f t="shared" si="44"/>
        <v>4</v>
      </c>
      <c r="J61" s="514">
        <f t="shared" si="46"/>
        <v>30</v>
      </c>
      <c r="K61" s="514"/>
      <c r="L61" s="514">
        <f>+E61*7.25%</f>
        <v>28.999999999999996</v>
      </c>
      <c r="M61" s="514">
        <f>+E61*7.75%</f>
        <v>31</v>
      </c>
      <c r="N61" s="514"/>
      <c r="O61" s="472">
        <f t="shared" si="40"/>
        <v>359</v>
      </c>
      <c r="P61" s="514"/>
      <c r="Q61" s="542">
        <f t="shared" si="41"/>
        <v>0</v>
      </c>
      <c r="R61" s="470">
        <f>'[3]DESCUENTO NOVIEMBRE'!$R$66</f>
        <v>70.53</v>
      </c>
      <c r="S61" s="515">
        <f>+H61+L61+Q61+R61</f>
        <v>111.53</v>
      </c>
      <c r="T61" s="515">
        <f t="shared" si="42"/>
        <v>288.47000000000003</v>
      </c>
      <c r="U61" s="466"/>
    </row>
    <row r="62" spans="3:22" s="467" customFormat="1" ht="39.950000000000003" customHeight="1" x14ac:dyDescent="0.2">
      <c r="C62" s="543" t="s">
        <v>821</v>
      </c>
      <c r="D62" s="544" t="s">
        <v>820</v>
      </c>
      <c r="E62" s="515">
        <v>400</v>
      </c>
      <c r="F62" s="515"/>
      <c r="G62" s="514">
        <f t="shared" si="38"/>
        <v>400</v>
      </c>
      <c r="H62" s="514">
        <f t="shared" si="43"/>
        <v>12</v>
      </c>
      <c r="I62" s="514">
        <f t="shared" si="44"/>
        <v>4</v>
      </c>
      <c r="J62" s="514">
        <f t="shared" si="46"/>
        <v>30</v>
      </c>
      <c r="K62" s="514"/>
      <c r="L62" s="514">
        <v>0</v>
      </c>
      <c r="M62" s="514">
        <v>0</v>
      </c>
      <c r="N62" s="545">
        <f>+E62*6%</f>
        <v>24</v>
      </c>
      <c r="O62" s="472">
        <f>G62-H62-N62</f>
        <v>364</v>
      </c>
      <c r="P62" s="545">
        <f>SUM(N62)</f>
        <v>24</v>
      </c>
      <c r="Q62" s="542">
        <f>(ROUND(IF((O62)&lt;=472,0,IF((O62)&lt;=895.24,17.67+0.1*((O62)-472),IF((O62)&lt;=2038.1,60+0.2*((O62)-895.24),288.57+0.3*((O62)-2038.11)))),2))</f>
        <v>0</v>
      </c>
      <c r="R62" s="470">
        <f>'[3]DESCUENTO NOVIEMBRE'!$R$67</f>
        <v>0</v>
      </c>
      <c r="S62" s="515">
        <f>+H62+N62+Q62+R62</f>
        <v>36</v>
      </c>
      <c r="T62" s="515">
        <f t="shared" si="42"/>
        <v>364</v>
      </c>
      <c r="U62" s="466"/>
    </row>
    <row r="63" spans="3:22" s="467" customFormat="1" ht="39.950000000000003" customHeight="1" x14ac:dyDescent="0.2">
      <c r="C63" s="543" t="s">
        <v>822</v>
      </c>
      <c r="D63" s="544" t="s">
        <v>817</v>
      </c>
      <c r="E63" s="515">
        <v>400</v>
      </c>
      <c r="F63" s="515"/>
      <c r="G63" s="515">
        <f>+E63+F63</f>
        <v>400</v>
      </c>
      <c r="H63" s="515">
        <f>+E63*3%</f>
        <v>12</v>
      </c>
      <c r="I63" s="515">
        <f>+E63*1%</f>
        <v>4</v>
      </c>
      <c r="J63" s="515">
        <f>+E63*7.5%</f>
        <v>30</v>
      </c>
      <c r="K63" s="515"/>
      <c r="L63" s="515">
        <f>G63*7.25%</f>
        <v>28.999999999999996</v>
      </c>
      <c r="M63" s="515">
        <f>G63*7.75%</f>
        <v>31</v>
      </c>
      <c r="N63" s="515"/>
      <c r="O63" s="469">
        <f>G63-H63-L63</f>
        <v>359</v>
      </c>
      <c r="P63" s="515"/>
      <c r="Q63" s="515">
        <f t="shared" si="41"/>
        <v>0</v>
      </c>
      <c r="R63" s="470">
        <f>'[3]DESCUENTO NOVIEMBRE'!$R$68</f>
        <v>50</v>
      </c>
      <c r="S63" s="515">
        <f>+H63+L63+Q63+R63</f>
        <v>91</v>
      </c>
      <c r="T63" s="515">
        <f t="shared" si="42"/>
        <v>309</v>
      </c>
      <c r="U63" s="466"/>
    </row>
    <row r="64" spans="3:22" s="467" customFormat="1" ht="39.950000000000003" customHeight="1" x14ac:dyDescent="0.2">
      <c r="C64" s="543" t="s">
        <v>823</v>
      </c>
      <c r="D64" s="544" t="s">
        <v>824</v>
      </c>
      <c r="E64" s="515">
        <v>500</v>
      </c>
      <c r="F64" s="515"/>
      <c r="G64" s="515">
        <f>[4]OTROS!C12</f>
        <v>486.66666666666669</v>
      </c>
      <c r="H64" s="515">
        <f>+G64*3%</f>
        <v>14.6</v>
      </c>
      <c r="I64" s="515">
        <f>+G64*1%</f>
        <v>4.8666666666666671</v>
      </c>
      <c r="J64" s="515">
        <f>+G64*7.5%</f>
        <v>36.5</v>
      </c>
      <c r="K64" s="515"/>
      <c r="L64" s="515">
        <f>+G64*7.25%</f>
        <v>35.283333333333331</v>
      </c>
      <c r="M64" s="515">
        <f>+G64*7.75%</f>
        <v>37.716666666666669</v>
      </c>
      <c r="N64" s="515"/>
      <c r="O64" s="469">
        <f>G64-H64-L64</f>
        <v>436.7833333333333</v>
      </c>
      <c r="P64" s="515"/>
      <c r="Q64" s="515">
        <f>(ROUND(IF((O64)&lt;=472,0,IF((O64)&lt;=895.24,17.67+0.1*((O64)-472),IF((O64)&lt;=2038.1,60+0.2*((O64)-895.24),288.57+0.3*((O64)-2038.11)))),2))</f>
        <v>0</v>
      </c>
      <c r="R64" s="470">
        <f>'[3]DESCUENTO NOVIEMBRE'!$R$69</f>
        <v>78.44</v>
      </c>
      <c r="S64" s="515">
        <f>+H64+L64+Q64+R64</f>
        <v>128.32333333333332</v>
      </c>
      <c r="T64" s="515">
        <f>+G64-S64</f>
        <v>358.34333333333336</v>
      </c>
      <c r="U64" s="466"/>
    </row>
    <row r="65" spans="3:21" s="467" customFormat="1" ht="39.950000000000003" customHeight="1" x14ac:dyDescent="0.3">
      <c r="C65" s="543" t="s">
        <v>825</v>
      </c>
      <c r="D65" s="497" t="s">
        <v>826</v>
      </c>
      <c r="E65" s="515">
        <v>700</v>
      </c>
      <c r="F65" s="473"/>
      <c r="G65" s="514">
        <f>SUM(E65:F65)</f>
        <v>700</v>
      </c>
      <c r="H65" s="514">
        <f t="shared" ref="H65:H69" si="47">+E65*3%</f>
        <v>21</v>
      </c>
      <c r="I65" s="514">
        <f t="shared" si="44"/>
        <v>7</v>
      </c>
      <c r="J65" s="514">
        <f>+E65*7.5%</f>
        <v>52.5</v>
      </c>
      <c r="K65" s="514">
        <f>+E65*7.25%</f>
        <v>50.75</v>
      </c>
      <c r="L65" s="514"/>
      <c r="M65" s="514">
        <f t="shared" ref="M65:M68" si="48">+E65*7.75%</f>
        <v>54.25</v>
      </c>
      <c r="N65" s="514"/>
      <c r="O65" s="472">
        <f>G65-H65-K65</f>
        <v>628.25</v>
      </c>
      <c r="P65" s="514"/>
      <c r="Q65" s="542">
        <f t="shared" si="41"/>
        <v>33.299999999999997</v>
      </c>
      <c r="R65" s="515">
        <f>'[3]DESCUENTO NOVIEMBRE'!$R$70</f>
        <v>0</v>
      </c>
      <c r="S65" s="515">
        <f>+H65+K65+Q65+R65</f>
        <v>105.05</v>
      </c>
      <c r="T65" s="515">
        <f t="shared" si="42"/>
        <v>594.95000000000005</v>
      </c>
      <c r="U65" s="466"/>
    </row>
    <row r="66" spans="3:21" s="467" customFormat="1" ht="39.950000000000003" customHeight="1" x14ac:dyDescent="0.3">
      <c r="C66" s="450" t="s">
        <v>827</v>
      </c>
      <c r="D66" s="497" t="s">
        <v>828</v>
      </c>
      <c r="E66" s="473">
        <v>600</v>
      </c>
      <c r="F66" s="473"/>
      <c r="G66" s="488">
        <f t="shared" ref="G66:G67" si="49">+E66+F66</f>
        <v>600</v>
      </c>
      <c r="H66" s="488">
        <f t="shared" si="47"/>
        <v>18</v>
      </c>
      <c r="I66" s="488">
        <f t="shared" ref="I66:I67" si="50">+E66*0.01</f>
        <v>6</v>
      </c>
      <c r="J66" s="488">
        <f t="shared" ref="J66:J68" si="51">+E66*7.5%</f>
        <v>45</v>
      </c>
      <c r="K66" s="488"/>
      <c r="L66" s="488">
        <f t="shared" ref="L66:L67" si="52">+E66*7.25%</f>
        <v>43.5</v>
      </c>
      <c r="M66" s="488">
        <f t="shared" si="48"/>
        <v>46.5</v>
      </c>
      <c r="N66" s="488"/>
      <c r="O66" s="472">
        <f>G66-H66-L66</f>
        <v>538.5</v>
      </c>
      <c r="P66" s="488"/>
      <c r="Q66" s="542">
        <f t="shared" si="41"/>
        <v>24.32</v>
      </c>
      <c r="R66" s="470">
        <f>'[3]DESCUENTO NOVIEMBRE'!$R$71</f>
        <v>0.88</v>
      </c>
      <c r="S66" s="515">
        <f>+H66+L66+Q66+R66</f>
        <v>86.699999999999989</v>
      </c>
      <c r="T66" s="499">
        <f t="shared" si="42"/>
        <v>513.29999999999995</v>
      </c>
      <c r="U66" s="466"/>
    </row>
    <row r="67" spans="3:21" s="467" customFormat="1" ht="39.950000000000003" customHeight="1" x14ac:dyDescent="0.3">
      <c r="C67" s="543" t="s">
        <v>829</v>
      </c>
      <c r="D67" s="497" t="s">
        <v>830</v>
      </c>
      <c r="E67" s="473">
        <v>400</v>
      </c>
      <c r="F67" s="473"/>
      <c r="G67" s="488">
        <f t="shared" si="49"/>
        <v>400</v>
      </c>
      <c r="H67" s="488">
        <f t="shared" si="47"/>
        <v>12</v>
      </c>
      <c r="I67" s="488">
        <f t="shared" si="50"/>
        <v>4</v>
      </c>
      <c r="J67" s="488">
        <f t="shared" si="51"/>
        <v>30</v>
      </c>
      <c r="K67" s="488"/>
      <c r="L67" s="488">
        <f t="shared" si="52"/>
        <v>28.999999999999996</v>
      </c>
      <c r="M67" s="488">
        <f t="shared" si="48"/>
        <v>31</v>
      </c>
      <c r="N67" s="488"/>
      <c r="O67" s="472">
        <f>G67-H67-L67</f>
        <v>359</v>
      </c>
      <c r="P67" s="488"/>
      <c r="Q67" s="542">
        <f t="shared" si="41"/>
        <v>0</v>
      </c>
      <c r="R67" s="470">
        <f>'[3]DESCUENTO NOVIEMBRE'!$R$72</f>
        <v>0</v>
      </c>
      <c r="S67" s="473">
        <f>+H67+L67+Q67+R67</f>
        <v>41</v>
      </c>
      <c r="T67" s="496">
        <f t="shared" si="42"/>
        <v>359</v>
      </c>
      <c r="U67" s="466"/>
    </row>
    <row r="68" spans="3:21" ht="39.950000000000003" customHeight="1" x14ac:dyDescent="0.25">
      <c r="C68" s="543" t="s">
        <v>831</v>
      </c>
      <c r="D68" s="497" t="s">
        <v>832</v>
      </c>
      <c r="E68" s="515">
        <v>400</v>
      </c>
      <c r="F68" s="515"/>
      <c r="G68" s="514">
        <v>400</v>
      </c>
      <c r="H68" s="514">
        <f t="shared" si="47"/>
        <v>12</v>
      </c>
      <c r="I68" s="514">
        <f t="shared" ref="I68" si="53">+E68*1%</f>
        <v>4</v>
      </c>
      <c r="J68" s="514">
        <f t="shared" si="51"/>
        <v>30</v>
      </c>
      <c r="K68" s="514">
        <f>+E68*7.25%</f>
        <v>28.999999999999996</v>
      </c>
      <c r="L68" s="514"/>
      <c r="M68" s="514">
        <f t="shared" si="48"/>
        <v>31</v>
      </c>
      <c r="N68" s="514"/>
      <c r="O68" s="472">
        <f>G68-H68-K68</f>
        <v>359</v>
      </c>
      <c r="P68" s="514"/>
      <c r="Q68" s="542">
        <f t="shared" si="41"/>
        <v>0</v>
      </c>
      <c r="R68" s="515">
        <f>'[3]DESCUENTO NOVIEMBRE'!$R$73</f>
        <v>77.260000000000005</v>
      </c>
      <c r="S68" s="515">
        <f>+H68+K68+Q68+R68</f>
        <v>118.26</v>
      </c>
      <c r="T68" s="515">
        <f t="shared" si="42"/>
        <v>281.74</v>
      </c>
      <c r="U68" s="519"/>
    </row>
    <row r="69" spans="3:21" s="467" customFormat="1" ht="39.950000000000003" customHeight="1" x14ac:dyDescent="0.2">
      <c r="C69" s="541" t="s">
        <v>833</v>
      </c>
      <c r="D69" s="518" t="s">
        <v>834</v>
      </c>
      <c r="E69" s="514">
        <v>400</v>
      </c>
      <c r="F69" s="515"/>
      <c r="G69" s="514">
        <f t="shared" si="38"/>
        <v>400</v>
      </c>
      <c r="H69" s="514">
        <f t="shared" si="47"/>
        <v>12</v>
      </c>
      <c r="I69" s="514">
        <f t="shared" si="44"/>
        <v>4</v>
      </c>
      <c r="J69" s="514">
        <f>+E69*7.5%</f>
        <v>30</v>
      </c>
      <c r="K69" s="514">
        <f>+E69*7.25%</f>
        <v>28.999999999999996</v>
      </c>
      <c r="L69" s="514"/>
      <c r="M69" s="514">
        <f>+E69*7.75%</f>
        <v>31</v>
      </c>
      <c r="N69" s="514"/>
      <c r="O69" s="472">
        <f>G69-H69-K69</f>
        <v>359</v>
      </c>
      <c r="P69" s="514"/>
      <c r="Q69" s="542">
        <f t="shared" si="41"/>
        <v>0</v>
      </c>
      <c r="R69" s="515">
        <f>'[3]DESCUENTO NOVIEMBRE'!$R$74</f>
        <v>129</v>
      </c>
      <c r="S69" s="515">
        <f>+H69+K69+Q69+R69</f>
        <v>170</v>
      </c>
      <c r="T69" s="515">
        <f t="shared" si="42"/>
        <v>230</v>
      </c>
      <c r="U69" s="466"/>
    </row>
    <row r="70" spans="3:21" s="467" customFormat="1" ht="39.950000000000003" customHeight="1" x14ac:dyDescent="0.2">
      <c r="C70" s="541" t="s">
        <v>835</v>
      </c>
      <c r="D70" s="518" t="s">
        <v>830</v>
      </c>
      <c r="E70" s="514">
        <v>400</v>
      </c>
      <c r="F70" s="515"/>
      <c r="G70" s="514">
        <f>SUM(E70:F70)</f>
        <v>400</v>
      </c>
      <c r="H70" s="514">
        <f>G70*3%</f>
        <v>12</v>
      </c>
      <c r="I70" s="514">
        <f>G70*1%</f>
        <v>4</v>
      </c>
      <c r="J70" s="514">
        <f>G70*7.5%</f>
        <v>30</v>
      </c>
      <c r="K70" s="514"/>
      <c r="L70" s="514">
        <f>G70*7.25%</f>
        <v>28.999999999999996</v>
      </c>
      <c r="M70" s="514">
        <f>G70*7.75%</f>
        <v>31</v>
      </c>
      <c r="N70" s="514"/>
      <c r="O70" s="472">
        <f>G70-H70-L70</f>
        <v>359</v>
      </c>
      <c r="P70" s="514"/>
      <c r="Q70" s="542">
        <f>(ROUND(IF((O70)&lt;=472,0,IF((O70)&lt;=895.24,17.67+0.1*((O70)-472),IF((O70)&lt;=2038.1,60+0.2*((O70)-895.24),288.57+0.3*((O70)-2038.11)))),2))</f>
        <v>0</v>
      </c>
      <c r="R70" s="515">
        <f>'[3]DESCUENTO NOVIEMBRE'!$R$75</f>
        <v>79.25</v>
      </c>
      <c r="S70" s="515">
        <f>+H70+L70+Q70+R70</f>
        <v>120.25</v>
      </c>
      <c r="T70" s="515">
        <f t="shared" si="42"/>
        <v>279.75</v>
      </c>
      <c r="U70" s="466"/>
    </row>
    <row r="71" spans="3:21" s="467" customFormat="1" ht="39.950000000000003" customHeight="1" x14ac:dyDescent="0.2">
      <c r="C71" s="541" t="s">
        <v>836</v>
      </c>
      <c r="D71" s="518" t="s">
        <v>828</v>
      </c>
      <c r="E71" s="514">
        <v>400</v>
      </c>
      <c r="F71" s="515"/>
      <c r="G71" s="514">
        <f>E71</f>
        <v>400</v>
      </c>
      <c r="H71" s="514">
        <f t="shared" ref="H71" si="54">+E71*3%</f>
        <v>12</v>
      </c>
      <c r="I71" s="514">
        <f>+E71*1%</f>
        <v>4</v>
      </c>
      <c r="J71" s="514">
        <f t="shared" ref="J71" si="55">+E71*7.5%</f>
        <v>30</v>
      </c>
      <c r="K71" s="514"/>
      <c r="L71" s="514">
        <f t="shared" ref="L71:L73" si="56">+E71*7.25%</f>
        <v>28.999999999999996</v>
      </c>
      <c r="M71" s="514">
        <f t="shared" ref="M71" si="57">+E71*7.75%</f>
        <v>31</v>
      </c>
      <c r="N71" s="514"/>
      <c r="O71" s="472">
        <f>G71-H71-L71</f>
        <v>359</v>
      </c>
      <c r="P71" s="514"/>
      <c r="Q71" s="542">
        <f t="shared" si="41"/>
        <v>0</v>
      </c>
      <c r="R71" s="470">
        <f>'[3]DESCUENTO NOVIEMBRE'!$R$77</f>
        <v>0</v>
      </c>
      <c r="S71" s="515">
        <f>+H71+L71+Q71+R71</f>
        <v>41</v>
      </c>
      <c r="T71" s="515">
        <f t="shared" si="42"/>
        <v>359</v>
      </c>
      <c r="U71" s="466"/>
    </row>
    <row r="72" spans="3:21" s="467" customFormat="1" ht="39.950000000000003" customHeight="1" x14ac:dyDescent="0.2">
      <c r="C72" s="541" t="s">
        <v>837</v>
      </c>
      <c r="D72" s="518" t="s">
        <v>828</v>
      </c>
      <c r="E72" s="514">
        <v>400</v>
      </c>
      <c r="F72" s="515"/>
      <c r="G72" s="514">
        <f>SUM(E72:F72)</f>
        <v>400</v>
      </c>
      <c r="H72" s="514">
        <f>+E72*3%</f>
        <v>12</v>
      </c>
      <c r="I72" s="514">
        <f>E72*1%</f>
        <v>4</v>
      </c>
      <c r="J72" s="514">
        <f>E72*7.5%</f>
        <v>30</v>
      </c>
      <c r="K72" s="514">
        <f>E72*7.25%</f>
        <v>28.999999999999996</v>
      </c>
      <c r="L72" s="514"/>
      <c r="M72" s="514">
        <f>E72*7.75%</f>
        <v>31</v>
      </c>
      <c r="N72" s="514"/>
      <c r="O72" s="472">
        <f>G72-H72-K72</f>
        <v>359</v>
      </c>
      <c r="P72" s="514"/>
      <c r="Q72" s="542">
        <f t="shared" si="41"/>
        <v>0</v>
      </c>
      <c r="R72" s="470">
        <f>'[3]DESCUENTO NOVIEMBRE'!$R$76</f>
        <v>0</v>
      </c>
      <c r="S72" s="515">
        <f>+H72+K72+Q72+R72</f>
        <v>41</v>
      </c>
      <c r="T72" s="515">
        <f t="shared" si="42"/>
        <v>359</v>
      </c>
      <c r="U72" s="466"/>
    </row>
    <row r="73" spans="3:21" s="467" customFormat="1" ht="39.950000000000003" customHeight="1" x14ac:dyDescent="0.3">
      <c r="C73" s="541" t="s">
        <v>838</v>
      </c>
      <c r="D73" s="518" t="s">
        <v>839</v>
      </c>
      <c r="E73" s="514">
        <v>500</v>
      </c>
      <c r="F73" s="473"/>
      <c r="G73" s="514">
        <v>500</v>
      </c>
      <c r="H73" s="514">
        <f>+E73*3%</f>
        <v>15</v>
      </c>
      <c r="I73" s="514">
        <f>+E73*1%</f>
        <v>5</v>
      </c>
      <c r="J73" s="514">
        <f t="shared" ref="J73" si="58">+E73*7.5%</f>
        <v>37.5</v>
      </c>
      <c r="K73" s="514"/>
      <c r="L73" s="514">
        <f t="shared" si="56"/>
        <v>36.25</v>
      </c>
      <c r="M73" s="514">
        <f t="shared" si="39"/>
        <v>38.75</v>
      </c>
      <c r="N73" s="514"/>
      <c r="O73" s="472">
        <f>G73-H73-L73</f>
        <v>448.75</v>
      </c>
      <c r="P73" s="514"/>
      <c r="Q73" s="542">
        <f t="shared" si="41"/>
        <v>0</v>
      </c>
      <c r="R73" s="470">
        <f>'[3]DESCUENTO NOVIEMBRE'!$R$78</f>
        <v>82.339999999999989</v>
      </c>
      <c r="S73" s="515">
        <f>+H73+L73+Q73+R73</f>
        <v>133.58999999999997</v>
      </c>
      <c r="T73" s="515">
        <f t="shared" si="42"/>
        <v>366.41</v>
      </c>
      <c r="U73" s="466"/>
    </row>
    <row r="74" spans="3:21" s="467" customFormat="1" ht="39.950000000000003" customHeight="1" x14ac:dyDescent="0.2">
      <c r="C74" s="541" t="s">
        <v>840</v>
      </c>
      <c r="D74" s="518" t="s">
        <v>452</v>
      </c>
      <c r="E74" s="514">
        <v>550</v>
      </c>
      <c r="F74" s="470"/>
      <c r="G74" s="514">
        <f>+E74+F74</f>
        <v>550</v>
      </c>
      <c r="H74" s="514">
        <f>+E74*3%</f>
        <v>16.5</v>
      </c>
      <c r="I74" s="514">
        <f>+E74*1%</f>
        <v>5.5</v>
      </c>
      <c r="J74" s="514">
        <f>+E74*7.5%</f>
        <v>41.25</v>
      </c>
      <c r="K74" s="514"/>
      <c r="L74" s="514">
        <f>+E74*7.25%</f>
        <v>39.875</v>
      </c>
      <c r="M74" s="514">
        <f>+E74*7.75%</f>
        <v>42.625</v>
      </c>
      <c r="N74" s="514"/>
      <c r="O74" s="472">
        <f>G74-H74-L74</f>
        <v>493.625</v>
      </c>
      <c r="P74" s="514"/>
      <c r="Q74" s="542">
        <f t="shared" si="41"/>
        <v>19.829999999999998</v>
      </c>
      <c r="R74" s="470">
        <f>'[3]DESCUENTO NOVIEMBRE'!$R$79</f>
        <v>0</v>
      </c>
      <c r="S74" s="515">
        <f>+H74+L74+Q74+R74</f>
        <v>76.204999999999998</v>
      </c>
      <c r="T74" s="515">
        <f t="shared" si="42"/>
        <v>473.79500000000002</v>
      </c>
      <c r="U74" s="466"/>
    </row>
    <row r="75" spans="3:21" s="467" customFormat="1" ht="39.950000000000003" customHeight="1" x14ac:dyDescent="0.2">
      <c r="C75" s="541" t="s">
        <v>841</v>
      </c>
      <c r="D75" s="546" t="s">
        <v>842</v>
      </c>
      <c r="E75" s="545">
        <v>500</v>
      </c>
      <c r="F75" s="523">
        <v>16.66</v>
      </c>
      <c r="G75" s="545">
        <f>+E75+F75</f>
        <v>516.66</v>
      </c>
      <c r="H75" s="545">
        <f>G75*3%</f>
        <v>15.499799999999999</v>
      </c>
      <c r="I75" s="514">
        <f>+G75*1%</f>
        <v>5.1665999999999999</v>
      </c>
      <c r="J75" s="545">
        <f>G75*7.5%</f>
        <v>38.749499999999998</v>
      </c>
      <c r="K75" s="545"/>
      <c r="L75" s="545"/>
      <c r="M75" s="545"/>
      <c r="N75" s="545">
        <f>G75*6%</f>
        <v>30.999599999999997</v>
      </c>
      <c r="O75" s="472">
        <f>G75-H75-N75</f>
        <v>470.16059999999999</v>
      </c>
      <c r="P75" s="545">
        <f>G75*6%</f>
        <v>30.999599999999997</v>
      </c>
      <c r="Q75" s="542">
        <f t="shared" si="41"/>
        <v>0</v>
      </c>
      <c r="R75" s="470">
        <f>'[3]DESCUENTO NOVIEMBRE'!$R$80</f>
        <v>0</v>
      </c>
      <c r="S75" s="523">
        <f>+H75+N75+R75+Q75</f>
        <v>46.499399999999994</v>
      </c>
      <c r="T75" s="523">
        <f>+G75-S75</f>
        <v>470.16059999999999</v>
      </c>
      <c r="U75" s="466"/>
    </row>
    <row r="76" spans="3:21" s="467" customFormat="1" ht="39.950000000000003" customHeight="1" x14ac:dyDescent="0.2">
      <c r="C76" s="541" t="s">
        <v>843</v>
      </c>
      <c r="D76" s="547" t="s">
        <v>844</v>
      </c>
      <c r="E76" s="545">
        <v>400</v>
      </c>
      <c r="F76" s="523">
        <v>13.33</v>
      </c>
      <c r="G76" s="545">
        <f>E76+F76</f>
        <v>413.33</v>
      </c>
      <c r="H76" s="545"/>
      <c r="I76" s="545">
        <v>0</v>
      </c>
      <c r="J76" s="545">
        <v>0</v>
      </c>
      <c r="K76" s="545">
        <v>0</v>
      </c>
      <c r="L76" s="545"/>
      <c r="M76" s="545">
        <v>0</v>
      </c>
      <c r="N76" s="545"/>
      <c r="O76" s="472">
        <f>G76-H76-L76</f>
        <v>413.33</v>
      </c>
      <c r="P76" s="545"/>
      <c r="Q76" s="542">
        <f t="shared" si="41"/>
        <v>0</v>
      </c>
      <c r="R76" s="523">
        <f>'[3]DESCUENTO NOVIEMBRE'!$R$81</f>
        <v>0</v>
      </c>
      <c r="S76" s="523">
        <f>+H76+K76+R76+Q76</f>
        <v>0</v>
      </c>
      <c r="T76" s="523">
        <f t="shared" si="42"/>
        <v>413.33</v>
      </c>
      <c r="U76" s="466"/>
    </row>
    <row r="77" spans="3:21" s="467" customFormat="1" ht="39.950000000000003" customHeight="1" x14ac:dyDescent="0.2">
      <c r="C77" s="541" t="s">
        <v>845</v>
      </c>
      <c r="D77" s="547" t="s">
        <v>844</v>
      </c>
      <c r="E77" s="545">
        <v>400</v>
      </c>
      <c r="F77" s="523">
        <v>13.33</v>
      </c>
      <c r="G77" s="545">
        <f>E77+F77</f>
        <v>413.33</v>
      </c>
      <c r="H77" s="545">
        <f>G77*3%</f>
        <v>12.399899999999999</v>
      </c>
      <c r="I77" s="545">
        <f>G77*0.01</f>
        <v>4.1333000000000002</v>
      </c>
      <c r="J77" s="545">
        <f>G77*7.5%</f>
        <v>30.999749999999999</v>
      </c>
      <c r="K77" s="545">
        <f>G77*7.25%</f>
        <v>29.966424999999997</v>
      </c>
      <c r="L77" s="545"/>
      <c r="M77" s="545">
        <f>G77*7.75%</f>
        <v>32.033074999999997</v>
      </c>
      <c r="N77" s="545"/>
      <c r="O77" s="472">
        <f>G77-H77-K77</f>
        <v>370.96367499999997</v>
      </c>
      <c r="P77" s="545"/>
      <c r="Q77" s="542">
        <f t="shared" si="41"/>
        <v>0</v>
      </c>
      <c r="R77" s="470">
        <f>'[3]DESCUENTO NOVIEMBRE'!$R$82</f>
        <v>74.53</v>
      </c>
      <c r="S77" s="523">
        <f>+H77+K77+R77+Q77</f>
        <v>116.89632499999999</v>
      </c>
      <c r="T77" s="523">
        <f>+G77-S77</f>
        <v>296.43367499999999</v>
      </c>
      <c r="U77" s="466"/>
    </row>
    <row r="78" spans="3:21" s="467" customFormat="1" ht="39.950000000000003" customHeight="1" x14ac:dyDescent="0.2">
      <c r="C78" s="541" t="s">
        <v>846</v>
      </c>
      <c r="D78" s="547" t="s">
        <v>847</v>
      </c>
      <c r="E78" s="545">
        <v>400</v>
      </c>
      <c r="F78" s="523">
        <v>26.66</v>
      </c>
      <c r="G78" s="545">
        <f>SUM(E78:F78)</f>
        <v>426.66</v>
      </c>
      <c r="H78" s="545">
        <f>G78*3%</f>
        <v>12.799799999999999</v>
      </c>
      <c r="I78" s="545">
        <f>G78*0.01</f>
        <v>4.2666000000000004</v>
      </c>
      <c r="J78" s="545">
        <f>G78*7.5%</f>
        <v>31.999500000000001</v>
      </c>
      <c r="K78" s="545">
        <f>G78*7.25%</f>
        <v>30.932849999999998</v>
      </c>
      <c r="L78" s="545"/>
      <c r="M78" s="545">
        <f>G78*7.75%</f>
        <v>33.06615</v>
      </c>
      <c r="N78" s="545"/>
      <c r="O78" s="472">
        <f>G78-H78-K78</f>
        <v>382.92735000000005</v>
      </c>
      <c r="P78" s="545"/>
      <c r="Q78" s="542">
        <f t="shared" si="41"/>
        <v>0</v>
      </c>
      <c r="R78" s="470">
        <f>'[3]DESCUENTO NOVIEMBRE'!$R$83</f>
        <v>0</v>
      </c>
      <c r="S78" s="523">
        <f>+H78+K78+R78+Q78</f>
        <v>43.73265</v>
      </c>
      <c r="T78" s="523">
        <f t="shared" si="42"/>
        <v>382.92735000000005</v>
      </c>
      <c r="U78" s="466"/>
    </row>
    <row r="79" spans="3:21" s="467" customFormat="1" ht="39.950000000000003" customHeight="1" x14ac:dyDescent="0.2">
      <c r="C79" s="541" t="s">
        <v>848</v>
      </c>
      <c r="D79" s="547" t="s">
        <v>849</v>
      </c>
      <c r="E79" s="545">
        <v>400</v>
      </c>
      <c r="F79" s="523">
        <v>26.66</v>
      </c>
      <c r="G79" s="545">
        <f>+E79+F79</f>
        <v>426.66</v>
      </c>
      <c r="H79" s="545">
        <f>G79*3%</f>
        <v>12.799799999999999</v>
      </c>
      <c r="I79" s="545">
        <f>G79*0.01</f>
        <v>4.2666000000000004</v>
      </c>
      <c r="J79" s="545">
        <f>G79*7.5%</f>
        <v>31.999500000000001</v>
      </c>
      <c r="K79" s="545">
        <f>G79*7.25%</f>
        <v>30.932849999999998</v>
      </c>
      <c r="L79" s="545"/>
      <c r="M79" s="545">
        <f>G79*7.75%</f>
        <v>33.06615</v>
      </c>
      <c r="N79" s="545"/>
      <c r="O79" s="472">
        <f>G79-H79-K79</f>
        <v>382.92735000000005</v>
      </c>
      <c r="P79" s="545"/>
      <c r="Q79" s="542">
        <f t="shared" si="41"/>
        <v>0</v>
      </c>
      <c r="R79" s="470">
        <f>'[3]DESCUENTO NOVIEMBRE'!$R$84</f>
        <v>51</v>
      </c>
      <c r="S79" s="523">
        <f>+H79+K79+R79+Q79</f>
        <v>94.732650000000007</v>
      </c>
      <c r="T79" s="523">
        <f t="shared" si="42"/>
        <v>331.92735000000005</v>
      </c>
      <c r="U79" s="466"/>
    </row>
    <row r="80" spans="3:21" s="550" customFormat="1" ht="39.950000000000003" customHeight="1" x14ac:dyDescent="0.2">
      <c r="C80" s="541" t="s">
        <v>850</v>
      </c>
      <c r="D80" s="548" t="s">
        <v>847</v>
      </c>
      <c r="E80" s="523">
        <v>400</v>
      </c>
      <c r="F80" s="523">
        <v>26.66</v>
      </c>
      <c r="G80" s="523">
        <f>E80+F80</f>
        <v>426.66</v>
      </c>
      <c r="H80" s="545">
        <f>G80*3%</f>
        <v>12.799799999999999</v>
      </c>
      <c r="I80" s="545">
        <f>G80*0.01</f>
        <v>4.2666000000000004</v>
      </c>
      <c r="J80" s="545">
        <f>G80*7.5%</f>
        <v>31.999500000000001</v>
      </c>
      <c r="K80" s="523"/>
      <c r="L80" s="523">
        <f>G80*7.25%</f>
        <v>30.932849999999998</v>
      </c>
      <c r="M80" s="523">
        <f>G80*7.75%</f>
        <v>33.06615</v>
      </c>
      <c r="N80" s="523"/>
      <c r="O80" s="469">
        <f>G80-H80-L80</f>
        <v>382.92735000000005</v>
      </c>
      <c r="P80" s="523"/>
      <c r="Q80" s="515">
        <f t="shared" si="41"/>
        <v>0</v>
      </c>
      <c r="R80" s="470">
        <f>'[3]DESCUENTO NOVIEMBRE'!$R$85</f>
        <v>0</v>
      </c>
      <c r="S80" s="523">
        <f>+H80+L80+R80-Q80</f>
        <v>43.73265</v>
      </c>
      <c r="T80" s="523">
        <f t="shared" si="42"/>
        <v>382.92735000000005</v>
      </c>
      <c r="U80" s="549"/>
    </row>
    <row r="81" spans="3:21" s="467" customFormat="1" ht="39.950000000000003" customHeight="1" x14ac:dyDescent="0.2">
      <c r="C81" s="541" t="s">
        <v>851</v>
      </c>
      <c r="D81" s="551" t="s">
        <v>852</v>
      </c>
      <c r="E81" s="552">
        <v>400</v>
      </c>
      <c r="F81" s="553"/>
      <c r="G81" s="545">
        <f>E81+F81</f>
        <v>400</v>
      </c>
      <c r="H81" s="545">
        <f>400*3%</f>
        <v>12</v>
      </c>
      <c r="I81" s="545">
        <f>400*0.01</f>
        <v>4</v>
      </c>
      <c r="J81" s="545">
        <f>+E81*7.5%</f>
        <v>30</v>
      </c>
      <c r="K81" s="552"/>
      <c r="L81" s="552">
        <f>+E81*7.25%</f>
        <v>28.999999999999996</v>
      </c>
      <c r="M81" s="552">
        <f>+G81*7.75%</f>
        <v>31</v>
      </c>
      <c r="N81" s="552"/>
      <c r="O81" s="472">
        <f>G81-H81-L81</f>
        <v>359</v>
      </c>
      <c r="P81" s="552"/>
      <c r="Q81" s="542">
        <f t="shared" si="41"/>
        <v>0</v>
      </c>
      <c r="R81" s="554">
        <f>'[3]DESCUENTO NOVIEMBRE'!$R$86</f>
        <v>76.22</v>
      </c>
      <c r="S81" s="553">
        <f>+H81+L81+R81</f>
        <v>117.22</v>
      </c>
      <c r="T81" s="553">
        <f t="shared" si="42"/>
        <v>282.77999999999997</v>
      </c>
      <c r="U81" s="466"/>
    </row>
    <row r="82" spans="3:21" s="467" customFormat="1" ht="35.1" customHeight="1" x14ac:dyDescent="0.2">
      <c r="C82" s="504"/>
      <c r="D82" s="508"/>
      <c r="E82" s="555">
        <f>SUM(E53:E81)</f>
        <v>14050</v>
      </c>
      <c r="F82" s="555"/>
      <c r="G82" s="556">
        <f>SUM(G53:G81)</f>
        <v>14159.966666666667</v>
      </c>
      <c r="H82" s="557">
        <f t="shared" ref="H82:Q82" si="59">SUM(H53:H81)</f>
        <v>409.39910000000003</v>
      </c>
      <c r="I82" s="555">
        <f t="shared" si="59"/>
        <v>136.46636666666669</v>
      </c>
      <c r="J82" s="555">
        <f t="shared" si="59"/>
        <v>1023.49775</v>
      </c>
      <c r="K82" s="557">
        <f t="shared" si="59"/>
        <v>309.33212499999996</v>
      </c>
      <c r="L82" s="557">
        <f t="shared" si="59"/>
        <v>591.84118333333333</v>
      </c>
      <c r="M82" s="555">
        <f t="shared" si="59"/>
        <v>963.32319166666673</v>
      </c>
      <c r="N82" s="557">
        <f t="shared" si="59"/>
        <v>54.999600000000001</v>
      </c>
      <c r="O82" s="557">
        <f t="shared" si="59"/>
        <v>12794.394658333333</v>
      </c>
      <c r="P82" s="555">
        <f t="shared" si="59"/>
        <v>54.999600000000001</v>
      </c>
      <c r="Q82" s="557">
        <f t="shared" si="59"/>
        <v>229.40999999999997</v>
      </c>
      <c r="R82" s="555">
        <f>SUM(R53:R81)</f>
        <v>1177.31</v>
      </c>
      <c r="S82" s="555">
        <f>SUM(S53:S81)</f>
        <v>2772.2920083333333</v>
      </c>
      <c r="T82" s="557">
        <f>SUM(T53:T81)+0.01</f>
        <v>11387.674658333333</v>
      </c>
      <c r="U82" s="466"/>
    </row>
    <row r="83" spans="3:21" ht="18" customHeight="1" x14ac:dyDescent="0.25">
      <c r="C83" s="559"/>
      <c r="D83" s="558"/>
      <c r="G83" s="536"/>
      <c r="H83" s="536"/>
      <c r="I83" s="537"/>
      <c r="J83" s="537"/>
      <c r="K83" s="537"/>
      <c r="N83" s="536"/>
      <c r="O83" s="536"/>
      <c r="P83" s="536"/>
      <c r="Q83" s="536"/>
      <c r="R83" s="537"/>
      <c r="S83" s="560"/>
      <c r="T83" s="560"/>
    </row>
    <row r="84" spans="3:21" ht="18" customHeight="1" x14ac:dyDescent="0.25">
      <c r="C84" s="559"/>
      <c r="D84" s="558"/>
      <c r="G84" s="536"/>
      <c r="H84" s="536"/>
      <c r="I84" s="537"/>
      <c r="J84" s="537"/>
      <c r="K84" s="537"/>
      <c r="N84" s="536"/>
      <c r="O84" s="536"/>
      <c r="P84" s="536"/>
      <c r="Q84" s="536"/>
      <c r="R84" s="537"/>
      <c r="S84" s="560"/>
      <c r="T84" s="560"/>
    </row>
    <row r="85" spans="3:21" ht="18" customHeight="1" x14ac:dyDescent="0.25">
      <c r="C85" s="559"/>
      <c r="D85" s="558"/>
      <c r="G85" s="536"/>
      <c r="H85" s="536"/>
      <c r="I85" s="537"/>
      <c r="J85" s="537"/>
      <c r="K85" s="537"/>
      <c r="N85" s="536"/>
      <c r="O85" s="536"/>
      <c r="P85" s="536"/>
      <c r="Q85" s="536"/>
      <c r="R85" s="537"/>
      <c r="S85" s="560"/>
      <c r="T85" s="560"/>
    </row>
    <row r="86" spans="3:21" ht="18" customHeight="1" x14ac:dyDescent="0.25">
      <c r="C86" s="559"/>
      <c r="D86" s="558"/>
      <c r="G86" s="536"/>
      <c r="H86" s="536"/>
      <c r="I86" s="537"/>
      <c r="J86" s="537"/>
      <c r="K86" s="537"/>
      <c r="N86" s="536"/>
      <c r="O86" s="536"/>
      <c r="P86" s="536"/>
      <c r="Q86" s="536"/>
      <c r="R86" s="537"/>
      <c r="S86" s="560"/>
      <c r="T86" s="560"/>
    </row>
    <row r="87" spans="3:21" ht="18" customHeight="1" x14ac:dyDescent="0.25">
      <c r="C87" s="559"/>
      <c r="D87" s="558"/>
      <c r="G87" s="536"/>
      <c r="H87" s="536"/>
      <c r="I87" s="537"/>
      <c r="J87" s="537"/>
      <c r="K87" s="537"/>
      <c r="N87" s="536"/>
      <c r="O87" s="536"/>
      <c r="P87" s="536"/>
      <c r="Q87" s="536"/>
      <c r="R87" s="537"/>
      <c r="S87" s="560"/>
      <c r="T87" s="560"/>
    </row>
    <row r="88" spans="3:21" ht="18" customHeight="1" x14ac:dyDescent="0.25">
      <c r="C88" s="559"/>
      <c r="D88" s="558"/>
      <c r="G88" s="536"/>
      <c r="H88" s="536"/>
      <c r="I88" s="537"/>
      <c r="J88" s="537"/>
      <c r="K88" s="537"/>
      <c r="N88" s="536"/>
      <c r="O88" s="536"/>
      <c r="P88" s="536"/>
      <c r="Q88" s="536"/>
      <c r="R88" s="537"/>
      <c r="S88" s="560"/>
      <c r="T88" s="560"/>
    </row>
    <row r="89" spans="3:21" ht="18" customHeight="1" x14ac:dyDescent="0.25">
      <c r="C89" s="559"/>
      <c r="D89" s="558"/>
      <c r="G89" s="536"/>
      <c r="H89" s="536"/>
      <c r="I89" s="537"/>
      <c r="J89" s="537"/>
      <c r="K89" s="537"/>
      <c r="N89" s="536"/>
      <c r="O89" s="536"/>
      <c r="P89" s="536"/>
      <c r="Q89" s="536"/>
      <c r="R89" s="537"/>
      <c r="S89" s="560"/>
      <c r="T89" s="560"/>
    </row>
    <row r="90" spans="3:21" ht="18" customHeight="1" x14ac:dyDescent="0.25">
      <c r="C90" s="559"/>
      <c r="D90" s="558"/>
      <c r="G90" s="536"/>
      <c r="H90" s="536"/>
      <c r="I90" s="537"/>
      <c r="J90" s="537"/>
      <c r="K90" s="537"/>
      <c r="N90" s="536"/>
      <c r="O90" s="536"/>
      <c r="P90" s="536"/>
      <c r="Q90" s="536"/>
      <c r="R90" s="537"/>
      <c r="S90" s="560"/>
      <c r="T90" s="560"/>
    </row>
    <row r="91" spans="3:21" ht="18" customHeight="1" x14ac:dyDescent="0.25">
      <c r="C91" s="559"/>
      <c r="D91" s="558"/>
      <c r="G91" s="536"/>
      <c r="H91" s="536"/>
      <c r="I91" s="537"/>
      <c r="J91" s="537"/>
      <c r="K91" s="537"/>
      <c r="N91" s="536"/>
      <c r="O91" s="536"/>
      <c r="P91" s="536"/>
      <c r="Q91" s="536"/>
      <c r="R91" s="537"/>
      <c r="S91" s="560"/>
      <c r="T91" s="560"/>
    </row>
    <row r="92" spans="3:21" ht="18" customHeight="1" x14ac:dyDescent="0.25">
      <c r="C92" s="559"/>
      <c r="D92" s="558"/>
      <c r="G92" s="536"/>
      <c r="H92" s="536"/>
      <c r="I92" s="537"/>
      <c r="J92" s="537"/>
      <c r="K92" s="537"/>
      <c r="N92" s="536"/>
      <c r="O92" s="536"/>
      <c r="P92" s="536"/>
      <c r="Q92" s="536"/>
      <c r="R92" s="537"/>
      <c r="S92" s="560"/>
      <c r="T92" s="560"/>
    </row>
    <row r="93" spans="3:21" ht="18" customHeight="1" x14ac:dyDescent="0.25">
      <c r="C93" s="559"/>
      <c r="D93" s="558"/>
      <c r="G93" s="536"/>
      <c r="H93" s="536"/>
      <c r="I93" s="537"/>
      <c r="J93" s="537"/>
      <c r="K93" s="537"/>
      <c r="N93" s="536"/>
      <c r="O93" s="536"/>
      <c r="P93" s="536"/>
      <c r="Q93" s="536"/>
      <c r="R93" s="537"/>
      <c r="S93" s="560"/>
      <c r="T93" s="560"/>
    </row>
    <row r="94" spans="3:21" ht="18" customHeight="1" x14ac:dyDescent="0.25">
      <c r="C94" s="559"/>
      <c r="D94" s="558"/>
      <c r="G94" s="536"/>
      <c r="H94" s="536"/>
      <c r="I94" s="537"/>
      <c r="J94" s="537"/>
      <c r="K94" s="537"/>
      <c r="N94" s="536"/>
      <c r="O94" s="536"/>
      <c r="P94" s="536"/>
      <c r="Q94" s="536"/>
      <c r="R94" s="537"/>
      <c r="S94" s="560"/>
      <c r="T94" s="560"/>
    </row>
    <row r="95" spans="3:21" ht="18" customHeight="1" x14ac:dyDescent="0.25">
      <c r="C95" s="559"/>
      <c r="D95" s="558"/>
      <c r="G95" s="536"/>
      <c r="H95" s="536"/>
      <c r="I95" s="537"/>
      <c r="J95" s="537"/>
      <c r="K95" s="537"/>
      <c r="N95" s="536"/>
      <c r="O95" s="536"/>
      <c r="P95" s="536"/>
      <c r="Q95" s="536"/>
      <c r="R95" s="537"/>
      <c r="S95" s="560"/>
      <c r="T95" s="560"/>
    </row>
    <row r="96" spans="3:21" ht="18" customHeight="1" x14ac:dyDescent="0.25">
      <c r="C96" s="559"/>
      <c r="D96" s="558"/>
      <c r="G96" s="536"/>
      <c r="H96" s="536"/>
      <c r="I96" s="537"/>
      <c r="J96" s="537"/>
      <c r="K96" s="537"/>
      <c r="N96" s="536"/>
      <c r="O96" s="536"/>
      <c r="P96" s="536"/>
      <c r="Q96" s="536"/>
      <c r="R96" s="537"/>
      <c r="S96" s="560"/>
      <c r="T96" s="560"/>
    </row>
    <row r="97" spans="3:20" ht="18" customHeight="1" x14ac:dyDescent="0.25">
      <c r="C97" s="559"/>
      <c r="D97" s="558"/>
      <c r="G97" s="536"/>
      <c r="H97" s="536"/>
      <c r="I97" s="537"/>
      <c r="J97" s="537"/>
      <c r="K97" s="537"/>
      <c r="N97" s="536"/>
      <c r="O97" s="536"/>
      <c r="P97" s="536"/>
      <c r="Q97" s="536"/>
      <c r="R97" s="537"/>
      <c r="S97" s="560"/>
      <c r="T97" s="560"/>
    </row>
  </sheetData>
  <mergeCells count="26">
    <mergeCell ref="C1:U1"/>
    <mergeCell ref="C2:U2"/>
    <mergeCell ref="C3:U3"/>
    <mergeCell ref="E5:F5"/>
    <mergeCell ref="K7:L7"/>
    <mergeCell ref="M7:M8"/>
    <mergeCell ref="C7:C8"/>
    <mergeCell ref="D7:D8"/>
    <mergeCell ref="E7:E8"/>
    <mergeCell ref="F7:F8"/>
    <mergeCell ref="C52:D52"/>
    <mergeCell ref="T7:T8"/>
    <mergeCell ref="U7:U8"/>
    <mergeCell ref="C9:U9"/>
    <mergeCell ref="C17:D17"/>
    <mergeCell ref="C50:D50"/>
    <mergeCell ref="N7:N8"/>
    <mergeCell ref="O7:O8"/>
    <mergeCell ref="P7:P8"/>
    <mergeCell ref="Q7:Q8"/>
    <mergeCell ref="R7:R8"/>
    <mergeCell ref="S7:S8"/>
    <mergeCell ref="G7:G8"/>
    <mergeCell ref="H7:H8"/>
    <mergeCell ref="I7:I8"/>
    <mergeCell ref="J7:J8"/>
  </mergeCells>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O137"/>
  <sheetViews>
    <sheetView topLeftCell="A16" workbookViewId="0">
      <selection activeCell="I121" sqref="I121"/>
    </sheetView>
  </sheetViews>
  <sheetFormatPr baseColWidth="10" defaultColWidth="11.42578125" defaultRowHeight="12.75" x14ac:dyDescent="0.2"/>
  <cols>
    <col min="1" max="1" width="7" style="39" customWidth="1"/>
    <col min="2" max="2" width="17" style="39" customWidth="1"/>
    <col min="3" max="5" width="15.140625" style="39" customWidth="1"/>
    <col min="6" max="6" width="15.5703125" style="39" customWidth="1"/>
    <col min="7" max="7" width="11.42578125" style="39" customWidth="1"/>
    <col min="8" max="9" width="12.85546875" style="39" customWidth="1"/>
    <col min="10" max="10" width="13.7109375" style="39" customWidth="1"/>
    <col min="11" max="11" width="15.140625" style="39" customWidth="1"/>
    <col min="12" max="12" width="12" style="39" customWidth="1"/>
    <col min="13" max="14" width="15.140625" style="39" customWidth="1"/>
    <col min="15" max="15" width="15" style="39" customWidth="1"/>
    <col min="16" max="16384" width="11.42578125" style="39"/>
  </cols>
  <sheetData>
    <row r="1" spans="1:15" ht="14.25" x14ac:dyDescent="0.2">
      <c r="A1" s="1115"/>
      <c r="B1" s="1115"/>
      <c r="C1" s="1115"/>
      <c r="D1" s="1115"/>
      <c r="E1" s="1115"/>
      <c r="F1" s="1115"/>
      <c r="G1" s="1115"/>
      <c r="H1" s="1115"/>
      <c r="I1" s="1115"/>
      <c r="J1" s="1115"/>
      <c r="K1" s="1115"/>
      <c r="L1" s="1115"/>
      <c r="M1" s="1115"/>
      <c r="N1" s="1115"/>
      <c r="O1" s="1115"/>
    </row>
    <row r="2" spans="1:15" x14ac:dyDescent="0.2">
      <c r="A2" s="959" t="s">
        <v>329</v>
      </c>
      <c r="B2" s="959"/>
      <c r="C2" s="959"/>
      <c r="D2" s="959"/>
      <c r="E2" s="959"/>
      <c r="F2" s="959"/>
      <c r="G2" s="959"/>
      <c r="H2" s="959"/>
      <c r="I2" s="959"/>
      <c r="J2" s="959"/>
      <c r="K2" s="959"/>
      <c r="L2" s="959"/>
      <c r="M2" s="959"/>
      <c r="N2" s="959"/>
      <c r="O2" s="959"/>
    </row>
    <row r="3" spans="1:15" ht="13.5" thickBot="1" x14ac:dyDescent="0.25">
      <c r="A3" s="1230" t="s">
        <v>331</v>
      </c>
      <c r="B3" s="1230"/>
      <c r="C3" s="1230"/>
      <c r="D3" s="1230"/>
      <c r="E3" s="1230"/>
      <c r="F3" s="1230"/>
      <c r="G3" s="1230"/>
      <c r="H3" s="1230"/>
      <c r="I3" s="1230"/>
      <c r="J3" s="1230"/>
      <c r="K3" s="1230"/>
      <c r="L3" s="1230"/>
      <c r="M3" s="1230"/>
      <c r="N3" s="1230"/>
      <c r="O3" s="1230"/>
    </row>
    <row r="4" spans="1:15" ht="13.5" thickBot="1" x14ac:dyDescent="0.25">
      <c r="A4" s="1181" t="s">
        <v>223</v>
      </c>
      <c r="B4" s="1187" t="s">
        <v>479</v>
      </c>
      <c r="C4" s="1178"/>
      <c r="D4" s="1179"/>
      <c r="E4" s="1179"/>
      <c r="F4" s="1179"/>
      <c r="G4" s="1180"/>
      <c r="H4" s="1231" t="s">
        <v>224</v>
      </c>
      <c r="I4" s="1232"/>
      <c r="J4" s="1233"/>
      <c r="K4" s="113"/>
      <c r="L4" s="113"/>
      <c r="M4" s="112" t="s">
        <v>227</v>
      </c>
      <c r="N4" s="112" t="s">
        <v>227</v>
      </c>
      <c r="O4" s="1184"/>
    </row>
    <row r="5" spans="1:15" ht="26.25" thickBot="1" x14ac:dyDescent="0.25">
      <c r="A5" s="1182"/>
      <c r="B5" s="1187"/>
      <c r="C5" s="1226" t="s">
        <v>480</v>
      </c>
      <c r="D5" s="143" t="s">
        <v>499</v>
      </c>
      <c r="E5" s="143" t="s">
        <v>500</v>
      </c>
      <c r="F5" s="114" t="s">
        <v>481</v>
      </c>
      <c r="G5" s="114" t="s">
        <v>482</v>
      </c>
      <c r="H5" s="1228" t="s">
        <v>231</v>
      </c>
      <c r="I5" s="1228" t="s">
        <v>253</v>
      </c>
      <c r="J5" s="115" t="s">
        <v>225</v>
      </c>
      <c r="K5" s="150" t="s">
        <v>345</v>
      </c>
      <c r="L5" s="116" t="s">
        <v>227</v>
      </c>
      <c r="M5" s="116" t="s">
        <v>345</v>
      </c>
      <c r="N5" s="117" t="s">
        <v>483</v>
      </c>
      <c r="O5" s="1185"/>
    </row>
    <row r="6" spans="1:15" ht="13.5" thickBot="1" x14ac:dyDescent="0.25">
      <c r="A6" s="1183"/>
      <c r="B6" s="1187"/>
      <c r="C6" s="1227"/>
      <c r="D6" s="119"/>
      <c r="E6" s="119"/>
      <c r="F6" s="118"/>
      <c r="G6" s="118"/>
      <c r="H6" s="1229"/>
      <c r="I6" s="1229"/>
      <c r="J6" s="119" t="s">
        <v>484</v>
      </c>
      <c r="K6" s="119"/>
      <c r="L6" s="118" t="s">
        <v>484</v>
      </c>
      <c r="M6" s="118"/>
      <c r="N6" s="118"/>
      <c r="O6" s="1186"/>
    </row>
    <row r="7" spans="1:15" x14ac:dyDescent="0.2">
      <c r="A7" s="66">
        <v>1</v>
      </c>
      <c r="B7" s="120" t="s">
        <v>78</v>
      </c>
      <c r="C7" s="121">
        <v>2500</v>
      </c>
      <c r="D7" s="121"/>
      <c r="E7" s="121"/>
      <c r="F7" s="105">
        <v>200</v>
      </c>
      <c r="G7" s="105">
        <f t="shared" ref="G7:G70" si="0">+C7</f>
        <v>2500</v>
      </c>
      <c r="H7" s="122"/>
      <c r="I7" s="122"/>
      <c r="J7" s="122"/>
      <c r="K7" s="123"/>
      <c r="L7" s="124"/>
      <c r="M7" s="124"/>
      <c r="N7" s="124">
        <f t="shared" ref="N7:N12" si="1">+C7*12</f>
        <v>30000</v>
      </c>
      <c r="O7" s="67">
        <f t="shared" ref="O7:O12" si="2">+F7+G7+L7+M7+N7</f>
        <v>32700</v>
      </c>
    </row>
    <row r="8" spans="1:15" x14ac:dyDescent="0.2">
      <c r="A8" s="66">
        <v>2</v>
      </c>
      <c r="B8" s="40" t="s">
        <v>78</v>
      </c>
      <c r="C8" s="121">
        <v>440</v>
      </c>
      <c r="D8" s="121"/>
      <c r="E8" s="121"/>
      <c r="F8" s="105">
        <v>200</v>
      </c>
      <c r="G8" s="105">
        <f t="shared" si="0"/>
        <v>440</v>
      </c>
      <c r="H8" s="122">
        <v>33</v>
      </c>
      <c r="I8" s="122">
        <v>4.4000000000000004</v>
      </c>
      <c r="J8" s="122">
        <f>SUM(H8:I8)</f>
        <v>37.4</v>
      </c>
      <c r="K8" s="123">
        <v>34.1</v>
      </c>
      <c r="L8" s="124">
        <f t="shared" ref="L8:M12" si="3">+J8*12</f>
        <v>448.79999999999995</v>
      </c>
      <c r="M8" s="124">
        <f t="shared" si="3"/>
        <v>409.20000000000005</v>
      </c>
      <c r="N8" s="124">
        <f t="shared" si="1"/>
        <v>5280</v>
      </c>
      <c r="O8" s="67">
        <f t="shared" si="2"/>
        <v>6778</v>
      </c>
    </row>
    <row r="9" spans="1:15" x14ac:dyDescent="0.2">
      <c r="A9" s="66">
        <v>3</v>
      </c>
      <c r="B9" s="40" t="s">
        <v>78</v>
      </c>
      <c r="C9" s="121">
        <v>1800</v>
      </c>
      <c r="D9" s="121"/>
      <c r="E9" s="121"/>
      <c r="F9" s="105">
        <v>200</v>
      </c>
      <c r="G9" s="105">
        <f t="shared" si="0"/>
        <v>1800</v>
      </c>
      <c r="H9" s="122">
        <v>75</v>
      </c>
      <c r="I9" s="122"/>
      <c r="J9" s="122">
        <f>SUM(H9:I9)</f>
        <v>75</v>
      </c>
      <c r="K9" s="123"/>
      <c r="L9" s="124">
        <f t="shared" si="3"/>
        <v>900</v>
      </c>
      <c r="M9" s="124">
        <f t="shared" si="3"/>
        <v>0</v>
      </c>
      <c r="N9" s="124">
        <f t="shared" si="1"/>
        <v>21600</v>
      </c>
      <c r="O9" s="67">
        <f t="shared" si="2"/>
        <v>24500</v>
      </c>
    </row>
    <row r="10" spans="1:15" x14ac:dyDescent="0.2">
      <c r="A10" s="66">
        <v>4</v>
      </c>
      <c r="B10" s="40" t="s">
        <v>78</v>
      </c>
      <c r="C10" s="121">
        <v>813.05</v>
      </c>
      <c r="D10" s="121"/>
      <c r="E10" s="121"/>
      <c r="F10" s="105">
        <v>200</v>
      </c>
      <c r="G10" s="105">
        <f t="shared" si="0"/>
        <v>813.05</v>
      </c>
      <c r="H10" s="122">
        <v>60.98</v>
      </c>
      <c r="I10" s="122">
        <v>8.1300000000000008</v>
      </c>
      <c r="J10" s="122">
        <f>SUM(H10:I10)</f>
        <v>69.11</v>
      </c>
      <c r="K10" s="123">
        <v>63.01</v>
      </c>
      <c r="L10" s="124">
        <f t="shared" si="3"/>
        <v>829.31999999999994</v>
      </c>
      <c r="M10" s="124">
        <f t="shared" si="3"/>
        <v>756.12</v>
      </c>
      <c r="N10" s="124">
        <f t="shared" si="1"/>
        <v>9756.5999999999985</v>
      </c>
      <c r="O10" s="67">
        <f t="shared" si="2"/>
        <v>12355.089999999998</v>
      </c>
    </row>
    <row r="11" spans="1:15" x14ac:dyDescent="0.2">
      <c r="A11" s="66">
        <v>5</v>
      </c>
      <c r="B11" s="40" t="s">
        <v>78</v>
      </c>
      <c r="C11" s="121">
        <v>484</v>
      </c>
      <c r="D11" s="149">
        <v>66</v>
      </c>
      <c r="E11" s="121">
        <f>+C11+D11</f>
        <v>550</v>
      </c>
      <c r="F11" s="105">
        <v>200</v>
      </c>
      <c r="G11" s="105">
        <f t="shared" si="0"/>
        <v>484</v>
      </c>
      <c r="H11" s="122">
        <f>+E11*7.5%</f>
        <v>41.25</v>
      </c>
      <c r="I11" s="122">
        <f>+E11*1%</f>
        <v>5.5</v>
      </c>
      <c r="J11" s="122">
        <f>SUM(H11:I11)</f>
        <v>46.75</v>
      </c>
      <c r="K11" s="123">
        <f>+E11*7.75%</f>
        <v>42.625</v>
      </c>
      <c r="L11" s="124">
        <f t="shared" si="3"/>
        <v>561</v>
      </c>
      <c r="M11" s="124">
        <f t="shared" si="3"/>
        <v>511.5</v>
      </c>
      <c r="N11" s="124">
        <f t="shared" si="1"/>
        <v>5808</v>
      </c>
      <c r="O11" s="67">
        <f t="shared" si="2"/>
        <v>7564.5</v>
      </c>
    </row>
    <row r="12" spans="1:15" x14ac:dyDescent="0.2">
      <c r="A12" s="66">
        <v>6</v>
      </c>
      <c r="B12" s="40" t="s">
        <v>78</v>
      </c>
      <c r="C12" s="121">
        <v>1500</v>
      </c>
      <c r="D12" s="121"/>
      <c r="E12" s="121"/>
      <c r="F12" s="105">
        <v>200</v>
      </c>
      <c r="G12" s="105">
        <f t="shared" si="0"/>
        <v>1500</v>
      </c>
      <c r="H12" s="122">
        <v>75</v>
      </c>
      <c r="I12" s="122">
        <v>10</v>
      </c>
      <c r="J12" s="122">
        <f>SUM(H12:I12)</f>
        <v>85</v>
      </c>
      <c r="K12" s="123">
        <v>116.25</v>
      </c>
      <c r="L12" s="124">
        <f t="shared" si="3"/>
        <v>1020</v>
      </c>
      <c r="M12" s="124">
        <f t="shared" si="3"/>
        <v>1395</v>
      </c>
      <c r="N12" s="124">
        <f t="shared" si="1"/>
        <v>18000</v>
      </c>
      <c r="O12" s="67">
        <f t="shared" si="2"/>
        <v>22115</v>
      </c>
    </row>
    <row r="13" spans="1:15" x14ac:dyDescent="0.2">
      <c r="A13" s="125"/>
      <c r="B13" s="126"/>
      <c r="C13" s="127">
        <f>SUM(C7:C12)</f>
        <v>7537.05</v>
      </c>
      <c r="D13" s="127">
        <f>SUM(D7:D12)</f>
        <v>66</v>
      </c>
      <c r="E13" s="127">
        <f>SUM(E7:E12)</f>
        <v>550</v>
      </c>
      <c r="F13" s="127">
        <f t="shared" ref="F13:O13" si="4">SUM(F7:F12)</f>
        <v>1200</v>
      </c>
      <c r="G13" s="127">
        <f t="shared" si="4"/>
        <v>7537.05</v>
      </c>
      <c r="H13" s="127">
        <f t="shared" si="4"/>
        <v>285.23</v>
      </c>
      <c r="I13" s="127">
        <f t="shared" si="4"/>
        <v>28.03</v>
      </c>
      <c r="J13" s="127">
        <f t="shared" si="4"/>
        <v>313.26</v>
      </c>
      <c r="K13" s="127">
        <f t="shared" si="4"/>
        <v>255.98500000000001</v>
      </c>
      <c r="L13" s="127">
        <f t="shared" si="4"/>
        <v>3759.12</v>
      </c>
      <c r="M13" s="127">
        <f t="shared" si="4"/>
        <v>3071.82</v>
      </c>
      <c r="N13" s="127">
        <f t="shared" si="4"/>
        <v>90444.6</v>
      </c>
      <c r="O13" s="127">
        <f t="shared" si="4"/>
        <v>106012.59</v>
      </c>
    </row>
    <row r="14" spans="1:15" x14ac:dyDescent="0.2">
      <c r="A14" s="66"/>
      <c r="B14" s="40"/>
      <c r="C14" s="128"/>
      <c r="D14" s="128"/>
      <c r="E14" s="128"/>
      <c r="F14" s="128"/>
      <c r="G14" s="128"/>
      <c r="H14" s="129"/>
      <c r="I14" s="129"/>
      <c r="J14" s="129"/>
      <c r="K14" s="128"/>
      <c r="L14" s="129"/>
      <c r="M14" s="129"/>
      <c r="N14" s="129"/>
      <c r="O14" s="129"/>
    </row>
    <row r="15" spans="1:15" x14ac:dyDescent="0.2">
      <c r="A15" s="66">
        <v>1</v>
      </c>
      <c r="B15" s="130" t="s">
        <v>78</v>
      </c>
      <c r="C15" s="70">
        <v>880</v>
      </c>
      <c r="D15" s="70"/>
      <c r="E15" s="70"/>
      <c r="F15" s="105"/>
      <c r="G15" s="131"/>
      <c r="H15" s="132"/>
      <c r="I15" s="133"/>
      <c r="J15" s="132"/>
      <c r="K15" s="132"/>
      <c r="L15" s="124">
        <f>+K15*12</f>
        <v>0</v>
      </c>
      <c r="M15" s="124">
        <f t="shared" ref="M15:M26" si="5">+K15*12</f>
        <v>0</v>
      </c>
      <c r="N15" s="124">
        <f t="shared" ref="N15:N26" si="6">+C15*12</f>
        <v>10560</v>
      </c>
      <c r="O15" s="67">
        <f t="shared" ref="O15:O26" si="7">+F15+G15+L15+M15+N15</f>
        <v>10560</v>
      </c>
    </row>
    <row r="16" spans="1:15" x14ac:dyDescent="0.2">
      <c r="A16" s="66">
        <v>2</v>
      </c>
      <c r="B16" s="130" t="s">
        <v>78</v>
      </c>
      <c r="C16" s="70">
        <v>880</v>
      </c>
      <c r="D16" s="70"/>
      <c r="E16" s="70"/>
      <c r="F16" s="105"/>
      <c r="G16" s="131"/>
      <c r="H16" s="132"/>
      <c r="I16" s="133"/>
      <c r="J16" s="132"/>
      <c r="K16" s="132"/>
      <c r="L16" s="124">
        <f>+K16*12</f>
        <v>0</v>
      </c>
      <c r="M16" s="124">
        <f t="shared" si="5"/>
        <v>0</v>
      </c>
      <c r="N16" s="124">
        <f t="shared" si="6"/>
        <v>10560</v>
      </c>
      <c r="O16" s="67">
        <f t="shared" si="7"/>
        <v>10560</v>
      </c>
    </row>
    <row r="17" spans="1:15" x14ac:dyDescent="0.2">
      <c r="A17" s="66">
        <v>3</v>
      </c>
      <c r="B17" s="130" t="s">
        <v>78</v>
      </c>
      <c r="C17" s="70">
        <v>880</v>
      </c>
      <c r="D17" s="70"/>
      <c r="E17" s="70"/>
      <c r="F17" s="105"/>
      <c r="G17" s="131"/>
      <c r="H17" s="132">
        <v>66</v>
      </c>
      <c r="I17" s="133">
        <v>8.8000000000000007</v>
      </c>
      <c r="J17" s="132">
        <f>SUM(H17:I17)</f>
        <v>74.8</v>
      </c>
      <c r="K17" s="132">
        <v>68.2</v>
      </c>
      <c r="L17" s="124">
        <f t="shared" ref="L17:L26" si="8">+J17*12</f>
        <v>897.59999999999991</v>
      </c>
      <c r="M17" s="124">
        <f t="shared" si="5"/>
        <v>818.40000000000009</v>
      </c>
      <c r="N17" s="124">
        <f t="shared" si="6"/>
        <v>10560</v>
      </c>
      <c r="O17" s="67">
        <f t="shared" si="7"/>
        <v>12276</v>
      </c>
    </row>
    <row r="18" spans="1:15" x14ac:dyDescent="0.2">
      <c r="A18" s="66">
        <v>4</v>
      </c>
      <c r="B18" s="130" t="s">
        <v>78</v>
      </c>
      <c r="C18" s="70">
        <v>880</v>
      </c>
      <c r="D18" s="70"/>
      <c r="E18" s="70"/>
      <c r="F18" s="105"/>
      <c r="G18" s="131"/>
      <c r="H18" s="132">
        <v>66</v>
      </c>
      <c r="I18" s="133">
        <v>8.8000000000000007</v>
      </c>
      <c r="J18" s="132">
        <f t="shared" ref="J18:J26" si="9">SUM(H18:I18)</f>
        <v>74.8</v>
      </c>
      <c r="K18" s="132">
        <v>68.2</v>
      </c>
      <c r="L18" s="124">
        <f t="shared" si="8"/>
        <v>897.59999999999991</v>
      </c>
      <c r="M18" s="124">
        <f t="shared" si="5"/>
        <v>818.40000000000009</v>
      </c>
      <c r="N18" s="124">
        <f t="shared" si="6"/>
        <v>10560</v>
      </c>
      <c r="O18" s="67">
        <f t="shared" si="7"/>
        <v>12276</v>
      </c>
    </row>
    <row r="19" spans="1:15" x14ac:dyDescent="0.2">
      <c r="A19" s="66">
        <v>5</v>
      </c>
      <c r="B19" s="130" t="s">
        <v>78</v>
      </c>
      <c r="C19" s="70">
        <v>880</v>
      </c>
      <c r="D19" s="70"/>
      <c r="E19" s="70"/>
      <c r="F19" s="105"/>
      <c r="G19" s="131"/>
      <c r="H19" s="132"/>
      <c r="I19" s="133"/>
      <c r="J19" s="132">
        <f t="shared" si="9"/>
        <v>0</v>
      </c>
      <c r="K19" s="132"/>
      <c r="L19" s="124">
        <f t="shared" si="8"/>
        <v>0</v>
      </c>
      <c r="M19" s="124">
        <f t="shared" si="5"/>
        <v>0</v>
      </c>
      <c r="N19" s="124">
        <f t="shared" si="6"/>
        <v>10560</v>
      </c>
      <c r="O19" s="67">
        <f t="shared" si="7"/>
        <v>10560</v>
      </c>
    </row>
    <row r="20" spans="1:15" x14ac:dyDescent="0.2">
      <c r="A20" s="66">
        <v>6</v>
      </c>
      <c r="B20" s="130" t="s">
        <v>78</v>
      </c>
      <c r="C20" s="70">
        <v>880</v>
      </c>
      <c r="D20" s="70"/>
      <c r="E20" s="70"/>
      <c r="F20" s="105"/>
      <c r="G20" s="131"/>
      <c r="H20" s="132"/>
      <c r="I20" s="133"/>
      <c r="J20" s="132">
        <f t="shared" si="9"/>
        <v>0</v>
      </c>
      <c r="K20" s="132"/>
      <c r="L20" s="124">
        <f t="shared" si="8"/>
        <v>0</v>
      </c>
      <c r="M20" s="124">
        <f t="shared" si="5"/>
        <v>0</v>
      </c>
      <c r="N20" s="124">
        <f t="shared" si="6"/>
        <v>10560</v>
      </c>
      <c r="O20" s="67">
        <f t="shared" si="7"/>
        <v>10560</v>
      </c>
    </row>
    <row r="21" spans="1:15" x14ac:dyDescent="0.2">
      <c r="A21" s="66">
        <v>7</v>
      </c>
      <c r="B21" s="130" t="s">
        <v>78</v>
      </c>
      <c r="C21" s="70">
        <v>880</v>
      </c>
      <c r="D21" s="70"/>
      <c r="E21" s="70"/>
      <c r="F21" s="105"/>
      <c r="G21" s="131"/>
      <c r="H21" s="132">
        <v>66</v>
      </c>
      <c r="I21" s="133">
        <v>8.8000000000000007</v>
      </c>
      <c r="J21" s="132">
        <f t="shared" si="9"/>
        <v>74.8</v>
      </c>
      <c r="K21" s="132">
        <v>68.2</v>
      </c>
      <c r="L21" s="124">
        <f t="shared" si="8"/>
        <v>897.59999999999991</v>
      </c>
      <c r="M21" s="124">
        <f t="shared" si="5"/>
        <v>818.40000000000009</v>
      </c>
      <c r="N21" s="124">
        <f t="shared" si="6"/>
        <v>10560</v>
      </c>
      <c r="O21" s="67">
        <f t="shared" si="7"/>
        <v>12276</v>
      </c>
    </row>
    <row r="22" spans="1:15" x14ac:dyDescent="0.2">
      <c r="A22" s="66">
        <v>8</v>
      </c>
      <c r="B22" s="130" t="s">
        <v>78</v>
      </c>
      <c r="C22" s="70">
        <v>880</v>
      </c>
      <c r="D22" s="70"/>
      <c r="E22" s="70"/>
      <c r="F22" s="105"/>
      <c r="G22" s="131"/>
      <c r="H22" s="132">
        <v>66</v>
      </c>
      <c r="I22" s="133">
        <v>8.8000000000000007</v>
      </c>
      <c r="J22" s="132">
        <f t="shared" si="9"/>
        <v>74.8</v>
      </c>
      <c r="K22" s="132">
        <v>68.2</v>
      </c>
      <c r="L22" s="124">
        <f t="shared" si="8"/>
        <v>897.59999999999991</v>
      </c>
      <c r="M22" s="124">
        <f t="shared" si="5"/>
        <v>818.40000000000009</v>
      </c>
      <c r="N22" s="124">
        <f t="shared" si="6"/>
        <v>10560</v>
      </c>
      <c r="O22" s="67">
        <f t="shared" si="7"/>
        <v>12276</v>
      </c>
    </row>
    <row r="23" spans="1:15" x14ac:dyDescent="0.2">
      <c r="A23" s="66">
        <v>9</v>
      </c>
      <c r="B23" s="130" t="s">
        <v>78</v>
      </c>
      <c r="C23" s="70">
        <v>880</v>
      </c>
      <c r="D23" s="70"/>
      <c r="E23" s="70"/>
      <c r="F23" s="105"/>
      <c r="G23" s="131"/>
      <c r="H23" s="132">
        <v>66</v>
      </c>
      <c r="I23" s="133">
        <v>8.8000000000000007</v>
      </c>
      <c r="J23" s="132">
        <f t="shared" si="9"/>
        <v>74.8</v>
      </c>
      <c r="K23" s="132">
        <v>68.2</v>
      </c>
      <c r="L23" s="124">
        <f t="shared" si="8"/>
        <v>897.59999999999991</v>
      </c>
      <c r="M23" s="124">
        <f t="shared" si="5"/>
        <v>818.40000000000009</v>
      </c>
      <c r="N23" s="124">
        <f t="shared" si="6"/>
        <v>10560</v>
      </c>
      <c r="O23" s="67">
        <f t="shared" si="7"/>
        <v>12276</v>
      </c>
    </row>
    <row r="24" spans="1:15" x14ac:dyDescent="0.2">
      <c r="A24" s="66">
        <v>10</v>
      </c>
      <c r="B24" s="130" t="s">
        <v>78</v>
      </c>
      <c r="C24" s="70">
        <v>880</v>
      </c>
      <c r="D24" s="70"/>
      <c r="E24" s="70"/>
      <c r="F24" s="105"/>
      <c r="G24" s="131"/>
      <c r="H24" s="132">
        <v>66</v>
      </c>
      <c r="I24" s="133">
        <v>8.8000000000000007</v>
      </c>
      <c r="J24" s="132">
        <f t="shared" si="9"/>
        <v>74.8</v>
      </c>
      <c r="K24" s="132">
        <v>68.2</v>
      </c>
      <c r="L24" s="124">
        <f t="shared" si="8"/>
        <v>897.59999999999991</v>
      </c>
      <c r="M24" s="124">
        <f t="shared" si="5"/>
        <v>818.40000000000009</v>
      </c>
      <c r="N24" s="124">
        <f t="shared" si="6"/>
        <v>10560</v>
      </c>
      <c r="O24" s="67">
        <f t="shared" si="7"/>
        <v>12276</v>
      </c>
    </row>
    <row r="25" spans="1:15" x14ac:dyDescent="0.2">
      <c r="A25" s="66">
        <v>11</v>
      </c>
      <c r="B25" s="130" t="s">
        <v>78</v>
      </c>
      <c r="C25" s="70">
        <v>880</v>
      </c>
      <c r="D25" s="70"/>
      <c r="E25" s="70"/>
      <c r="F25" s="105"/>
      <c r="G25" s="131"/>
      <c r="H25" s="132">
        <v>66</v>
      </c>
      <c r="I25" s="133">
        <v>8.8000000000000007</v>
      </c>
      <c r="J25" s="132">
        <f t="shared" si="9"/>
        <v>74.8</v>
      </c>
      <c r="K25" s="132">
        <v>68.2</v>
      </c>
      <c r="L25" s="124">
        <f t="shared" si="8"/>
        <v>897.59999999999991</v>
      </c>
      <c r="M25" s="124">
        <f t="shared" si="5"/>
        <v>818.40000000000009</v>
      </c>
      <c r="N25" s="124">
        <f t="shared" si="6"/>
        <v>10560</v>
      </c>
      <c r="O25" s="67">
        <f t="shared" si="7"/>
        <v>12276</v>
      </c>
    </row>
    <row r="26" spans="1:15" ht="13.5" thickBot="1" x14ac:dyDescent="0.25">
      <c r="A26" s="66">
        <v>12</v>
      </c>
      <c r="B26" s="130" t="s">
        <v>78</v>
      </c>
      <c r="C26" s="70">
        <v>880</v>
      </c>
      <c r="D26" s="70"/>
      <c r="E26" s="70"/>
      <c r="F26" s="105"/>
      <c r="G26" s="131"/>
      <c r="H26" s="132">
        <v>66</v>
      </c>
      <c r="I26" s="133">
        <v>8.8000000000000007</v>
      </c>
      <c r="J26" s="132">
        <f t="shared" si="9"/>
        <v>74.8</v>
      </c>
      <c r="K26" s="132">
        <v>68.2</v>
      </c>
      <c r="L26" s="124">
        <f t="shared" si="8"/>
        <v>897.59999999999991</v>
      </c>
      <c r="M26" s="124">
        <f t="shared" si="5"/>
        <v>818.40000000000009</v>
      </c>
      <c r="N26" s="124">
        <f t="shared" si="6"/>
        <v>10560</v>
      </c>
      <c r="O26" s="67">
        <f t="shared" si="7"/>
        <v>12276</v>
      </c>
    </row>
    <row r="27" spans="1:15" ht="13.5" thickBot="1" x14ac:dyDescent="0.25">
      <c r="A27" s="134"/>
      <c r="B27" s="135"/>
      <c r="C27" s="136">
        <f>SUM(C15:C26)</f>
        <v>10560</v>
      </c>
      <c r="D27" s="136">
        <f>SUM(D15:D26)</f>
        <v>0</v>
      </c>
      <c r="E27" s="136">
        <f>SUM(E15:E26)</f>
        <v>0</v>
      </c>
      <c r="F27" s="136">
        <f t="shared" ref="F27:O27" si="10">SUM(F15:F26)</f>
        <v>0</v>
      </c>
      <c r="G27" s="136">
        <f t="shared" si="10"/>
        <v>0</v>
      </c>
      <c r="H27" s="136">
        <f t="shared" si="10"/>
        <v>528</v>
      </c>
      <c r="I27" s="136">
        <f t="shared" si="10"/>
        <v>70.399999999999991</v>
      </c>
      <c r="J27" s="136">
        <f t="shared" si="10"/>
        <v>598.4</v>
      </c>
      <c r="K27" s="136">
        <f t="shared" si="10"/>
        <v>545.6</v>
      </c>
      <c r="L27" s="136">
        <f t="shared" si="10"/>
        <v>7180.8000000000011</v>
      </c>
      <c r="M27" s="136">
        <f t="shared" si="10"/>
        <v>6547.2000000000007</v>
      </c>
      <c r="N27" s="136">
        <f t="shared" si="10"/>
        <v>126720</v>
      </c>
      <c r="O27" s="136">
        <f t="shared" si="10"/>
        <v>140448</v>
      </c>
    </row>
    <row r="28" spans="1:15" x14ac:dyDescent="0.2">
      <c r="A28" s="125"/>
      <c r="B28" s="126"/>
      <c r="C28" s="127">
        <f>+C13+C27</f>
        <v>18097.05</v>
      </c>
      <c r="D28" s="127">
        <f>+D13+D27</f>
        <v>66</v>
      </c>
      <c r="E28" s="127">
        <f>+E13+E27</f>
        <v>550</v>
      </c>
      <c r="F28" s="127">
        <f t="shared" ref="F28:O28" si="11">+F13+F27</f>
        <v>1200</v>
      </c>
      <c r="G28" s="127">
        <f t="shared" si="11"/>
        <v>7537.05</v>
      </c>
      <c r="H28" s="127">
        <f t="shared" si="11"/>
        <v>813.23</v>
      </c>
      <c r="I28" s="127">
        <f t="shared" si="11"/>
        <v>98.429999999999993</v>
      </c>
      <c r="J28" s="127">
        <f t="shared" si="11"/>
        <v>911.66</v>
      </c>
      <c r="K28" s="127">
        <f t="shared" si="11"/>
        <v>801.58500000000004</v>
      </c>
      <c r="L28" s="127">
        <f t="shared" si="11"/>
        <v>10939.920000000002</v>
      </c>
      <c r="M28" s="127">
        <f t="shared" si="11"/>
        <v>9619.02</v>
      </c>
      <c r="N28" s="127">
        <f t="shared" si="11"/>
        <v>217164.6</v>
      </c>
      <c r="O28" s="127">
        <f t="shared" si="11"/>
        <v>246460.59</v>
      </c>
    </row>
    <row r="29" spans="1:15" x14ac:dyDescent="0.2">
      <c r="A29" s="66"/>
      <c r="B29" s="40"/>
      <c r="C29" s="121"/>
      <c r="D29" s="121"/>
      <c r="E29" s="121"/>
      <c r="F29" s="105"/>
      <c r="G29" s="105">
        <f t="shared" si="0"/>
        <v>0</v>
      </c>
      <c r="H29" s="122"/>
      <c r="I29" s="122"/>
      <c r="J29" s="122"/>
      <c r="K29" s="123"/>
      <c r="L29" s="124"/>
      <c r="M29" s="124"/>
      <c r="N29" s="124"/>
      <c r="O29" s="67"/>
    </row>
    <row r="30" spans="1:15" x14ac:dyDescent="0.2">
      <c r="A30" s="66">
        <v>7</v>
      </c>
      <c r="B30" s="40" t="s">
        <v>327</v>
      </c>
      <c r="C30" s="121">
        <v>1000</v>
      </c>
      <c r="D30" s="121"/>
      <c r="E30" s="121"/>
      <c r="F30" s="105">
        <v>200</v>
      </c>
      <c r="G30" s="105">
        <f t="shared" si="0"/>
        <v>1000</v>
      </c>
      <c r="H30" s="122">
        <v>75</v>
      </c>
      <c r="I30" s="122">
        <v>10</v>
      </c>
      <c r="J30" s="122">
        <f t="shared" ref="J30:J38" si="12">SUM(H30:I30)</f>
        <v>85</v>
      </c>
      <c r="K30" s="123">
        <v>77.5</v>
      </c>
      <c r="L30" s="124">
        <f t="shared" ref="L30:M38" si="13">+J30*12</f>
        <v>1020</v>
      </c>
      <c r="M30" s="124">
        <f t="shared" si="13"/>
        <v>930</v>
      </c>
      <c r="N30" s="124">
        <f t="shared" ref="N30:N38" si="14">+C30*12</f>
        <v>12000</v>
      </c>
      <c r="O30" s="67">
        <f t="shared" ref="O30:O38" si="15">+F30+G30+L30+M30+N30</f>
        <v>15150</v>
      </c>
    </row>
    <row r="31" spans="1:15" x14ac:dyDescent="0.2">
      <c r="A31" s="66">
        <v>8</v>
      </c>
      <c r="B31" s="40" t="s">
        <v>327</v>
      </c>
      <c r="C31" s="121">
        <v>825</v>
      </c>
      <c r="D31" s="121"/>
      <c r="E31" s="121"/>
      <c r="F31" s="105">
        <v>200</v>
      </c>
      <c r="G31" s="105">
        <f t="shared" si="0"/>
        <v>825</v>
      </c>
      <c r="H31" s="122">
        <v>61.88</v>
      </c>
      <c r="I31" s="122">
        <v>8.25</v>
      </c>
      <c r="J31" s="122">
        <f t="shared" si="12"/>
        <v>70.13</v>
      </c>
      <c r="K31" s="123">
        <v>63.94</v>
      </c>
      <c r="L31" s="124">
        <f t="shared" si="13"/>
        <v>841.56</v>
      </c>
      <c r="M31" s="124">
        <f t="shared" si="13"/>
        <v>767.28</v>
      </c>
      <c r="N31" s="124">
        <f t="shared" si="14"/>
        <v>9900</v>
      </c>
      <c r="O31" s="67">
        <f t="shared" si="15"/>
        <v>12533.84</v>
      </c>
    </row>
    <row r="32" spans="1:15" x14ac:dyDescent="0.2">
      <c r="A32" s="66">
        <v>9</v>
      </c>
      <c r="B32" s="40" t="s">
        <v>327</v>
      </c>
      <c r="C32" s="121">
        <v>310</v>
      </c>
      <c r="D32" s="149">
        <v>90</v>
      </c>
      <c r="E32" s="121">
        <f>SUM(C32:D32)</f>
        <v>400</v>
      </c>
      <c r="F32" s="105">
        <v>200</v>
      </c>
      <c r="G32" s="105">
        <f t="shared" si="0"/>
        <v>310</v>
      </c>
      <c r="H32" s="122">
        <f>+E32*7.5%</f>
        <v>30</v>
      </c>
      <c r="I32" s="122">
        <f>+E32*1%</f>
        <v>4</v>
      </c>
      <c r="J32" s="122">
        <f t="shared" si="12"/>
        <v>34</v>
      </c>
      <c r="K32" s="123">
        <f>+E32*7.75%</f>
        <v>31</v>
      </c>
      <c r="L32" s="124">
        <f t="shared" si="13"/>
        <v>408</v>
      </c>
      <c r="M32" s="124">
        <f t="shared" si="13"/>
        <v>372</v>
      </c>
      <c r="N32" s="124">
        <f t="shared" si="14"/>
        <v>3720</v>
      </c>
      <c r="O32" s="67">
        <f t="shared" si="15"/>
        <v>5010</v>
      </c>
    </row>
    <row r="33" spans="1:15" x14ac:dyDescent="0.2">
      <c r="A33" s="66">
        <v>10</v>
      </c>
      <c r="B33" s="40" t="s">
        <v>327</v>
      </c>
      <c r="C33" s="121">
        <v>770</v>
      </c>
      <c r="D33" s="121"/>
      <c r="E33" s="121"/>
      <c r="F33" s="105">
        <v>200</v>
      </c>
      <c r="G33" s="105">
        <f t="shared" si="0"/>
        <v>770</v>
      </c>
      <c r="H33" s="122">
        <v>57.75</v>
      </c>
      <c r="I33" s="122">
        <v>7.7</v>
      </c>
      <c r="J33" s="122">
        <f t="shared" si="12"/>
        <v>65.45</v>
      </c>
      <c r="K33" s="123">
        <v>59.68</v>
      </c>
      <c r="L33" s="124">
        <f t="shared" si="13"/>
        <v>785.40000000000009</v>
      </c>
      <c r="M33" s="124">
        <f t="shared" si="13"/>
        <v>716.16</v>
      </c>
      <c r="N33" s="124">
        <f t="shared" si="14"/>
        <v>9240</v>
      </c>
      <c r="O33" s="67">
        <f t="shared" si="15"/>
        <v>11711.56</v>
      </c>
    </row>
    <row r="34" spans="1:15" x14ac:dyDescent="0.2">
      <c r="A34" s="66">
        <v>11</v>
      </c>
      <c r="B34" s="40" t="s">
        <v>327</v>
      </c>
      <c r="C34" s="121">
        <v>400</v>
      </c>
      <c r="D34" s="121"/>
      <c r="E34" s="121"/>
      <c r="F34" s="105">
        <v>200</v>
      </c>
      <c r="G34" s="105">
        <f t="shared" si="0"/>
        <v>400</v>
      </c>
      <c r="H34" s="122">
        <v>30</v>
      </c>
      <c r="I34" s="122">
        <v>4</v>
      </c>
      <c r="J34" s="122">
        <f t="shared" si="12"/>
        <v>34</v>
      </c>
      <c r="K34" s="123">
        <v>31</v>
      </c>
      <c r="L34" s="124">
        <f t="shared" si="13"/>
        <v>408</v>
      </c>
      <c r="M34" s="124">
        <f t="shared" si="13"/>
        <v>372</v>
      </c>
      <c r="N34" s="124">
        <f t="shared" si="14"/>
        <v>4800</v>
      </c>
      <c r="O34" s="67">
        <f t="shared" si="15"/>
        <v>6180</v>
      </c>
    </row>
    <row r="35" spans="1:15" x14ac:dyDescent="0.2">
      <c r="A35" s="66">
        <v>12</v>
      </c>
      <c r="B35" s="40" t="s">
        <v>327</v>
      </c>
      <c r="C35" s="121">
        <v>400</v>
      </c>
      <c r="D35" s="121"/>
      <c r="E35" s="121"/>
      <c r="F35" s="105">
        <v>200</v>
      </c>
      <c r="G35" s="105">
        <f t="shared" si="0"/>
        <v>400</v>
      </c>
      <c r="H35" s="122">
        <v>30</v>
      </c>
      <c r="I35" s="122">
        <v>4</v>
      </c>
      <c r="J35" s="122">
        <f t="shared" si="12"/>
        <v>34</v>
      </c>
      <c r="K35" s="123">
        <v>31</v>
      </c>
      <c r="L35" s="124">
        <f t="shared" si="13"/>
        <v>408</v>
      </c>
      <c r="M35" s="124">
        <f t="shared" si="13"/>
        <v>372</v>
      </c>
      <c r="N35" s="124">
        <f t="shared" si="14"/>
        <v>4800</v>
      </c>
      <c r="O35" s="67">
        <f t="shared" si="15"/>
        <v>6180</v>
      </c>
    </row>
    <row r="36" spans="1:15" x14ac:dyDescent="0.2">
      <c r="A36" s="66">
        <v>13</v>
      </c>
      <c r="B36" s="40" t="s">
        <v>327</v>
      </c>
      <c r="C36" s="121">
        <v>500</v>
      </c>
      <c r="D36" s="121"/>
      <c r="E36" s="121"/>
      <c r="F36" s="105">
        <v>200</v>
      </c>
      <c r="G36" s="105">
        <f t="shared" si="0"/>
        <v>500</v>
      </c>
      <c r="H36" s="122">
        <v>37.5</v>
      </c>
      <c r="I36" s="122">
        <v>5</v>
      </c>
      <c r="J36" s="122">
        <f t="shared" si="12"/>
        <v>42.5</v>
      </c>
      <c r="K36" s="123">
        <v>38.75</v>
      </c>
      <c r="L36" s="124">
        <f t="shared" si="13"/>
        <v>510</v>
      </c>
      <c r="M36" s="124">
        <f t="shared" si="13"/>
        <v>465</v>
      </c>
      <c r="N36" s="124">
        <f t="shared" si="14"/>
        <v>6000</v>
      </c>
      <c r="O36" s="67">
        <f t="shared" si="15"/>
        <v>7675</v>
      </c>
    </row>
    <row r="37" spans="1:15" x14ac:dyDescent="0.2">
      <c r="A37" s="66">
        <v>14</v>
      </c>
      <c r="B37" s="40" t="s">
        <v>327</v>
      </c>
      <c r="C37" s="121">
        <v>1034</v>
      </c>
      <c r="D37" s="121"/>
      <c r="E37" s="121"/>
      <c r="F37" s="105">
        <v>200</v>
      </c>
      <c r="G37" s="105">
        <f t="shared" si="0"/>
        <v>1034</v>
      </c>
      <c r="H37" s="122">
        <v>75</v>
      </c>
      <c r="I37" s="122">
        <v>10.34</v>
      </c>
      <c r="J37" s="122">
        <f t="shared" si="12"/>
        <v>85.34</v>
      </c>
      <c r="K37" s="123">
        <v>77.5</v>
      </c>
      <c r="L37" s="124">
        <f t="shared" si="13"/>
        <v>1024.08</v>
      </c>
      <c r="M37" s="124">
        <f t="shared" si="13"/>
        <v>930</v>
      </c>
      <c r="N37" s="124">
        <f t="shared" si="14"/>
        <v>12408</v>
      </c>
      <c r="O37" s="67">
        <f t="shared" si="15"/>
        <v>15596.08</v>
      </c>
    </row>
    <row r="38" spans="1:15" x14ac:dyDescent="0.2">
      <c r="A38" s="66">
        <v>15</v>
      </c>
      <c r="B38" s="40" t="s">
        <v>327</v>
      </c>
      <c r="C38" s="121">
        <v>310</v>
      </c>
      <c r="D38" s="149">
        <v>65</v>
      </c>
      <c r="E38" s="121">
        <f>SUM(C38:D38)</f>
        <v>375</v>
      </c>
      <c r="F38" s="105">
        <v>200</v>
      </c>
      <c r="G38" s="105">
        <f t="shared" si="0"/>
        <v>310</v>
      </c>
      <c r="H38" s="122">
        <f>+E38*7.5%</f>
        <v>28.125</v>
      </c>
      <c r="I38" s="122">
        <f>+E38*1%</f>
        <v>3.75</v>
      </c>
      <c r="J38" s="151">
        <f t="shared" si="12"/>
        <v>31.875</v>
      </c>
      <c r="K38" s="123">
        <f>+E38*7.75%</f>
        <v>29.0625</v>
      </c>
      <c r="L38" s="124">
        <f t="shared" si="13"/>
        <v>382.5</v>
      </c>
      <c r="M38" s="124">
        <f t="shared" si="13"/>
        <v>348.75</v>
      </c>
      <c r="N38" s="124">
        <f t="shared" si="14"/>
        <v>3720</v>
      </c>
      <c r="O38" s="67">
        <f t="shared" si="15"/>
        <v>4961.25</v>
      </c>
    </row>
    <row r="39" spans="1:15" x14ac:dyDescent="0.2">
      <c r="A39" s="125"/>
      <c r="B39" s="126"/>
      <c r="C39" s="127">
        <f>SUM(C30:C38)</f>
        <v>5549</v>
      </c>
      <c r="D39" s="127">
        <f>SUM(D30:D38)</f>
        <v>155</v>
      </c>
      <c r="E39" s="127">
        <f>SUM(E30:E38)</f>
        <v>775</v>
      </c>
      <c r="F39" s="127">
        <f t="shared" ref="F39:O39" si="16">SUM(F30:F38)</f>
        <v>1800</v>
      </c>
      <c r="G39" s="127">
        <f t="shared" si="16"/>
        <v>5549</v>
      </c>
      <c r="H39" s="127">
        <f t="shared" si="16"/>
        <v>425.255</v>
      </c>
      <c r="I39" s="127">
        <f t="shared" si="16"/>
        <v>57.040000000000006</v>
      </c>
      <c r="J39" s="127">
        <f t="shared" si="16"/>
        <v>482.29499999999996</v>
      </c>
      <c r="K39" s="127">
        <f t="shared" si="16"/>
        <v>439.4325</v>
      </c>
      <c r="L39" s="127">
        <f t="shared" si="16"/>
        <v>5787.54</v>
      </c>
      <c r="M39" s="127">
        <f t="shared" si="16"/>
        <v>5273.19</v>
      </c>
      <c r="N39" s="127">
        <f t="shared" si="16"/>
        <v>66588</v>
      </c>
      <c r="O39" s="127">
        <f t="shared" si="16"/>
        <v>84997.73</v>
      </c>
    </row>
    <row r="40" spans="1:15" x14ac:dyDescent="0.2">
      <c r="A40" s="66"/>
      <c r="B40" s="40"/>
      <c r="C40" s="121"/>
      <c r="D40" s="121"/>
      <c r="E40" s="121"/>
      <c r="F40" s="105"/>
      <c r="G40" s="105"/>
      <c r="H40" s="122"/>
      <c r="I40" s="122"/>
      <c r="J40" s="122"/>
      <c r="K40" s="123"/>
      <c r="L40" s="124"/>
      <c r="M40" s="124"/>
      <c r="N40" s="124"/>
      <c r="O40" s="67"/>
    </row>
    <row r="41" spans="1:15" x14ac:dyDescent="0.2">
      <c r="A41" s="66">
        <v>16</v>
      </c>
      <c r="B41" s="108" t="s">
        <v>195</v>
      </c>
      <c r="C41" s="121">
        <v>825</v>
      </c>
      <c r="D41" s="121"/>
      <c r="E41" s="121"/>
      <c r="F41" s="105">
        <v>200</v>
      </c>
      <c r="G41" s="105">
        <f t="shared" si="0"/>
        <v>825</v>
      </c>
      <c r="H41" s="122">
        <v>61.88</v>
      </c>
      <c r="I41" s="122">
        <v>8.25</v>
      </c>
      <c r="J41" s="122">
        <f t="shared" ref="J41:J84" si="17">SUM(H41:I41)</f>
        <v>70.13</v>
      </c>
      <c r="K41" s="123">
        <v>63.94</v>
      </c>
      <c r="L41" s="124">
        <f t="shared" ref="L41:M84" si="18">+J41*12</f>
        <v>841.56</v>
      </c>
      <c r="M41" s="124">
        <f t="shared" si="18"/>
        <v>767.28</v>
      </c>
      <c r="N41" s="124">
        <f t="shared" ref="N41:N84" si="19">+C41*12</f>
        <v>9900</v>
      </c>
      <c r="O41" s="67">
        <f t="shared" ref="O41:O84" si="20">+F41+G41+L41+M41+N41</f>
        <v>12533.84</v>
      </c>
    </row>
    <row r="42" spans="1:15" x14ac:dyDescent="0.2">
      <c r="A42" s="66">
        <v>17</v>
      </c>
      <c r="B42" s="40" t="s">
        <v>195</v>
      </c>
      <c r="C42" s="121">
        <v>687.5</v>
      </c>
      <c r="D42" s="121"/>
      <c r="E42" s="121"/>
      <c r="F42" s="105">
        <v>200</v>
      </c>
      <c r="G42" s="105">
        <f t="shared" si="0"/>
        <v>687.5</v>
      </c>
      <c r="H42" s="122">
        <v>51.56</v>
      </c>
      <c r="I42" s="122">
        <v>6.88</v>
      </c>
      <c r="J42" s="122">
        <f t="shared" si="17"/>
        <v>58.440000000000005</v>
      </c>
      <c r="K42" s="123">
        <v>53.28</v>
      </c>
      <c r="L42" s="124">
        <f t="shared" si="18"/>
        <v>701.28000000000009</v>
      </c>
      <c r="M42" s="124">
        <f t="shared" si="18"/>
        <v>639.36</v>
      </c>
      <c r="N42" s="124">
        <f t="shared" si="19"/>
        <v>8250</v>
      </c>
      <c r="O42" s="67">
        <f t="shared" si="20"/>
        <v>10478.14</v>
      </c>
    </row>
    <row r="43" spans="1:15" x14ac:dyDescent="0.2">
      <c r="A43" s="66">
        <v>18</v>
      </c>
      <c r="B43" s="40" t="s">
        <v>195</v>
      </c>
      <c r="C43" s="121">
        <v>385</v>
      </c>
      <c r="D43" s="149">
        <v>15</v>
      </c>
      <c r="E43" s="121">
        <f>SUM(C43:D43)</f>
        <v>400</v>
      </c>
      <c r="F43" s="105">
        <v>200</v>
      </c>
      <c r="G43" s="105">
        <f t="shared" si="0"/>
        <v>385</v>
      </c>
      <c r="H43" s="122">
        <f>+E43*7.5%</f>
        <v>30</v>
      </c>
      <c r="I43" s="122">
        <f>+E43*1%</f>
        <v>4</v>
      </c>
      <c r="J43" s="151">
        <f t="shared" si="17"/>
        <v>34</v>
      </c>
      <c r="K43" s="123">
        <f>+E43*7.75%</f>
        <v>31</v>
      </c>
      <c r="L43" s="124">
        <f t="shared" si="18"/>
        <v>408</v>
      </c>
      <c r="M43" s="124">
        <f t="shared" si="18"/>
        <v>372</v>
      </c>
      <c r="N43" s="124">
        <f t="shared" si="19"/>
        <v>4620</v>
      </c>
      <c r="O43" s="67">
        <f t="shared" si="20"/>
        <v>5985</v>
      </c>
    </row>
    <row r="44" spans="1:15" x14ac:dyDescent="0.2">
      <c r="A44" s="66">
        <v>19</v>
      </c>
      <c r="B44" s="40" t="s">
        <v>195</v>
      </c>
      <c r="C44" s="121">
        <v>310</v>
      </c>
      <c r="D44" s="149">
        <v>90</v>
      </c>
      <c r="E44" s="121">
        <f>SUM(C44:D44)</f>
        <v>400</v>
      </c>
      <c r="F44" s="105">
        <v>200</v>
      </c>
      <c r="G44" s="105">
        <f t="shared" si="0"/>
        <v>310</v>
      </c>
      <c r="H44" s="122">
        <f>+E44*7.5%</f>
        <v>30</v>
      </c>
      <c r="I44" s="122">
        <f>+E44*1%</f>
        <v>4</v>
      </c>
      <c r="J44" s="151">
        <f t="shared" si="17"/>
        <v>34</v>
      </c>
      <c r="K44" s="123">
        <f>+E44*7.75%</f>
        <v>31</v>
      </c>
      <c r="L44" s="124">
        <f t="shared" si="18"/>
        <v>408</v>
      </c>
      <c r="M44" s="124">
        <f t="shared" si="18"/>
        <v>372</v>
      </c>
      <c r="N44" s="124">
        <f t="shared" si="19"/>
        <v>3720</v>
      </c>
      <c r="O44" s="67">
        <f t="shared" si="20"/>
        <v>5010</v>
      </c>
    </row>
    <row r="45" spans="1:15" x14ac:dyDescent="0.2">
      <c r="A45" s="66">
        <v>20</v>
      </c>
      <c r="B45" s="40" t="s">
        <v>195</v>
      </c>
      <c r="C45" s="121">
        <v>385</v>
      </c>
      <c r="D45" s="149">
        <v>15</v>
      </c>
      <c r="E45" s="121">
        <f>SUM(C45:D45)</f>
        <v>400</v>
      </c>
      <c r="F45" s="105">
        <v>200</v>
      </c>
      <c r="G45" s="105">
        <f t="shared" si="0"/>
        <v>385</v>
      </c>
      <c r="H45" s="122">
        <f>+E45*7.5%</f>
        <v>30</v>
      </c>
      <c r="I45" s="122">
        <f>+E45*1%</f>
        <v>4</v>
      </c>
      <c r="J45" s="151">
        <f t="shared" si="17"/>
        <v>34</v>
      </c>
      <c r="K45" s="123">
        <f>+E45*7.75%</f>
        <v>31</v>
      </c>
      <c r="L45" s="124">
        <f t="shared" si="18"/>
        <v>408</v>
      </c>
      <c r="M45" s="124">
        <f t="shared" si="18"/>
        <v>372</v>
      </c>
      <c r="N45" s="124">
        <f t="shared" si="19"/>
        <v>4620</v>
      </c>
      <c r="O45" s="67">
        <f t="shared" si="20"/>
        <v>5985</v>
      </c>
    </row>
    <row r="46" spans="1:15" x14ac:dyDescent="0.2">
      <c r="A46" s="66">
        <v>21</v>
      </c>
      <c r="B46" s="40" t="s">
        <v>195</v>
      </c>
      <c r="C46" s="121">
        <v>449.19</v>
      </c>
      <c r="D46" s="121"/>
      <c r="E46" s="121"/>
      <c r="F46" s="105">
        <v>200</v>
      </c>
      <c r="G46" s="105">
        <f t="shared" si="0"/>
        <v>449.19</v>
      </c>
      <c r="H46" s="122">
        <v>33.69</v>
      </c>
      <c r="I46" s="122">
        <v>4.49</v>
      </c>
      <c r="J46" s="122">
        <f t="shared" si="17"/>
        <v>38.18</v>
      </c>
      <c r="K46" s="123">
        <v>34.81</v>
      </c>
      <c r="L46" s="124">
        <f t="shared" si="18"/>
        <v>458.15999999999997</v>
      </c>
      <c r="M46" s="124">
        <f t="shared" si="18"/>
        <v>417.72</v>
      </c>
      <c r="N46" s="124">
        <f t="shared" si="19"/>
        <v>5390.28</v>
      </c>
      <c r="O46" s="67">
        <f t="shared" si="20"/>
        <v>6915.3499999999995</v>
      </c>
    </row>
    <row r="47" spans="1:15" x14ac:dyDescent="0.2">
      <c r="A47" s="66">
        <v>22</v>
      </c>
      <c r="B47" s="40" t="s">
        <v>195</v>
      </c>
      <c r="C47" s="121">
        <v>936</v>
      </c>
      <c r="D47" s="121"/>
      <c r="E47" s="121"/>
      <c r="F47" s="105">
        <v>200</v>
      </c>
      <c r="G47" s="105">
        <f t="shared" si="0"/>
        <v>936</v>
      </c>
      <c r="H47" s="122">
        <v>70.2</v>
      </c>
      <c r="I47" s="122">
        <v>9.36</v>
      </c>
      <c r="J47" s="122">
        <f t="shared" si="17"/>
        <v>79.56</v>
      </c>
      <c r="K47" s="123">
        <v>72.540000000000006</v>
      </c>
      <c r="L47" s="124">
        <f t="shared" si="18"/>
        <v>954.72</v>
      </c>
      <c r="M47" s="124">
        <f t="shared" si="18"/>
        <v>870.48</v>
      </c>
      <c r="N47" s="124">
        <f t="shared" si="19"/>
        <v>11232</v>
      </c>
      <c r="O47" s="67">
        <f t="shared" si="20"/>
        <v>14193.2</v>
      </c>
    </row>
    <row r="48" spans="1:15" x14ac:dyDescent="0.2">
      <c r="A48" s="66">
        <v>23</v>
      </c>
      <c r="B48" s="40" t="s">
        <v>195</v>
      </c>
      <c r="C48" s="121">
        <v>343.98</v>
      </c>
      <c r="D48" s="149">
        <v>56.02</v>
      </c>
      <c r="E48" s="121">
        <f>SUM(C48:D48)</f>
        <v>400</v>
      </c>
      <c r="F48" s="105">
        <v>200</v>
      </c>
      <c r="G48" s="105">
        <f t="shared" si="0"/>
        <v>343.98</v>
      </c>
      <c r="H48" s="122">
        <f>+E48*7.5%</f>
        <v>30</v>
      </c>
      <c r="I48" s="122">
        <f>+E48*1%</f>
        <v>4</v>
      </c>
      <c r="J48" s="122">
        <f t="shared" si="17"/>
        <v>34</v>
      </c>
      <c r="K48" s="123">
        <f>+E48*7.75%</f>
        <v>31</v>
      </c>
      <c r="L48" s="124">
        <f t="shared" si="18"/>
        <v>408</v>
      </c>
      <c r="M48" s="124">
        <f t="shared" si="18"/>
        <v>372</v>
      </c>
      <c r="N48" s="124">
        <f t="shared" si="19"/>
        <v>4127.76</v>
      </c>
      <c r="O48" s="67">
        <f t="shared" si="20"/>
        <v>5451.74</v>
      </c>
    </row>
    <row r="49" spans="1:15" x14ac:dyDescent="0.2">
      <c r="A49" s="66">
        <v>24</v>
      </c>
      <c r="B49" s="40" t="s">
        <v>195</v>
      </c>
      <c r="C49" s="121">
        <v>417.1</v>
      </c>
      <c r="D49" s="121"/>
      <c r="E49" s="121"/>
      <c r="F49" s="105">
        <v>200</v>
      </c>
      <c r="G49" s="105">
        <f t="shared" si="0"/>
        <v>417.1</v>
      </c>
      <c r="H49" s="122">
        <v>31.28</v>
      </c>
      <c r="I49" s="122">
        <v>4.17</v>
      </c>
      <c r="J49" s="122">
        <f t="shared" si="17"/>
        <v>35.450000000000003</v>
      </c>
      <c r="K49" s="123">
        <v>32.33</v>
      </c>
      <c r="L49" s="124">
        <f t="shared" si="18"/>
        <v>425.40000000000003</v>
      </c>
      <c r="M49" s="124">
        <f t="shared" si="18"/>
        <v>387.96</v>
      </c>
      <c r="N49" s="124">
        <f t="shared" si="19"/>
        <v>5005.2000000000007</v>
      </c>
      <c r="O49" s="67">
        <f t="shared" si="20"/>
        <v>6435.6600000000008</v>
      </c>
    </row>
    <row r="50" spans="1:15" x14ac:dyDescent="0.2">
      <c r="A50" s="66">
        <v>25</v>
      </c>
      <c r="B50" s="40" t="s">
        <v>195</v>
      </c>
      <c r="C50" s="121">
        <v>687.5</v>
      </c>
      <c r="D50" s="121"/>
      <c r="E50" s="121"/>
      <c r="F50" s="105">
        <v>200</v>
      </c>
      <c r="G50" s="105">
        <f t="shared" si="0"/>
        <v>687.5</v>
      </c>
      <c r="H50" s="122">
        <v>51.56</v>
      </c>
      <c r="I50" s="122">
        <v>6.88</v>
      </c>
      <c r="J50" s="122">
        <f t="shared" si="17"/>
        <v>58.440000000000005</v>
      </c>
      <c r="K50" s="123">
        <v>53.28</v>
      </c>
      <c r="L50" s="124">
        <f t="shared" si="18"/>
        <v>701.28000000000009</v>
      </c>
      <c r="M50" s="124">
        <f t="shared" si="18"/>
        <v>639.36</v>
      </c>
      <c r="N50" s="124">
        <f t="shared" si="19"/>
        <v>8250</v>
      </c>
      <c r="O50" s="67">
        <f t="shared" si="20"/>
        <v>10478.14</v>
      </c>
    </row>
    <row r="51" spans="1:15" x14ac:dyDescent="0.2">
      <c r="A51" s="66">
        <v>26</v>
      </c>
      <c r="B51" s="40" t="s">
        <v>195</v>
      </c>
      <c r="C51" s="121">
        <v>333.33</v>
      </c>
      <c r="D51" s="149">
        <v>66.67</v>
      </c>
      <c r="E51" s="121">
        <f>SUM(C51:D51)</f>
        <v>400</v>
      </c>
      <c r="F51" s="105">
        <v>200</v>
      </c>
      <c r="G51" s="105">
        <f t="shared" si="0"/>
        <v>333.33</v>
      </c>
      <c r="H51" s="122">
        <f>+E51*7.5%</f>
        <v>30</v>
      </c>
      <c r="I51" s="122">
        <f>+E51*1%</f>
        <v>4</v>
      </c>
      <c r="J51" s="122">
        <f t="shared" si="17"/>
        <v>34</v>
      </c>
      <c r="K51" s="123">
        <f>+E51*7.75%</f>
        <v>31</v>
      </c>
      <c r="L51" s="124">
        <f t="shared" si="18"/>
        <v>408</v>
      </c>
      <c r="M51" s="124">
        <f t="shared" si="18"/>
        <v>372</v>
      </c>
      <c r="N51" s="124">
        <f t="shared" si="19"/>
        <v>3999.96</v>
      </c>
      <c r="O51" s="67">
        <f t="shared" si="20"/>
        <v>5313.29</v>
      </c>
    </row>
    <row r="52" spans="1:15" x14ac:dyDescent="0.2">
      <c r="A52" s="66">
        <v>27</v>
      </c>
      <c r="B52" s="40" t="s">
        <v>195</v>
      </c>
      <c r="C52" s="121">
        <v>483.62</v>
      </c>
      <c r="D52" s="121"/>
      <c r="E52" s="121"/>
      <c r="F52" s="105">
        <v>200</v>
      </c>
      <c r="G52" s="105">
        <f t="shared" si="0"/>
        <v>483.62</v>
      </c>
      <c r="H52" s="122">
        <v>36.270000000000003</v>
      </c>
      <c r="I52" s="122">
        <v>4.84</v>
      </c>
      <c r="J52" s="122">
        <f t="shared" si="17"/>
        <v>41.11</v>
      </c>
      <c r="K52" s="123">
        <v>37.479999999999997</v>
      </c>
      <c r="L52" s="124">
        <f t="shared" si="18"/>
        <v>493.32</v>
      </c>
      <c r="M52" s="124">
        <f t="shared" si="18"/>
        <v>449.76</v>
      </c>
      <c r="N52" s="124">
        <f t="shared" si="19"/>
        <v>5803.4400000000005</v>
      </c>
      <c r="O52" s="67">
        <f t="shared" si="20"/>
        <v>7430.14</v>
      </c>
    </row>
    <row r="53" spans="1:15" x14ac:dyDescent="0.2">
      <c r="A53" s="66">
        <v>28</v>
      </c>
      <c r="B53" s="40" t="s">
        <v>195</v>
      </c>
      <c r="C53" s="121">
        <v>330</v>
      </c>
      <c r="D53" s="149">
        <v>30</v>
      </c>
      <c r="E53" s="121">
        <f>SUM(C53:D53)</f>
        <v>360</v>
      </c>
      <c r="F53" s="105">
        <v>200</v>
      </c>
      <c r="G53" s="105">
        <f t="shared" si="0"/>
        <v>330</v>
      </c>
      <c r="H53" s="122">
        <f>+E53*7.5%</f>
        <v>27</v>
      </c>
      <c r="I53" s="122">
        <f>+E53*1%</f>
        <v>3.6</v>
      </c>
      <c r="J53" s="122">
        <f t="shared" si="17"/>
        <v>30.6</v>
      </c>
      <c r="K53" s="123">
        <f>+E53*7.75%</f>
        <v>27.9</v>
      </c>
      <c r="L53" s="124">
        <f t="shared" si="18"/>
        <v>367.20000000000005</v>
      </c>
      <c r="M53" s="124">
        <f t="shared" si="18"/>
        <v>334.79999999999995</v>
      </c>
      <c r="N53" s="124">
        <f t="shared" si="19"/>
        <v>3960</v>
      </c>
      <c r="O53" s="67">
        <f t="shared" si="20"/>
        <v>5192</v>
      </c>
    </row>
    <row r="54" spans="1:15" x14ac:dyDescent="0.2">
      <c r="A54" s="66">
        <v>29</v>
      </c>
      <c r="B54" s="40" t="s">
        <v>195</v>
      </c>
      <c r="C54" s="121">
        <v>700</v>
      </c>
      <c r="D54" s="121"/>
      <c r="E54" s="121"/>
      <c r="F54" s="105">
        <v>200</v>
      </c>
      <c r="G54" s="105">
        <f t="shared" si="0"/>
        <v>700</v>
      </c>
      <c r="H54" s="122">
        <v>52.5</v>
      </c>
      <c r="I54" s="122">
        <v>7</v>
      </c>
      <c r="J54" s="122">
        <f t="shared" si="17"/>
        <v>59.5</v>
      </c>
      <c r="K54" s="123">
        <v>54.25</v>
      </c>
      <c r="L54" s="124">
        <f t="shared" si="18"/>
        <v>714</v>
      </c>
      <c r="M54" s="124">
        <f t="shared" si="18"/>
        <v>651</v>
      </c>
      <c r="N54" s="124">
        <f t="shared" si="19"/>
        <v>8400</v>
      </c>
      <c r="O54" s="67">
        <f t="shared" si="20"/>
        <v>10665</v>
      </c>
    </row>
    <row r="55" spans="1:15" x14ac:dyDescent="0.2">
      <c r="A55" s="66">
        <v>30</v>
      </c>
      <c r="B55" s="40" t="s">
        <v>195</v>
      </c>
      <c r="C55" s="121">
        <v>550</v>
      </c>
      <c r="D55" s="121"/>
      <c r="E55" s="121"/>
      <c r="F55" s="105">
        <v>200</v>
      </c>
      <c r="G55" s="105">
        <f t="shared" si="0"/>
        <v>550</v>
      </c>
      <c r="H55" s="122">
        <v>41.25</v>
      </c>
      <c r="I55" s="122">
        <v>5.5</v>
      </c>
      <c r="J55" s="122">
        <f t="shared" si="17"/>
        <v>46.75</v>
      </c>
      <c r="K55" s="123">
        <v>42.63</v>
      </c>
      <c r="L55" s="124">
        <f t="shared" si="18"/>
        <v>561</v>
      </c>
      <c r="M55" s="124">
        <f t="shared" si="18"/>
        <v>511.56000000000006</v>
      </c>
      <c r="N55" s="124">
        <f t="shared" si="19"/>
        <v>6600</v>
      </c>
      <c r="O55" s="67">
        <f t="shared" si="20"/>
        <v>8422.56</v>
      </c>
    </row>
    <row r="56" spans="1:15" x14ac:dyDescent="0.2">
      <c r="A56" s="66">
        <v>31</v>
      </c>
      <c r="B56" s="40" t="s">
        <v>195</v>
      </c>
      <c r="C56" s="121">
        <v>594</v>
      </c>
      <c r="D56" s="121"/>
      <c r="E56" s="121"/>
      <c r="F56" s="105">
        <v>200</v>
      </c>
      <c r="G56" s="105">
        <f t="shared" si="0"/>
        <v>594</v>
      </c>
      <c r="H56" s="122">
        <v>44.55</v>
      </c>
      <c r="I56" s="122">
        <v>5.94</v>
      </c>
      <c r="J56" s="122">
        <f t="shared" si="17"/>
        <v>50.489999999999995</v>
      </c>
      <c r="K56" s="123">
        <v>46.04</v>
      </c>
      <c r="L56" s="124">
        <f t="shared" si="18"/>
        <v>605.87999999999988</v>
      </c>
      <c r="M56" s="124">
        <f t="shared" si="18"/>
        <v>552.48</v>
      </c>
      <c r="N56" s="124">
        <f t="shared" si="19"/>
        <v>7128</v>
      </c>
      <c r="O56" s="67">
        <f t="shared" si="20"/>
        <v>9080.36</v>
      </c>
    </row>
    <row r="57" spans="1:15" x14ac:dyDescent="0.2">
      <c r="A57" s="66">
        <v>32</v>
      </c>
      <c r="B57" s="40" t="s">
        <v>195</v>
      </c>
      <c r="C57" s="121">
        <v>400</v>
      </c>
      <c r="D57" s="121"/>
      <c r="E57" s="121"/>
      <c r="F57" s="105">
        <v>200</v>
      </c>
      <c r="G57" s="105">
        <f t="shared" si="0"/>
        <v>400</v>
      </c>
      <c r="H57" s="122">
        <v>30</v>
      </c>
      <c r="I57" s="122">
        <v>4</v>
      </c>
      <c r="J57" s="122">
        <f t="shared" si="17"/>
        <v>34</v>
      </c>
      <c r="K57" s="123">
        <v>31</v>
      </c>
      <c r="L57" s="124">
        <f t="shared" si="18"/>
        <v>408</v>
      </c>
      <c r="M57" s="124">
        <f t="shared" si="18"/>
        <v>372</v>
      </c>
      <c r="N57" s="124">
        <f t="shared" si="19"/>
        <v>4800</v>
      </c>
      <c r="O57" s="67">
        <f t="shared" si="20"/>
        <v>6180</v>
      </c>
    </row>
    <row r="58" spans="1:15" x14ac:dyDescent="0.2">
      <c r="A58" s="66">
        <v>33</v>
      </c>
      <c r="B58" s="40" t="s">
        <v>195</v>
      </c>
      <c r="C58" s="121">
        <v>1034</v>
      </c>
      <c r="D58" s="121"/>
      <c r="E58" s="121"/>
      <c r="F58" s="105">
        <v>200</v>
      </c>
      <c r="G58" s="105">
        <f t="shared" si="0"/>
        <v>1034</v>
      </c>
      <c r="H58" s="122">
        <v>75</v>
      </c>
      <c r="I58" s="122">
        <v>10</v>
      </c>
      <c r="J58" s="122">
        <f t="shared" si="17"/>
        <v>85</v>
      </c>
      <c r="K58" s="123">
        <v>77.5</v>
      </c>
      <c r="L58" s="124">
        <f t="shared" si="18"/>
        <v>1020</v>
      </c>
      <c r="M58" s="124">
        <f t="shared" si="18"/>
        <v>930</v>
      </c>
      <c r="N58" s="124">
        <f t="shared" si="19"/>
        <v>12408</v>
      </c>
      <c r="O58" s="67">
        <f t="shared" si="20"/>
        <v>15592</v>
      </c>
    </row>
    <row r="59" spans="1:15" x14ac:dyDescent="0.2">
      <c r="A59" s="66">
        <v>34</v>
      </c>
      <c r="B59" s="40" t="s">
        <v>195</v>
      </c>
      <c r="C59" s="121">
        <v>385</v>
      </c>
      <c r="D59" s="149">
        <v>15</v>
      </c>
      <c r="E59" s="121">
        <f>SUM(C59:D59)</f>
        <v>400</v>
      </c>
      <c r="F59" s="105">
        <v>200</v>
      </c>
      <c r="G59" s="105">
        <f t="shared" si="0"/>
        <v>385</v>
      </c>
      <c r="H59" s="122">
        <f>+E59*7.5%</f>
        <v>30</v>
      </c>
      <c r="I59" s="122">
        <f>+E59*1%</f>
        <v>4</v>
      </c>
      <c r="J59" s="122">
        <f t="shared" si="17"/>
        <v>34</v>
      </c>
      <c r="K59" s="123">
        <f>+E59*7.75%</f>
        <v>31</v>
      </c>
      <c r="L59" s="124">
        <f t="shared" si="18"/>
        <v>408</v>
      </c>
      <c r="M59" s="124">
        <f t="shared" si="18"/>
        <v>372</v>
      </c>
      <c r="N59" s="124">
        <f t="shared" si="19"/>
        <v>4620</v>
      </c>
      <c r="O59" s="67">
        <f t="shared" si="20"/>
        <v>5985</v>
      </c>
    </row>
    <row r="60" spans="1:15" x14ac:dyDescent="0.2">
      <c r="A60" s="66">
        <v>35</v>
      </c>
      <c r="B60" s="40" t="s">
        <v>195</v>
      </c>
      <c r="C60" s="121">
        <v>385</v>
      </c>
      <c r="D60" s="149">
        <v>15</v>
      </c>
      <c r="E60" s="121">
        <f>SUM(C60:D60)</f>
        <v>400</v>
      </c>
      <c r="F60" s="105">
        <v>200</v>
      </c>
      <c r="G60" s="105">
        <f t="shared" si="0"/>
        <v>385</v>
      </c>
      <c r="H60" s="122">
        <f>+E60*7.5%</f>
        <v>30</v>
      </c>
      <c r="I60" s="122">
        <f>+E60*1%</f>
        <v>4</v>
      </c>
      <c r="J60" s="122">
        <f t="shared" si="17"/>
        <v>34</v>
      </c>
      <c r="K60" s="123">
        <f>+E60*7.75%</f>
        <v>31</v>
      </c>
      <c r="L60" s="124">
        <f t="shared" si="18"/>
        <v>408</v>
      </c>
      <c r="M60" s="124">
        <f t="shared" si="18"/>
        <v>372</v>
      </c>
      <c r="N60" s="124">
        <f t="shared" si="19"/>
        <v>4620</v>
      </c>
      <c r="O60" s="67">
        <f t="shared" si="20"/>
        <v>5985</v>
      </c>
    </row>
    <row r="61" spans="1:15" x14ac:dyDescent="0.2">
      <c r="A61" s="66">
        <v>36</v>
      </c>
      <c r="B61" s="40" t="s">
        <v>195</v>
      </c>
      <c r="C61" s="121">
        <v>500</v>
      </c>
      <c r="D61" s="121"/>
      <c r="E61" s="121"/>
      <c r="F61" s="105">
        <v>200</v>
      </c>
      <c r="G61" s="105">
        <f t="shared" si="0"/>
        <v>500</v>
      </c>
      <c r="H61" s="122">
        <v>37.5</v>
      </c>
      <c r="I61" s="122">
        <v>5</v>
      </c>
      <c r="J61" s="122">
        <f t="shared" si="17"/>
        <v>42.5</v>
      </c>
      <c r="K61" s="123">
        <v>38.75</v>
      </c>
      <c r="L61" s="124">
        <f t="shared" si="18"/>
        <v>510</v>
      </c>
      <c r="M61" s="124">
        <f t="shared" si="18"/>
        <v>465</v>
      </c>
      <c r="N61" s="124">
        <f t="shared" si="19"/>
        <v>6000</v>
      </c>
      <c r="O61" s="67">
        <f t="shared" si="20"/>
        <v>7675</v>
      </c>
    </row>
    <row r="62" spans="1:15" x14ac:dyDescent="0.2">
      <c r="A62" s="66">
        <v>37</v>
      </c>
      <c r="B62" s="40" t="s">
        <v>195</v>
      </c>
      <c r="C62" s="121">
        <v>440</v>
      </c>
      <c r="D62" s="121"/>
      <c r="E62" s="121"/>
      <c r="F62" s="105">
        <v>200</v>
      </c>
      <c r="G62" s="105">
        <f t="shared" si="0"/>
        <v>440</v>
      </c>
      <c r="H62" s="122">
        <v>33</v>
      </c>
      <c r="I62" s="122">
        <v>4.4000000000000004</v>
      </c>
      <c r="J62" s="122">
        <f t="shared" si="17"/>
        <v>37.4</v>
      </c>
      <c r="K62" s="123"/>
      <c r="L62" s="124">
        <f t="shared" si="18"/>
        <v>448.79999999999995</v>
      </c>
      <c r="M62" s="124">
        <f t="shared" si="18"/>
        <v>0</v>
      </c>
      <c r="N62" s="124">
        <f t="shared" si="19"/>
        <v>5280</v>
      </c>
      <c r="O62" s="67">
        <f t="shared" si="20"/>
        <v>6368.8</v>
      </c>
    </row>
    <row r="63" spans="1:15" x14ac:dyDescent="0.2">
      <c r="A63" s="66">
        <v>38</v>
      </c>
      <c r="B63" s="40" t="s">
        <v>195</v>
      </c>
      <c r="C63" s="121">
        <v>330</v>
      </c>
      <c r="D63" s="149">
        <v>45</v>
      </c>
      <c r="E63" s="121">
        <f t="shared" ref="E63:E74" si="21">SUM(C63:D63)</f>
        <v>375</v>
      </c>
      <c r="F63" s="105">
        <v>200</v>
      </c>
      <c r="G63" s="105">
        <f t="shared" si="0"/>
        <v>330</v>
      </c>
      <c r="H63" s="122">
        <f t="shared" ref="H63:H74" si="22">+E63*7.5%</f>
        <v>28.125</v>
      </c>
      <c r="I63" s="122">
        <f t="shared" ref="I63:I74" si="23">+E63*1%</f>
        <v>3.75</v>
      </c>
      <c r="J63" s="122">
        <f t="shared" si="17"/>
        <v>31.875</v>
      </c>
      <c r="K63" s="123">
        <v>25.58</v>
      </c>
      <c r="L63" s="124">
        <f t="shared" si="18"/>
        <v>382.5</v>
      </c>
      <c r="M63" s="124">
        <f t="shared" si="18"/>
        <v>306.95999999999998</v>
      </c>
      <c r="N63" s="124">
        <f t="shared" si="19"/>
        <v>3960</v>
      </c>
      <c r="O63" s="67">
        <f t="shared" si="20"/>
        <v>5179.46</v>
      </c>
    </row>
    <row r="64" spans="1:15" x14ac:dyDescent="0.2">
      <c r="A64" s="66">
        <v>39</v>
      </c>
      <c r="B64" s="40" t="s">
        <v>195</v>
      </c>
      <c r="C64" s="121">
        <v>330</v>
      </c>
      <c r="D64" s="149">
        <v>45</v>
      </c>
      <c r="E64" s="121">
        <f t="shared" si="21"/>
        <v>375</v>
      </c>
      <c r="F64" s="105">
        <v>200</v>
      </c>
      <c r="G64" s="105">
        <f t="shared" si="0"/>
        <v>330</v>
      </c>
      <c r="H64" s="122">
        <f t="shared" si="22"/>
        <v>28.125</v>
      </c>
      <c r="I64" s="122">
        <f t="shared" si="23"/>
        <v>3.75</v>
      </c>
      <c r="J64" s="122">
        <f t="shared" si="17"/>
        <v>31.875</v>
      </c>
      <c r="K64" s="123">
        <f>+E64*7.75%</f>
        <v>29.0625</v>
      </c>
      <c r="L64" s="124">
        <f t="shared" si="18"/>
        <v>382.5</v>
      </c>
      <c r="M64" s="124">
        <f t="shared" si="18"/>
        <v>348.75</v>
      </c>
      <c r="N64" s="124">
        <f t="shared" si="19"/>
        <v>3960</v>
      </c>
      <c r="O64" s="67">
        <f t="shared" si="20"/>
        <v>5221.25</v>
      </c>
    </row>
    <row r="65" spans="1:15" x14ac:dyDescent="0.2">
      <c r="A65" s="66">
        <v>40</v>
      </c>
      <c r="B65" s="40" t="s">
        <v>195</v>
      </c>
      <c r="C65" s="121">
        <v>330</v>
      </c>
      <c r="D65" s="149">
        <v>45</v>
      </c>
      <c r="E65" s="121">
        <f t="shared" si="21"/>
        <v>375</v>
      </c>
      <c r="F65" s="105">
        <v>200</v>
      </c>
      <c r="G65" s="105">
        <f t="shared" si="0"/>
        <v>330</v>
      </c>
      <c r="H65" s="122">
        <f t="shared" si="22"/>
        <v>28.125</v>
      </c>
      <c r="I65" s="122">
        <f t="shared" si="23"/>
        <v>3.75</v>
      </c>
      <c r="J65" s="122">
        <f t="shared" si="17"/>
        <v>31.875</v>
      </c>
      <c r="K65" s="123">
        <f t="shared" ref="K65:K74" si="24">+E65*7.75%</f>
        <v>29.0625</v>
      </c>
      <c r="L65" s="124">
        <f t="shared" si="18"/>
        <v>382.5</v>
      </c>
      <c r="M65" s="124">
        <f t="shared" si="18"/>
        <v>348.75</v>
      </c>
      <c r="N65" s="124">
        <f t="shared" si="19"/>
        <v>3960</v>
      </c>
      <c r="O65" s="67">
        <f t="shared" si="20"/>
        <v>5221.25</v>
      </c>
    </row>
    <row r="66" spans="1:15" x14ac:dyDescent="0.2">
      <c r="A66" s="66">
        <v>41</v>
      </c>
      <c r="B66" s="40" t="s">
        <v>195</v>
      </c>
      <c r="C66" s="121">
        <v>330</v>
      </c>
      <c r="D66" s="149">
        <v>45</v>
      </c>
      <c r="E66" s="121">
        <f t="shared" si="21"/>
        <v>375</v>
      </c>
      <c r="F66" s="105">
        <v>200</v>
      </c>
      <c r="G66" s="105">
        <f t="shared" si="0"/>
        <v>330</v>
      </c>
      <c r="H66" s="122">
        <f t="shared" si="22"/>
        <v>28.125</v>
      </c>
      <c r="I66" s="122">
        <f t="shared" si="23"/>
        <v>3.75</v>
      </c>
      <c r="J66" s="122">
        <f t="shared" si="17"/>
        <v>31.875</v>
      </c>
      <c r="K66" s="123">
        <f t="shared" si="24"/>
        <v>29.0625</v>
      </c>
      <c r="L66" s="124">
        <f t="shared" si="18"/>
        <v>382.5</v>
      </c>
      <c r="M66" s="124">
        <f t="shared" si="18"/>
        <v>348.75</v>
      </c>
      <c r="N66" s="124">
        <f t="shared" si="19"/>
        <v>3960</v>
      </c>
      <c r="O66" s="67">
        <f t="shared" si="20"/>
        <v>5221.25</v>
      </c>
    </row>
    <row r="67" spans="1:15" x14ac:dyDescent="0.2">
      <c r="A67" s="66">
        <v>42</v>
      </c>
      <c r="B67" s="40" t="s">
        <v>195</v>
      </c>
      <c r="C67" s="121">
        <v>330</v>
      </c>
      <c r="D67" s="149">
        <v>45</v>
      </c>
      <c r="E67" s="121">
        <f t="shared" si="21"/>
        <v>375</v>
      </c>
      <c r="F67" s="105">
        <v>200</v>
      </c>
      <c r="G67" s="105">
        <f t="shared" si="0"/>
        <v>330</v>
      </c>
      <c r="H67" s="122">
        <f t="shared" si="22"/>
        <v>28.125</v>
      </c>
      <c r="I67" s="122">
        <f t="shared" si="23"/>
        <v>3.75</v>
      </c>
      <c r="J67" s="122">
        <f t="shared" si="17"/>
        <v>31.875</v>
      </c>
      <c r="K67" s="123">
        <f t="shared" si="24"/>
        <v>29.0625</v>
      </c>
      <c r="L67" s="124">
        <f t="shared" si="18"/>
        <v>382.5</v>
      </c>
      <c r="M67" s="124">
        <f t="shared" si="18"/>
        <v>348.75</v>
      </c>
      <c r="N67" s="124">
        <f t="shared" si="19"/>
        <v>3960</v>
      </c>
      <c r="O67" s="67">
        <f t="shared" si="20"/>
        <v>5221.25</v>
      </c>
    </row>
    <row r="68" spans="1:15" x14ac:dyDescent="0.2">
      <c r="A68" s="66">
        <v>43</v>
      </c>
      <c r="B68" s="40" t="s">
        <v>195</v>
      </c>
      <c r="C68" s="121">
        <v>350</v>
      </c>
      <c r="D68" s="149">
        <v>70</v>
      </c>
      <c r="E68" s="121">
        <f t="shared" si="21"/>
        <v>420</v>
      </c>
      <c r="F68" s="105">
        <v>200</v>
      </c>
      <c r="G68" s="105">
        <f t="shared" si="0"/>
        <v>350</v>
      </c>
      <c r="H68" s="122">
        <f t="shared" si="22"/>
        <v>31.5</v>
      </c>
      <c r="I68" s="122">
        <f t="shared" si="23"/>
        <v>4.2</v>
      </c>
      <c r="J68" s="122">
        <f t="shared" si="17"/>
        <v>35.700000000000003</v>
      </c>
      <c r="K68" s="123">
        <f t="shared" si="24"/>
        <v>32.549999999999997</v>
      </c>
      <c r="L68" s="124">
        <f t="shared" si="18"/>
        <v>428.40000000000003</v>
      </c>
      <c r="M68" s="124">
        <f t="shared" si="18"/>
        <v>390.59999999999997</v>
      </c>
      <c r="N68" s="124">
        <f t="shared" si="19"/>
        <v>4200</v>
      </c>
      <c r="O68" s="67">
        <f t="shared" si="20"/>
        <v>5569</v>
      </c>
    </row>
    <row r="69" spans="1:15" x14ac:dyDescent="0.2">
      <c r="A69" s="66">
        <v>44</v>
      </c>
      <c r="B69" s="40" t="s">
        <v>195</v>
      </c>
      <c r="C69" s="121">
        <v>310</v>
      </c>
      <c r="D69" s="149">
        <v>40</v>
      </c>
      <c r="E69" s="121">
        <f t="shared" si="21"/>
        <v>350</v>
      </c>
      <c r="F69" s="105">
        <v>200</v>
      </c>
      <c r="G69" s="105">
        <f t="shared" si="0"/>
        <v>310</v>
      </c>
      <c r="H69" s="122">
        <f t="shared" si="22"/>
        <v>26.25</v>
      </c>
      <c r="I69" s="122">
        <f t="shared" si="23"/>
        <v>3.5</v>
      </c>
      <c r="J69" s="122">
        <f t="shared" si="17"/>
        <v>29.75</v>
      </c>
      <c r="K69" s="123">
        <f t="shared" si="24"/>
        <v>27.125</v>
      </c>
      <c r="L69" s="124">
        <f t="shared" si="18"/>
        <v>357</v>
      </c>
      <c r="M69" s="124">
        <f t="shared" si="18"/>
        <v>325.5</v>
      </c>
      <c r="N69" s="124">
        <f t="shared" si="19"/>
        <v>3720</v>
      </c>
      <c r="O69" s="67">
        <f t="shared" si="20"/>
        <v>4912.5</v>
      </c>
    </row>
    <row r="70" spans="1:15" x14ac:dyDescent="0.2">
      <c r="A70" s="66">
        <v>45</v>
      </c>
      <c r="B70" s="40" t="s">
        <v>195</v>
      </c>
      <c r="C70" s="121">
        <v>310</v>
      </c>
      <c r="D70" s="149">
        <v>40</v>
      </c>
      <c r="E70" s="121">
        <f t="shared" si="21"/>
        <v>350</v>
      </c>
      <c r="F70" s="105">
        <v>200</v>
      </c>
      <c r="G70" s="105">
        <f t="shared" si="0"/>
        <v>310</v>
      </c>
      <c r="H70" s="122">
        <f t="shared" si="22"/>
        <v>26.25</v>
      </c>
      <c r="I70" s="122">
        <f t="shared" si="23"/>
        <v>3.5</v>
      </c>
      <c r="J70" s="122">
        <f t="shared" si="17"/>
        <v>29.75</v>
      </c>
      <c r="K70" s="123">
        <f t="shared" si="24"/>
        <v>27.125</v>
      </c>
      <c r="L70" s="124">
        <f t="shared" si="18"/>
        <v>357</v>
      </c>
      <c r="M70" s="124">
        <f t="shared" si="18"/>
        <v>325.5</v>
      </c>
      <c r="N70" s="124">
        <f t="shared" si="19"/>
        <v>3720</v>
      </c>
      <c r="O70" s="67">
        <f t="shared" si="20"/>
        <v>4912.5</v>
      </c>
    </row>
    <row r="71" spans="1:15" x14ac:dyDescent="0.2">
      <c r="A71" s="66">
        <v>46</v>
      </c>
      <c r="B71" s="40" t="s">
        <v>195</v>
      </c>
      <c r="C71" s="121">
        <v>310</v>
      </c>
      <c r="D71" s="149">
        <v>40</v>
      </c>
      <c r="E71" s="121">
        <f t="shared" si="21"/>
        <v>350</v>
      </c>
      <c r="F71" s="105">
        <v>200</v>
      </c>
      <c r="G71" s="105">
        <f t="shared" ref="G71:G84" si="25">+C71</f>
        <v>310</v>
      </c>
      <c r="H71" s="122">
        <f t="shared" si="22"/>
        <v>26.25</v>
      </c>
      <c r="I71" s="122">
        <f t="shared" si="23"/>
        <v>3.5</v>
      </c>
      <c r="J71" s="122">
        <f t="shared" si="17"/>
        <v>29.75</v>
      </c>
      <c r="K71" s="123">
        <f t="shared" si="24"/>
        <v>27.125</v>
      </c>
      <c r="L71" s="124">
        <f t="shared" si="18"/>
        <v>357</v>
      </c>
      <c r="M71" s="124">
        <f t="shared" si="18"/>
        <v>325.5</v>
      </c>
      <c r="N71" s="124">
        <f t="shared" si="19"/>
        <v>3720</v>
      </c>
      <c r="O71" s="67">
        <f t="shared" si="20"/>
        <v>4912.5</v>
      </c>
    </row>
    <row r="72" spans="1:15" x14ac:dyDescent="0.2">
      <c r="A72" s="66">
        <v>47</v>
      </c>
      <c r="B72" s="40" t="s">
        <v>195</v>
      </c>
      <c r="C72" s="121">
        <v>310</v>
      </c>
      <c r="D72" s="149">
        <v>40</v>
      </c>
      <c r="E72" s="121">
        <f t="shared" si="21"/>
        <v>350</v>
      </c>
      <c r="F72" s="105">
        <v>200</v>
      </c>
      <c r="G72" s="105">
        <f t="shared" si="25"/>
        <v>310</v>
      </c>
      <c r="H72" s="122">
        <f t="shared" si="22"/>
        <v>26.25</v>
      </c>
      <c r="I72" s="122">
        <f t="shared" si="23"/>
        <v>3.5</v>
      </c>
      <c r="J72" s="122">
        <f t="shared" si="17"/>
        <v>29.75</v>
      </c>
      <c r="K72" s="123">
        <f t="shared" si="24"/>
        <v>27.125</v>
      </c>
      <c r="L72" s="124">
        <f t="shared" si="18"/>
        <v>357</v>
      </c>
      <c r="M72" s="124">
        <f t="shared" si="18"/>
        <v>325.5</v>
      </c>
      <c r="N72" s="124">
        <f t="shared" si="19"/>
        <v>3720</v>
      </c>
      <c r="O72" s="67">
        <f t="shared" si="20"/>
        <v>4912.5</v>
      </c>
    </row>
    <row r="73" spans="1:15" x14ac:dyDescent="0.2">
      <c r="A73" s="66">
        <v>48</v>
      </c>
      <c r="B73" s="40" t="s">
        <v>195</v>
      </c>
      <c r="C73" s="121">
        <v>310</v>
      </c>
      <c r="D73" s="149">
        <v>40</v>
      </c>
      <c r="E73" s="121">
        <f t="shared" si="21"/>
        <v>350</v>
      </c>
      <c r="F73" s="105">
        <v>200</v>
      </c>
      <c r="G73" s="105">
        <f t="shared" si="25"/>
        <v>310</v>
      </c>
      <c r="H73" s="122">
        <f t="shared" si="22"/>
        <v>26.25</v>
      </c>
      <c r="I73" s="122">
        <f t="shared" si="23"/>
        <v>3.5</v>
      </c>
      <c r="J73" s="122">
        <f t="shared" si="17"/>
        <v>29.75</v>
      </c>
      <c r="K73" s="123">
        <f t="shared" si="24"/>
        <v>27.125</v>
      </c>
      <c r="L73" s="124">
        <f t="shared" si="18"/>
        <v>357</v>
      </c>
      <c r="M73" s="124">
        <f t="shared" si="18"/>
        <v>325.5</v>
      </c>
      <c r="N73" s="124">
        <f t="shared" si="19"/>
        <v>3720</v>
      </c>
      <c r="O73" s="67">
        <f t="shared" si="20"/>
        <v>4912.5</v>
      </c>
    </row>
    <row r="74" spans="1:15" x14ac:dyDescent="0.2">
      <c r="A74" s="66">
        <v>49</v>
      </c>
      <c r="B74" s="40" t="s">
        <v>195</v>
      </c>
      <c r="C74" s="121">
        <v>310</v>
      </c>
      <c r="D74" s="149">
        <v>40</v>
      </c>
      <c r="E74" s="121">
        <f t="shared" si="21"/>
        <v>350</v>
      </c>
      <c r="F74" s="105">
        <v>200</v>
      </c>
      <c r="G74" s="105">
        <f t="shared" si="25"/>
        <v>310</v>
      </c>
      <c r="H74" s="122">
        <f t="shared" si="22"/>
        <v>26.25</v>
      </c>
      <c r="I74" s="122">
        <f t="shared" si="23"/>
        <v>3.5</v>
      </c>
      <c r="J74" s="122">
        <f t="shared" si="17"/>
        <v>29.75</v>
      </c>
      <c r="K74" s="123">
        <f t="shared" si="24"/>
        <v>27.125</v>
      </c>
      <c r="L74" s="124">
        <f t="shared" si="18"/>
        <v>357</v>
      </c>
      <c r="M74" s="124">
        <f t="shared" si="18"/>
        <v>325.5</v>
      </c>
      <c r="N74" s="124">
        <f t="shared" si="19"/>
        <v>3720</v>
      </c>
      <c r="O74" s="67">
        <f t="shared" si="20"/>
        <v>4912.5</v>
      </c>
    </row>
    <row r="75" spans="1:15" x14ac:dyDescent="0.2">
      <c r="A75" s="66">
        <v>50</v>
      </c>
      <c r="B75" s="40" t="s">
        <v>195</v>
      </c>
      <c r="C75" s="121">
        <v>519.16</v>
      </c>
      <c r="D75" s="121"/>
      <c r="E75" s="121"/>
      <c r="F75" s="105">
        <v>200</v>
      </c>
      <c r="G75" s="105">
        <f t="shared" si="25"/>
        <v>519.16</v>
      </c>
      <c r="H75" s="122"/>
      <c r="I75" s="122"/>
      <c r="J75" s="122">
        <f t="shared" si="17"/>
        <v>0</v>
      </c>
      <c r="K75" s="123"/>
      <c r="L75" s="124">
        <f t="shared" si="18"/>
        <v>0</v>
      </c>
      <c r="M75" s="124">
        <f t="shared" si="18"/>
        <v>0</v>
      </c>
      <c r="N75" s="124">
        <f t="shared" si="19"/>
        <v>6229.92</v>
      </c>
      <c r="O75" s="67">
        <f t="shared" si="20"/>
        <v>6949.08</v>
      </c>
    </row>
    <row r="76" spans="1:15" x14ac:dyDescent="0.2">
      <c r="A76" s="66">
        <v>51</v>
      </c>
      <c r="B76" s="40" t="s">
        <v>195</v>
      </c>
      <c r="C76" s="121">
        <v>385</v>
      </c>
      <c r="D76" s="149">
        <v>55</v>
      </c>
      <c r="E76" s="121">
        <f>SUM(C76:D76)</f>
        <v>440</v>
      </c>
      <c r="F76" s="105">
        <v>200</v>
      </c>
      <c r="G76" s="105">
        <f t="shared" si="25"/>
        <v>385</v>
      </c>
      <c r="H76" s="122">
        <f>+E76*7.5%</f>
        <v>33</v>
      </c>
      <c r="I76" s="122">
        <f>+E76*1%</f>
        <v>4.4000000000000004</v>
      </c>
      <c r="J76" s="122">
        <f t="shared" si="17"/>
        <v>37.4</v>
      </c>
      <c r="K76" s="123">
        <f>+E76*7.75%</f>
        <v>34.1</v>
      </c>
      <c r="L76" s="124">
        <f t="shared" si="18"/>
        <v>448.79999999999995</v>
      </c>
      <c r="M76" s="124">
        <f t="shared" si="18"/>
        <v>409.20000000000005</v>
      </c>
      <c r="N76" s="124">
        <f t="shared" si="19"/>
        <v>4620</v>
      </c>
      <c r="O76" s="67">
        <f t="shared" si="20"/>
        <v>6063</v>
      </c>
    </row>
    <row r="77" spans="1:15" x14ac:dyDescent="0.2">
      <c r="A77" s="66">
        <v>52</v>
      </c>
      <c r="B77" s="40" t="s">
        <v>195</v>
      </c>
      <c r="C77" s="121">
        <v>310</v>
      </c>
      <c r="D77" s="149">
        <v>40</v>
      </c>
      <c r="E77" s="121">
        <f>SUM(C77:D77)</f>
        <v>350</v>
      </c>
      <c r="F77" s="105">
        <v>200</v>
      </c>
      <c r="G77" s="105">
        <f t="shared" si="25"/>
        <v>310</v>
      </c>
      <c r="H77" s="122">
        <f>+E77*7.5%</f>
        <v>26.25</v>
      </c>
      <c r="I77" s="122">
        <f>+E77*1%</f>
        <v>3.5</v>
      </c>
      <c r="J77" s="122">
        <f t="shared" si="17"/>
        <v>29.75</v>
      </c>
      <c r="K77" s="123">
        <f>+E77*7.75%</f>
        <v>27.125</v>
      </c>
      <c r="L77" s="124">
        <f t="shared" si="18"/>
        <v>357</v>
      </c>
      <c r="M77" s="124">
        <f t="shared" si="18"/>
        <v>325.5</v>
      </c>
      <c r="N77" s="124">
        <f t="shared" si="19"/>
        <v>3720</v>
      </c>
      <c r="O77" s="67">
        <f t="shared" si="20"/>
        <v>4912.5</v>
      </c>
    </row>
    <row r="78" spans="1:15" x14ac:dyDescent="0.2">
      <c r="A78" s="66">
        <v>53</v>
      </c>
      <c r="B78" s="40" t="s">
        <v>195</v>
      </c>
      <c r="C78" s="121">
        <v>385</v>
      </c>
      <c r="D78" s="149">
        <v>15</v>
      </c>
      <c r="E78" s="121">
        <f>SUM(C78:D78)</f>
        <v>400</v>
      </c>
      <c r="F78" s="105">
        <v>200</v>
      </c>
      <c r="G78" s="105">
        <f t="shared" si="25"/>
        <v>385</v>
      </c>
      <c r="H78" s="122">
        <f>+E78*7.5%</f>
        <v>30</v>
      </c>
      <c r="I78" s="122">
        <f>+E78*1%</f>
        <v>4</v>
      </c>
      <c r="J78" s="122">
        <f t="shared" si="17"/>
        <v>34</v>
      </c>
      <c r="K78" s="123">
        <f>+E78*7.75%</f>
        <v>31</v>
      </c>
      <c r="L78" s="124">
        <f t="shared" si="18"/>
        <v>408</v>
      </c>
      <c r="M78" s="124">
        <f t="shared" si="18"/>
        <v>372</v>
      </c>
      <c r="N78" s="124">
        <f t="shared" si="19"/>
        <v>4620</v>
      </c>
      <c r="O78" s="67">
        <f t="shared" si="20"/>
        <v>5985</v>
      </c>
    </row>
    <row r="79" spans="1:15" x14ac:dyDescent="0.2">
      <c r="A79" s="66">
        <v>54</v>
      </c>
      <c r="B79" s="40" t="s">
        <v>195</v>
      </c>
      <c r="C79" s="121">
        <v>440</v>
      </c>
      <c r="D79" s="149">
        <v>60</v>
      </c>
      <c r="E79" s="121">
        <f>SUM(C79:D79)</f>
        <v>500</v>
      </c>
      <c r="F79" s="105">
        <v>200</v>
      </c>
      <c r="G79" s="105">
        <f t="shared" si="25"/>
        <v>440</v>
      </c>
      <c r="H79" s="122">
        <f>+E79*7.5%</f>
        <v>37.5</v>
      </c>
      <c r="I79" s="122">
        <f>+E79*1%</f>
        <v>5</v>
      </c>
      <c r="J79" s="122">
        <f t="shared" si="17"/>
        <v>42.5</v>
      </c>
      <c r="K79" s="123">
        <f>+E79*7.75%</f>
        <v>38.75</v>
      </c>
      <c r="L79" s="124">
        <f t="shared" si="18"/>
        <v>510</v>
      </c>
      <c r="M79" s="124">
        <f t="shared" si="18"/>
        <v>465</v>
      </c>
      <c r="N79" s="124">
        <f t="shared" si="19"/>
        <v>5280</v>
      </c>
      <c r="O79" s="67">
        <f t="shared" si="20"/>
        <v>6895</v>
      </c>
    </row>
    <row r="80" spans="1:15" x14ac:dyDescent="0.2">
      <c r="A80" s="66">
        <v>55</v>
      </c>
      <c r="B80" s="40" t="s">
        <v>195</v>
      </c>
      <c r="C80" s="121">
        <v>357.5</v>
      </c>
      <c r="D80" s="149">
        <v>42.5</v>
      </c>
      <c r="E80" s="121">
        <f>SUM(C80:D80)</f>
        <v>400</v>
      </c>
      <c r="F80" s="105">
        <v>200</v>
      </c>
      <c r="G80" s="105">
        <f t="shared" si="25"/>
        <v>357.5</v>
      </c>
      <c r="H80" s="122">
        <f>+E80*7.5%</f>
        <v>30</v>
      </c>
      <c r="I80" s="122">
        <f>+E80*1%</f>
        <v>4</v>
      </c>
      <c r="J80" s="122">
        <f t="shared" si="17"/>
        <v>34</v>
      </c>
      <c r="K80" s="123">
        <f>+E80*7.75%</f>
        <v>31</v>
      </c>
      <c r="L80" s="124">
        <f t="shared" si="18"/>
        <v>408</v>
      </c>
      <c r="M80" s="124">
        <f t="shared" si="18"/>
        <v>372</v>
      </c>
      <c r="N80" s="124">
        <f t="shared" si="19"/>
        <v>4290</v>
      </c>
      <c r="O80" s="67">
        <f t="shared" si="20"/>
        <v>5627.5</v>
      </c>
    </row>
    <row r="81" spans="1:15" x14ac:dyDescent="0.2">
      <c r="A81" s="66">
        <v>56</v>
      </c>
      <c r="B81" s="40" t="s">
        <v>195</v>
      </c>
      <c r="C81" s="121">
        <v>444.44</v>
      </c>
      <c r="D81" s="121"/>
      <c r="E81" s="121"/>
      <c r="F81" s="105">
        <v>200</v>
      </c>
      <c r="G81" s="105">
        <f t="shared" si="25"/>
        <v>444.44</v>
      </c>
      <c r="H81" s="122">
        <v>33.33</v>
      </c>
      <c r="I81" s="122">
        <v>4.4400000000000004</v>
      </c>
      <c r="J81" s="122">
        <f t="shared" si="17"/>
        <v>37.769999999999996</v>
      </c>
      <c r="K81" s="123">
        <v>34.44</v>
      </c>
      <c r="L81" s="124">
        <f t="shared" si="18"/>
        <v>453.23999999999995</v>
      </c>
      <c r="M81" s="124">
        <f t="shared" si="18"/>
        <v>413.28</v>
      </c>
      <c r="N81" s="124">
        <f t="shared" si="19"/>
        <v>5333.28</v>
      </c>
      <c r="O81" s="67">
        <f t="shared" si="20"/>
        <v>6844.24</v>
      </c>
    </row>
    <row r="82" spans="1:15" x14ac:dyDescent="0.2">
      <c r="A82" s="66">
        <v>57</v>
      </c>
      <c r="B82" s="40" t="s">
        <v>195</v>
      </c>
      <c r="C82" s="121">
        <v>385</v>
      </c>
      <c r="D82" s="149">
        <v>55</v>
      </c>
      <c r="E82" s="121">
        <f>SUM(C82:D82)</f>
        <v>440</v>
      </c>
      <c r="F82" s="105">
        <v>200</v>
      </c>
      <c r="G82" s="105">
        <f t="shared" si="25"/>
        <v>385</v>
      </c>
      <c r="H82" s="122">
        <f>+E82*7.5%</f>
        <v>33</v>
      </c>
      <c r="I82" s="122">
        <f>+E82*1%</f>
        <v>4.4000000000000004</v>
      </c>
      <c r="J82" s="122">
        <f t="shared" si="17"/>
        <v>37.4</v>
      </c>
      <c r="K82" s="123">
        <f>+E82*7.75%</f>
        <v>34.1</v>
      </c>
      <c r="L82" s="124">
        <f t="shared" si="18"/>
        <v>448.79999999999995</v>
      </c>
      <c r="M82" s="124">
        <f t="shared" si="18"/>
        <v>409.20000000000005</v>
      </c>
      <c r="N82" s="124">
        <f t="shared" si="19"/>
        <v>4620</v>
      </c>
      <c r="O82" s="67">
        <f t="shared" si="20"/>
        <v>6063</v>
      </c>
    </row>
    <row r="83" spans="1:15" x14ac:dyDescent="0.2">
      <c r="A83" s="66">
        <v>58</v>
      </c>
      <c r="B83" s="40" t="s">
        <v>195</v>
      </c>
      <c r="C83" s="121">
        <v>350</v>
      </c>
      <c r="D83" s="149">
        <v>50</v>
      </c>
      <c r="E83" s="121">
        <f>SUM(C83:D83)</f>
        <v>400</v>
      </c>
      <c r="F83" s="105">
        <v>200</v>
      </c>
      <c r="G83" s="105">
        <f t="shared" si="25"/>
        <v>350</v>
      </c>
      <c r="H83" s="122">
        <f>+E83*7.5%</f>
        <v>30</v>
      </c>
      <c r="I83" s="122">
        <f>+E83*1%</f>
        <v>4</v>
      </c>
      <c r="J83" s="122">
        <f t="shared" si="17"/>
        <v>34</v>
      </c>
      <c r="K83" s="123">
        <f>+E83*7.75%</f>
        <v>31</v>
      </c>
      <c r="L83" s="124">
        <f t="shared" si="18"/>
        <v>408</v>
      </c>
      <c r="M83" s="124">
        <f t="shared" si="18"/>
        <v>372</v>
      </c>
      <c r="N83" s="124">
        <f t="shared" si="19"/>
        <v>4200</v>
      </c>
      <c r="O83" s="67">
        <f t="shared" si="20"/>
        <v>5530</v>
      </c>
    </row>
    <row r="84" spans="1:15" x14ac:dyDescent="0.2">
      <c r="A84" s="66">
        <v>59</v>
      </c>
      <c r="B84" s="40" t="s">
        <v>195</v>
      </c>
      <c r="C84" s="121">
        <v>550</v>
      </c>
      <c r="D84" s="121"/>
      <c r="E84" s="121"/>
      <c r="F84" s="105">
        <v>200</v>
      </c>
      <c r="G84" s="105">
        <f t="shared" si="25"/>
        <v>550</v>
      </c>
      <c r="H84" s="122">
        <v>41.25</v>
      </c>
      <c r="I84" s="122">
        <v>5.5</v>
      </c>
      <c r="J84" s="122">
        <f t="shared" si="17"/>
        <v>46.75</v>
      </c>
      <c r="K84" s="123">
        <v>42.63</v>
      </c>
      <c r="L84" s="124">
        <f t="shared" si="18"/>
        <v>561</v>
      </c>
      <c r="M84" s="124">
        <f t="shared" si="18"/>
        <v>511.56000000000006</v>
      </c>
      <c r="N84" s="124">
        <f t="shared" si="19"/>
        <v>6600</v>
      </c>
      <c r="O84" s="67">
        <f t="shared" si="20"/>
        <v>8422.56</v>
      </c>
    </row>
    <row r="85" spans="1:15" x14ac:dyDescent="0.2">
      <c r="A85" s="125"/>
      <c r="B85" s="126"/>
      <c r="C85" s="127">
        <f>SUM(C41:C84)</f>
        <v>19547.32</v>
      </c>
      <c r="D85" s="127">
        <f>SUM(D41:D84)</f>
        <v>1155.19</v>
      </c>
      <c r="E85" s="127">
        <f>SUM(E41:E84)</f>
        <v>10485</v>
      </c>
      <c r="F85" s="127">
        <f t="shared" ref="F85:O85" si="26">SUM(F41:F84)</f>
        <v>8800</v>
      </c>
      <c r="G85" s="127">
        <f t="shared" si="26"/>
        <v>19547.32</v>
      </c>
      <c r="H85" s="127">
        <f t="shared" si="26"/>
        <v>1511.1949999999999</v>
      </c>
      <c r="I85" s="127">
        <f t="shared" si="26"/>
        <v>201.5</v>
      </c>
      <c r="J85" s="127">
        <f t="shared" si="26"/>
        <v>1712.6950000000002</v>
      </c>
      <c r="K85" s="127">
        <f t="shared" si="26"/>
        <v>1524.0049999999999</v>
      </c>
      <c r="L85" s="127">
        <f t="shared" si="26"/>
        <v>20552.339999999997</v>
      </c>
      <c r="M85" s="127">
        <f t="shared" si="26"/>
        <v>18288.060000000001</v>
      </c>
      <c r="N85" s="127">
        <f t="shared" si="26"/>
        <v>234567.84000000003</v>
      </c>
      <c r="O85" s="127">
        <f t="shared" si="26"/>
        <v>301755.55999999994</v>
      </c>
    </row>
    <row r="86" spans="1:15" x14ac:dyDescent="0.2">
      <c r="A86" s="66"/>
      <c r="B86" s="40"/>
      <c r="C86" s="121"/>
      <c r="D86" s="121"/>
      <c r="E86" s="121"/>
      <c r="F86" s="105"/>
      <c r="G86" s="105"/>
      <c r="H86" s="122"/>
      <c r="I86" s="122"/>
      <c r="J86" s="122"/>
      <c r="K86" s="123"/>
      <c r="L86" s="124"/>
      <c r="M86" s="124"/>
      <c r="N86" s="124"/>
      <c r="O86" s="67"/>
    </row>
    <row r="87" spans="1:15" x14ac:dyDescent="0.2">
      <c r="A87" s="66">
        <v>60</v>
      </c>
      <c r="B87" s="108" t="s">
        <v>353</v>
      </c>
      <c r="C87" s="121">
        <v>385</v>
      </c>
      <c r="D87" s="149">
        <v>65</v>
      </c>
      <c r="E87" s="121">
        <f t="shared" ref="E87:E94" si="27">SUM(C87:D87)</f>
        <v>450</v>
      </c>
      <c r="F87" s="105">
        <v>200</v>
      </c>
      <c r="G87" s="105">
        <f t="shared" ref="G87:G94" si="28">+C87</f>
        <v>385</v>
      </c>
      <c r="H87" s="122">
        <f t="shared" ref="H87:H93" si="29">+E87*7.5%</f>
        <v>33.75</v>
      </c>
      <c r="I87" s="122">
        <f t="shared" ref="I87:I93" si="30">+E87*1%</f>
        <v>4.5</v>
      </c>
      <c r="J87" s="122">
        <f t="shared" ref="J87:J94" si="31">SUM(H87:I87)</f>
        <v>38.25</v>
      </c>
      <c r="K87" s="123"/>
      <c r="L87" s="124">
        <f t="shared" ref="L87:M94" si="32">+J87*12</f>
        <v>459</v>
      </c>
      <c r="M87" s="124">
        <f t="shared" si="32"/>
        <v>0</v>
      </c>
      <c r="N87" s="124">
        <f t="shared" ref="N87:N94" si="33">+C87*12</f>
        <v>4620</v>
      </c>
      <c r="O87" s="67">
        <f t="shared" ref="O87:O94" si="34">+F87+G87+L87+M87+N87</f>
        <v>5664</v>
      </c>
    </row>
    <row r="88" spans="1:15" x14ac:dyDescent="0.2">
      <c r="A88" s="66">
        <v>61</v>
      </c>
      <c r="B88" s="40" t="s">
        <v>353</v>
      </c>
      <c r="C88" s="121">
        <v>310</v>
      </c>
      <c r="D88" s="149">
        <v>40</v>
      </c>
      <c r="E88" s="121">
        <f t="shared" si="27"/>
        <v>350</v>
      </c>
      <c r="F88" s="105">
        <v>200</v>
      </c>
      <c r="G88" s="105">
        <f t="shared" si="28"/>
        <v>310</v>
      </c>
      <c r="H88" s="122">
        <f t="shared" si="29"/>
        <v>26.25</v>
      </c>
      <c r="I88" s="122">
        <f t="shared" si="30"/>
        <v>3.5</v>
      </c>
      <c r="J88" s="122">
        <f t="shared" si="31"/>
        <v>29.75</v>
      </c>
      <c r="K88" s="123">
        <v>24.03</v>
      </c>
      <c r="L88" s="124">
        <f t="shared" si="32"/>
        <v>357</v>
      </c>
      <c r="M88" s="124">
        <f t="shared" si="32"/>
        <v>288.36</v>
      </c>
      <c r="N88" s="124">
        <f t="shared" si="33"/>
        <v>3720</v>
      </c>
      <c r="O88" s="67">
        <f t="shared" si="34"/>
        <v>4875.3600000000006</v>
      </c>
    </row>
    <row r="89" spans="1:15" x14ac:dyDescent="0.2">
      <c r="A89" s="66">
        <v>62</v>
      </c>
      <c r="B89" s="40" t="s">
        <v>353</v>
      </c>
      <c r="C89" s="121">
        <v>310</v>
      </c>
      <c r="D89" s="149">
        <v>40</v>
      </c>
      <c r="E89" s="121">
        <f t="shared" si="27"/>
        <v>350</v>
      </c>
      <c r="F89" s="105">
        <v>200</v>
      </c>
      <c r="G89" s="105">
        <f t="shared" si="28"/>
        <v>310</v>
      </c>
      <c r="H89" s="122">
        <f t="shared" si="29"/>
        <v>26.25</v>
      </c>
      <c r="I89" s="122">
        <f t="shared" si="30"/>
        <v>3.5</v>
      </c>
      <c r="J89" s="122">
        <f t="shared" si="31"/>
        <v>29.75</v>
      </c>
      <c r="K89" s="123">
        <v>24.03</v>
      </c>
      <c r="L89" s="124">
        <f t="shared" si="32"/>
        <v>357</v>
      </c>
      <c r="M89" s="124">
        <f t="shared" si="32"/>
        <v>288.36</v>
      </c>
      <c r="N89" s="124">
        <f t="shared" si="33"/>
        <v>3720</v>
      </c>
      <c r="O89" s="67">
        <f t="shared" si="34"/>
        <v>4875.3600000000006</v>
      </c>
    </row>
    <row r="90" spans="1:15" x14ac:dyDescent="0.2">
      <c r="A90" s="66">
        <v>63</v>
      </c>
      <c r="B90" s="40" t="s">
        <v>353</v>
      </c>
      <c r="C90" s="121">
        <v>330</v>
      </c>
      <c r="D90" s="149">
        <v>20</v>
      </c>
      <c r="E90" s="121">
        <f t="shared" si="27"/>
        <v>350</v>
      </c>
      <c r="F90" s="105">
        <v>200</v>
      </c>
      <c r="G90" s="105">
        <f t="shared" si="28"/>
        <v>330</v>
      </c>
      <c r="H90" s="122">
        <f t="shared" si="29"/>
        <v>26.25</v>
      </c>
      <c r="I90" s="122">
        <f t="shared" si="30"/>
        <v>3.5</v>
      </c>
      <c r="J90" s="122">
        <f t="shared" si="31"/>
        <v>29.75</v>
      </c>
      <c r="K90" s="123">
        <v>26.2</v>
      </c>
      <c r="L90" s="124">
        <f t="shared" si="32"/>
        <v>357</v>
      </c>
      <c r="M90" s="124">
        <f t="shared" si="32"/>
        <v>314.39999999999998</v>
      </c>
      <c r="N90" s="124">
        <f t="shared" si="33"/>
        <v>3960</v>
      </c>
      <c r="O90" s="67">
        <f t="shared" si="34"/>
        <v>5161.3999999999996</v>
      </c>
    </row>
    <row r="91" spans="1:15" x14ac:dyDescent="0.2">
      <c r="A91" s="66">
        <v>64</v>
      </c>
      <c r="B91" s="40" t="s">
        <v>353</v>
      </c>
      <c r="C91" s="121">
        <v>330</v>
      </c>
      <c r="D91" s="149">
        <v>20</v>
      </c>
      <c r="E91" s="121">
        <f t="shared" si="27"/>
        <v>350</v>
      </c>
      <c r="F91" s="105">
        <v>200</v>
      </c>
      <c r="G91" s="105">
        <f t="shared" si="28"/>
        <v>330</v>
      </c>
      <c r="H91" s="122">
        <f t="shared" si="29"/>
        <v>26.25</v>
      </c>
      <c r="I91" s="122">
        <f t="shared" si="30"/>
        <v>3.5</v>
      </c>
      <c r="J91" s="122">
        <f t="shared" si="31"/>
        <v>29.75</v>
      </c>
      <c r="K91" s="123">
        <v>24.75</v>
      </c>
      <c r="L91" s="124">
        <f t="shared" si="32"/>
        <v>357</v>
      </c>
      <c r="M91" s="124">
        <f t="shared" si="32"/>
        <v>297</v>
      </c>
      <c r="N91" s="124">
        <f t="shared" si="33"/>
        <v>3960</v>
      </c>
      <c r="O91" s="67">
        <f t="shared" si="34"/>
        <v>5144</v>
      </c>
    </row>
    <row r="92" spans="1:15" x14ac:dyDescent="0.2">
      <c r="A92" s="66">
        <v>65</v>
      </c>
      <c r="B92" s="40" t="s">
        <v>353</v>
      </c>
      <c r="C92" s="121">
        <v>310</v>
      </c>
      <c r="D92" s="149">
        <v>40</v>
      </c>
      <c r="E92" s="121">
        <f t="shared" si="27"/>
        <v>350</v>
      </c>
      <c r="F92" s="105">
        <v>200</v>
      </c>
      <c r="G92" s="105">
        <f t="shared" si="28"/>
        <v>310</v>
      </c>
      <c r="H92" s="122">
        <f t="shared" si="29"/>
        <v>26.25</v>
      </c>
      <c r="I92" s="122">
        <f t="shared" si="30"/>
        <v>3.5</v>
      </c>
      <c r="J92" s="122">
        <f t="shared" si="31"/>
        <v>29.75</v>
      </c>
      <c r="K92" s="123">
        <v>24.03</v>
      </c>
      <c r="L92" s="124">
        <f t="shared" si="32"/>
        <v>357</v>
      </c>
      <c r="M92" s="124">
        <f t="shared" si="32"/>
        <v>288.36</v>
      </c>
      <c r="N92" s="124">
        <f t="shared" si="33"/>
        <v>3720</v>
      </c>
      <c r="O92" s="67">
        <f t="shared" si="34"/>
        <v>4875.3600000000006</v>
      </c>
    </row>
    <row r="93" spans="1:15" x14ac:dyDescent="0.2">
      <c r="A93" s="66">
        <v>66</v>
      </c>
      <c r="B93" s="40"/>
      <c r="C93" s="121">
        <v>504.9</v>
      </c>
      <c r="D93" s="149">
        <v>45.1</v>
      </c>
      <c r="E93" s="121">
        <f t="shared" si="27"/>
        <v>550</v>
      </c>
      <c r="F93" s="105">
        <v>200</v>
      </c>
      <c r="G93" s="105">
        <f t="shared" si="28"/>
        <v>504.9</v>
      </c>
      <c r="H93" s="122">
        <f t="shared" si="29"/>
        <v>41.25</v>
      </c>
      <c r="I93" s="122">
        <f t="shared" si="30"/>
        <v>5.5</v>
      </c>
      <c r="J93" s="122">
        <f t="shared" si="31"/>
        <v>46.75</v>
      </c>
      <c r="K93" s="123">
        <v>24.03</v>
      </c>
      <c r="L93" s="124">
        <f t="shared" si="32"/>
        <v>561</v>
      </c>
      <c r="M93" s="124">
        <f t="shared" si="32"/>
        <v>288.36</v>
      </c>
      <c r="N93" s="124">
        <f t="shared" si="33"/>
        <v>6058.7999999999993</v>
      </c>
      <c r="O93" s="67">
        <f t="shared" si="34"/>
        <v>7613.0599999999995</v>
      </c>
    </row>
    <row r="94" spans="1:15" x14ac:dyDescent="0.2">
      <c r="A94" s="66">
        <v>67</v>
      </c>
      <c r="B94" s="40" t="s">
        <v>353</v>
      </c>
      <c r="C94" s="121">
        <v>310</v>
      </c>
      <c r="D94" s="149">
        <v>40</v>
      </c>
      <c r="E94" s="121">
        <f t="shared" si="27"/>
        <v>350</v>
      </c>
      <c r="F94" s="105">
        <v>200</v>
      </c>
      <c r="G94" s="105">
        <f t="shared" si="28"/>
        <v>310</v>
      </c>
      <c r="H94" s="122">
        <f>+E94*7.5%</f>
        <v>26.25</v>
      </c>
      <c r="I94" s="122">
        <f>+E94*1%</f>
        <v>3.5</v>
      </c>
      <c r="J94" s="122">
        <f t="shared" si="31"/>
        <v>29.75</v>
      </c>
      <c r="K94" s="123">
        <v>24.03</v>
      </c>
      <c r="L94" s="124">
        <f t="shared" si="32"/>
        <v>357</v>
      </c>
      <c r="M94" s="124">
        <f t="shared" si="32"/>
        <v>288.36</v>
      </c>
      <c r="N94" s="124">
        <f t="shared" si="33"/>
        <v>3720</v>
      </c>
      <c r="O94" s="67">
        <f t="shared" si="34"/>
        <v>4875.3600000000006</v>
      </c>
    </row>
    <row r="95" spans="1:15" x14ac:dyDescent="0.2">
      <c r="A95" s="125"/>
      <c r="B95" s="126"/>
      <c r="C95" s="127">
        <f>SUM(C87:C94)</f>
        <v>2789.9</v>
      </c>
      <c r="D95" s="127">
        <f>SUM(D87:D94)</f>
        <v>310.10000000000002</v>
      </c>
      <c r="E95" s="127">
        <f>SUM(E87:E94)</f>
        <v>3100</v>
      </c>
      <c r="F95" s="127">
        <f t="shared" ref="F95:O95" si="35">SUM(F87:F94)</f>
        <v>1600</v>
      </c>
      <c r="G95" s="127">
        <f t="shared" si="35"/>
        <v>2789.9</v>
      </c>
      <c r="H95" s="127">
        <f t="shared" si="35"/>
        <v>232.5</v>
      </c>
      <c r="I95" s="127">
        <f t="shared" si="35"/>
        <v>31</v>
      </c>
      <c r="J95" s="127">
        <f t="shared" si="35"/>
        <v>263.5</v>
      </c>
      <c r="K95" s="127">
        <f t="shared" si="35"/>
        <v>171.1</v>
      </c>
      <c r="L95" s="127">
        <f t="shared" si="35"/>
        <v>3162</v>
      </c>
      <c r="M95" s="127">
        <f t="shared" si="35"/>
        <v>2053.2000000000003</v>
      </c>
      <c r="N95" s="127">
        <f t="shared" si="35"/>
        <v>33478.800000000003</v>
      </c>
      <c r="O95" s="127">
        <f t="shared" si="35"/>
        <v>43083.9</v>
      </c>
    </row>
    <row r="96" spans="1:15" x14ac:dyDescent="0.2">
      <c r="A96" s="66"/>
      <c r="B96" s="40"/>
      <c r="C96" s="121"/>
      <c r="D96" s="121"/>
      <c r="E96" s="121"/>
      <c r="F96" s="105"/>
      <c r="G96" s="105"/>
      <c r="H96" s="122"/>
      <c r="I96" s="122"/>
      <c r="J96" s="122"/>
      <c r="K96" s="123"/>
      <c r="L96" s="124"/>
      <c r="M96" s="124"/>
      <c r="N96" s="124"/>
      <c r="O96" s="67"/>
    </row>
    <row r="97" spans="1:15" x14ac:dyDescent="0.2">
      <c r="A97" s="66"/>
      <c r="B97" s="40"/>
      <c r="C97" s="121"/>
      <c r="D97" s="121"/>
      <c r="E97" s="121"/>
      <c r="F97" s="105"/>
      <c r="G97" s="105">
        <f>+C97</f>
        <v>0</v>
      </c>
      <c r="H97" s="122"/>
      <c r="I97" s="122"/>
      <c r="J97" s="122"/>
      <c r="K97" s="123"/>
      <c r="L97" s="124"/>
      <c r="M97" s="124"/>
      <c r="N97" s="124"/>
      <c r="O97" s="67"/>
    </row>
    <row r="98" spans="1:15" ht="13.5" thickBot="1" x14ac:dyDescent="0.25">
      <c r="A98" s="66"/>
      <c r="B98" s="40"/>
      <c r="C98" s="121"/>
      <c r="D98" s="121"/>
      <c r="E98" s="121"/>
      <c r="F98" s="105"/>
      <c r="G98" s="105"/>
      <c r="H98" s="122"/>
      <c r="I98" s="122"/>
      <c r="J98" s="122"/>
      <c r="K98" s="123"/>
      <c r="L98" s="124"/>
      <c r="M98" s="124"/>
      <c r="N98" s="124"/>
      <c r="O98" s="67"/>
    </row>
    <row r="99" spans="1:15" ht="15.75" thickBot="1" x14ac:dyDescent="0.25">
      <c r="A99" s="1175"/>
      <c r="B99" s="1177"/>
      <c r="C99" s="71">
        <f>+C13+C27+C39+C85+C95</f>
        <v>45983.27</v>
      </c>
      <c r="D99" s="71">
        <f>+D13+D27+D39+D85+D95</f>
        <v>1686.29</v>
      </c>
      <c r="E99" s="127">
        <f>SUM(C99:D99)</f>
        <v>47669.56</v>
      </c>
      <c r="F99" s="71">
        <f t="shared" ref="F99:O99" si="36">+F13+F27+F39+F85+F95</f>
        <v>13400</v>
      </c>
      <c r="G99" s="71">
        <f t="shared" si="36"/>
        <v>35423.269999999997</v>
      </c>
      <c r="H99" s="71">
        <f t="shared" si="36"/>
        <v>2982.1800000000003</v>
      </c>
      <c r="I99" s="71">
        <f t="shared" si="36"/>
        <v>387.97</v>
      </c>
      <c r="J99" s="71">
        <f t="shared" si="36"/>
        <v>3370.15</v>
      </c>
      <c r="K99" s="71">
        <f t="shared" si="36"/>
        <v>2936.1224999999999</v>
      </c>
      <c r="L99" s="71">
        <f t="shared" si="36"/>
        <v>40441.800000000003</v>
      </c>
      <c r="M99" s="71">
        <f t="shared" si="36"/>
        <v>35233.47</v>
      </c>
      <c r="N99" s="71">
        <f t="shared" si="36"/>
        <v>551799.24</v>
      </c>
      <c r="O99" s="71">
        <f t="shared" si="36"/>
        <v>676297.77999999991</v>
      </c>
    </row>
    <row r="100" spans="1:15" ht="14.25" x14ac:dyDescent="0.2">
      <c r="A100" s="137"/>
      <c r="B100" s="137"/>
      <c r="C100" s="137"/>
      <c r="D100" s="137"/>
      <c r="E100" s="137"/>
      <c r="F100" s="137"/>
      <c r="G100" s="137"/>
      <c r="H100" s="137"/>
      <c r="I100" s="137"/>
      <c r="J100" s="137"/>
      <c r="K100" s="137"/>
      <c r="L100" s="137"/>
      <c r="M100" s="137"/>
      <c r="N100" s="137"/>
      <c r="O100" s="137"/>
    </row>
    <row r="101" spans="1:15" x14ac:dyDescent="0.2">
      <c r="F101" s="111"/>
    </row>
    <row r="102" spans="1:15" x14ac:dyDescent="0.2">
      <c r="C102" s="138" t="s">
        <v>485</v>
      </c>
      <c r="D102" s="138"/>
      <c r="E102" s="138"/>
      <c r="F102" s="111"/>
      <c r="I102" s="144"/>
    </row>
    <row r="103" spans="1:15" x14ac:dyDescent="0.2">
      <c r="C103" s="39">
        <v>51101</v>
      </c>
      <c r="F103" s="139" t="s">
        <v>31</v>
      </c>
      <c r="H103" s="140">
        <v>90444.6</v>
      </c>
      <c r="I103" s="140">
        <v>96516.6</v>
      </c>
    </row>
    <row r="104" spans="1:15" x14ac:dyDescent="0.2">
      <c r="C104" s="39">
        <v>51103</v>
      </c>
      <c r="F104" s="139" t="s">
        <v>32</v>
      </c>
      <c r="H104" s="140">
        <v>7537.05</v>
      </c>
      <c r="I104" s="140">
        <v>8043.05</v>
      </c>
    </row>
    <row r="105" spans="1:15" x14ac:dyDescent="0.2">
      <c r="C105" s="39">
        <v>51105</v>
      </c>
      <c r="F105" s="139" t="s">
        <v>63</v>
      </c>
      <c r="H105" s="140">
        <v>126720</v>
      </c>
      <c r="I105" s="140">
        <v>126720</v>
      </c>
    </row>
    <row r="106" spans="1:15" x14ac:dyDescent="0.2">
      <c r="C106" s="39">
        <v>51107</v>
      </c>
      <c r="F106" s="139" t="s">
        <v>473</v>
      </c>
      <c r="H106" s="140">
        <v>1200</v>
      </c>
      <c r="I106" s="140">
        <v>1400</v>
      </c>
      <c r="J106" s="39" t="s">
        <v>498</v>
      </c>
    </row>
    <row r="107" spans="1:15" x14ac:dyDescent="0.2">
      <c r="C107" s="39">
        <v>51401</v>
      </c>
      <c r="F107" s="139" t="s">
        <v>486</v>
      </c>
      <c r="H107" s="140">
        <v>10872.6</v>
      </c>
      <c r="I107" s="140">
        <v>11508.71</v>
      </c>
      <c r="J107" s="148" t="s">
        <v>498</v>
      </c>
    </row>
    <row r="108" spans="1:15" x14ac:dyDescent="0.2">
      <c r="C108" s="39">
        <v>51501</v>
      </c>
      <c r="F108" s="139" t="s">
        <v>487</v>
      </c>
      <c r="H108" s="140">
        <v>9557.64</v>
      </c>
      <c r="I108" s="140">
        <v>10883.84</v>
      </c>
      <c r="J108" s="148"/>
      <c r="K108" s="140">
        <f>+I107+I115+I123</f>
        <v>38196.679999999993</v>
      </c>
      <c r="M108" s="140"/>
    </row>
    <row r="109" spans="1:15" x14ac:dyDescent="0.2">
      <c r="H109" s="141">
        <f>SUM(H103:H108)</f>
        <v>246331.89</v>
      </c>
      <c r="I109" s="145">
        <f>SUM(I103:I108)</f>
        <v>255072.2</v>
      </c>
    </row>
    <row r="110" spans="1:15" x14ac:dyDescent="0.2">
      <c r="C110" s="138" t="s">
        <v>488</v>
      </c>
      <c r="D110" s="138"/>
      <c r="E110" s="138"/>
      <c r="H110" s="140"/>
      <c r="I110" s="140"/>
    </row>
    <row r="111" spans="1:15" x14ac:dyDescent="0.2">
      <c r="C111" s="39">
        <v>51101</v>
      </c>
      <c r="F111" s="139" t="s">
        <v>31</v>
      </c>
      <c r="H111" s="140">
        <v>66588</v>
      </c>
      <c r="I111" s="140">
        <v>164470.92000000001</v>
      </c>
    </row>
    <row r="112" spans="1:15" x14ac:dyDescent="0.2">
      <c r="C112" s="39">
        <v>51103</v>
      </c>
      <c r="F112" s="139" t="s">
        <v>32</v>
      </c>
      <c r="H112" s="140">
        <v>5549</v>
      </c>
      <c r="I112" s="140">
        <v>13705.91</v>
      </c>
    </row>
    <row r="113" spans="3:13" x14ac:dyDescent="0.2">
      <c r="C113" s="39">
        <v>51105</v>
      </c>
      <c r="F113" s="139" t="s">
        <v>63</v>
      </c>
      <c r="H113" s="140"/>
      <c r="I113" s="140"/>
    </row>
    <row r="114" spans="3:13" x14ac:dyDescent="0.2">
      <c r="C114" s="39">
        <v>51107</v>
      </c>
      <c r="F114" s="139" t="s">
        <v>473</v>
      </c>
      <c r="H114" s="140">
        <v>1800</v>
      </c>
      <c r="I114" s="140">
        <v>5400</v>
      </c>
    </row>
    <row r="115" spans="3:13" x14ac:dyDescent="0.2">
      <c r="C115" s="39">
        <v>51401</v>
      </c>
      <c r="F115" s="139" t="s">
        <v>486</v>
      </c>
      <c r="H115" s="140">
        <v>5629.44</v>
      </c>
      <c r="I115" s="140">
        <v>13980.06</v>
      </c>
      <c r="J115" s="39" t="s">
        <v>498</v>
      </c>
    </row>
    <row r="116" spans="3:13" x14ac:dyDescent="0.2">
      <c r="C116" s="39">
        <v>51501</v>
      </c>
      <c r="F116" s="139" t="s">
        <v>487</v>
      </c>
      <c r="H116" s="140">
        <v>5129.16</v>
      </c>
      <c r="I116" s="140">
        <v>12746.55</v>
      </c>
    </row>
    <row r="117" spans="3:13" x14ac:dyDescent="0.2">
      <c r="H117" s="141">
        <f>SUM(H111:H116)</f>
        <v>84695.6</v>
      </c>
      <c r="I117" s="145">
        <f>SUM(I111:I116)</f>
        <v>210303.44</v>
      </c>
    </row>
    <row r="118" spans="3:13" x14ac:dyDescent="0.2">
      <c r="C118" s="138" t="s">
        <v>489</v>
      </c>
      <c r="D118" s="138"/>
      <c r="E118" s="138"/>
      <c r="H118" s="140"/>
      <c r="I118" s="140"/>
    </row>
    <row r="119" spans="3:13" x14ac:dyDescent="0.2">
      <c r="C119" s="39">
        <v>51101</v>
      </c>
      <c r="F119" s="139" t="s">
        <v>31</v>
      </c>
      <c r="H119" s="140">
        <f>+C85*12</f>
        <v>234567.84</v>
      </c>
      <c r="I119" s="140">
        <v>148927.20000000001</v>
      </c>
      <c r="J119" s="146">
        <v>72864</v>
      </c>
      <c r="K119" s="146">
        <v>76063.199999999997</v>
      </c>
      <c r="L119" s="147">
        <f>+J119+K119</f>
        <v>148927.20000000001</v>
      </c>
    </row>
    <row r="120" spans="3:13" x14ac:dyDescent="0.2">
      <c r="C120" s="39">
        <v>51103</v>
      </c>
      <c r="F120" s="139" t="s">
        <v>32</v>
      </c>
      <c r="H120" s="140">
        <v>19547.32</v>
      </c>
      <c r="I120" s="140">
        <v>12410.6</v>
      </c>
      <c r="J120" s="146">
        <v>6072</v>
      </c>
      <c r="K120" s="146">
        <v>6338.6</v>
      </c>
      <c r="L120" s="147">
        <f>+J120+K120</f>
        <v>12410.6</v>
      </c>
    </row>
    <row r="121" spans="3:13" x14ac:dyDescent="0.2">
      <c r="C121" s="39">
        <v>51105</v>
      </c>
      <c r="F121" s="139" t="s">
        <v>63</v>
      </c>
      <c r="H121" s="140"/>
      <c r="I121" s="140"/>
      <c r="J121" s="146"/>
      <c r="K121" s="146"/>
      <c r="L121" s="147"/>
    </row>
    <row r="122" spans="3:13" x14ac:dyDescent="0.2">
      <c r="C122" s="39">
        <v>51107</v>
      </c>
      <c r="F122" s="139" t="s">
        <v>473</v>
      </c>
      <c r="H122" s="140">
        <v>8800</v>
      </c>
      <c r="I122" s="140">
        <v>5000</v>
      </c>
      <c r="J122" s="146">
        <v>2000</v>
      </c>
      <c r="K122" s="146">
        <v>3000</v>
      </c>
      <c r="L122" s="147">
        <f>+J122+K122</f>
        <v>5000</v>
      </c>
    </row>
    <row r="123" spans="3:13" x14ac:dyDescent="0.2">
      <c r="C123" s="39">
        <v>51401</v>
      </c>
      <c r="F123" s="139" t="s">
        <v>486</v>
      </c>
      <c r="H123" s="140">
        <v>19023.599999999999</v>
      </c>
      <c r="I123" s="140">
        <v>12707.91</v>
      </c>
      <c r="J123" s="146">
        <v>6124.08</v>
      </c>
      <c r="K123" s="146">
        <v>6583.83</v>
      </c>
      <c r="L123" s="147">
        <f>+J123+K123</f>
        <v>12707.91</v>
      </c>
    </row>
    <row r="124" spans="3:13" x14ac:dyDescent="0.2">
      <c r="C124" s="39">
        <v>51501</v>
      </c>
      <c r="F124" s="139" t="s">
        <v>487</v>
      </c>
      <c r="H124" s="140">
        <v>15314.76</v>
      </c>
      <c r="I124" s="140">
        <v>10594.14</v>
      </c>
      <c r="J124" s="146">
        <v>5647.02</v>
      </c>
      <c r="K124" s="146">
        <v>4947.12</v>
      </c>
      <c r="L124" s="147">
        <f>+J124+K124</f>
        <v>10594.14</v>
      </c>
    </row>
    <row r="125" spans="3:13" x14ac:dyDescent="0.2">
      <c r="H125" s="141">
        <f>SUM(H119:H124)</f>
        <v>297253.52</v>
      </c>
      <c r="I125" s="145">
        <f>SUM(I119:I124)</f>
        <v>189639.85000000003</v>
      </c>
      <c r="J125" s="146">
        <f>+I109+I117+I125</f>
        <v>655015.49</v>
      </c>
      <c r="K125" s="146">
        <f>+H109+H117+H125</f>
        <v>628281.01</v>
      </c>
      <c r="L125" s="147">
        <v>659343.30000000005</v>
      </c>
      <c r="M125" s="140">
        <f>+L125-J125</f>
        <v>4327.8100000000559</v>
      </c>
    </row>
    <row r="126" spans="3:13" x14ac:dyDescent="0.2">
      <c r="C126" s="138" t="s">
        <v>490</v>
      </c>
      <c r="D126" s="138"/>
      <c r="E126" s="138"/>
      <c r="H126" s="140"/>
      <c r="I126" s="140"/>
      <c r="J126" s="146"/>
      <c r="K126" s="146"/>
      <c r="L126" s="147"/>
    </row>
    <row r="127" spans="3:13" x14ac:dyDescent="0.2">
      <c r="C127" s="39">
        <v>51101</v>
      </c>
      <c r="F127" s="139" t="s">
        <v>31</v>
      </c>
      <c r="H127" s="140">
        <v>27420</v>
      </c>
      <c r="I127" s="140">
        <v>37200</v>
      </c>
    </row>
    <row r="128" spans="3:13" x14ac:dyDescent="0.2">
      <c r="C128" s="39">
        <v>51103</v>
      </c>
      <c r="F128" s="139" t="s">
        <v>32</v>
      </c>
      <c r="H128" s="140">
        <v>0</v>
      </c>
      <c r="I128" s="140"/>
    </row>
    <row r="129" spans="3:10" x14ac:dyDescent="0.2">
      <c r="C129" s="39">
        <v>51105</v>
      </c>
      <c r="F129" s="139" t="s">
        <v>63</v>
      </c>
      <c r="H129" s="140"/>
      <c r="I129" s="140"/>
    </row>
    <row r="130" spans="3:10" x14ac:dyDescent="0.2">
      <c r="C130" s="39">
        <v>51107</v>
      </c>
      <c r="F130" s="139" t="s">
        <v>473</v>
      </c>
      <c r="H130" s="140">
        <v>0</v>
      </c>
      <c r="I130" s="140"/>
    </row>
    <row r="131" spans="3:10" x14ac:dyDescent="0.2">
      <c r="C131" s="39">
        <v>51401</v>
      </c>
      <c r="F131" s="139" t="s">
        <v>486</v>
      </c>
      <c r="H131" s="140">
        <v>2340.7199999999998</v>
      </c>
      <c r="I131" s="140">
        <v>3162</v>
      </c>
      <c r="J131" s="140"/>
    </row>
    <row r="132" spans="3:10" x14ac:dyDescent="0.2">
      <c r="C132" s="39">
        <v>51501</v>
      </c>
      <c r="F132" s="139" t="s">
        <v>487</v>
      </c>
      <c r="H132" s="140">
        <v>1764.84</v>
      </c>
      <c r="I132" s="140">
        <v>2883</v>
      </c>
    </row>
    <row r="133" spans="3:10" x14ac:dyDescent="0.2">
      <c r="H133" s="141">
        <f>SUM(H127:H132)</f>
        <v>31525.56</v>
      </c>
      <c r="I133" s="140">
        <f>+I127+I131+I132</f>
        <v>43245</v>
      </c>
    </row>
    <row r="134" spans="3:10" x14ac:dyDescent="0.2">
      <c r="C134" s="111" t="s">
        <v>491</v>
      </c>
      <c r="D134" s="111"/>
      <c r="E134" s="111"/>
      <c r="H134" s="142">
        <f>+H109+H117+H125+H133</f>
        <v>659806.57000000007</v>
      </c>
      <c r="I134" s="140"/>
    </row>
    <row r="135" spans="3:10" x14ac:dyDescent="0.2">
      <c r="H135" s="140"/>
      <c r="I135" s="140"/>
    </row>
    <row r="136" spans="3:10" x14ac:dyDescent="0.2">
      <c r="H136" s="140"/>
      <c r="I136" s="140"/>
    </row>
    <row r="137" spans="3:10" x14ac:dyDescent="0.2">
      <c r="H137" s="140"/>
      <c r="I137" s="140"/>
    </row>
  </sheetData>
  <mergeCells count="12">
    <mergeCell ref="C5:C6"/>
    <mergeCell ref="H5:H6"/>
    <mergeCell ref="I5:I6"/>
    <mergeCell ref="A99:B99"/>
    <mergeCell ref="A1:O1"/>
    <mergeCell ref="A2:O2"/>
    <mergeCell ref="A3:O3"/>
    <mergeCell ref="A4:A6"/>
    <mergeCell ref="B4:B6"/>
    <mergeCell ref="C4:G4"/>
    <mergeCell ref="H4:J4"/>
    <mergeCell ref="O4:O6"/>
  </mergeCells>
  <pageMargins left="0.7" right="0.7" top="0.75" bottom="0.75" header="0.3" footer="0.3"/>
  <pageSetup scale="8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pageSetUpPr fitToPage="1"/>
  </sheetPr>
  <dimension ref="A1:O30"/>
  <sheetViews>
    <sheetView topLeftCell="G18" zoomScale="96" zoomScaleNormal="96" zoomScaleSheetLayoutView="80" workbookViewId="0">
      <selection activeCell="Q21" sqref="Q21"/>
    </sheetView>
  </sheetViews>
  <sheetFormatPr baseColWidth="10" defaultRowHeight="12.75" x14ac:dyDescent="0.2"/>
  <cols>
    <col min="1" max="1" width="14.28515625" customWidth="1"/>
    <col min="2" max="2" width="18.28515625" customWidth="1"/>
    <col min="3" max="3" width="16.42578125" customWidth="1"/>
    <col min="4" max="4" width="14.42578125" customWidth="1"/>
    <col min="5" max="5" width="12.42578125" bestFit="1" customWidth="1"/>
    <col min="6" max="7" width="13.5703125" bestFit="1" customWidth="1"/>
    <col min="8" max="8" width="15.140625" customWidth="1"/>
    <col min="9" max="9" width="16.28515625" customWidth="1"/>
    <col min="10" max="10" width="14.5703125" customWidth="1"/>
    <col min="11" max="11" width="15.140625" customWidth="1"/>
    <col min="12" max="12" width="11.42578125" style="188" customWidth="1"/>
    <col min="13" max="13" width="13.42578125" customWidth="1"/>
    <col min="15" max="15" width="13.7109375" bestFit="1" customWidth="1"/>
  </cols>
  <sheetData>
    <row r="1" spans="1:13" ht="13.5" hidden="1" thickBot="1" x14ac:dyDescent="0.25"/>
    <row r="2" spans="1:13" ht="33" hidden="1" customHeight="1" thickBot="1" x14ac:dyDescent="0.3">
      <c r="I2" s="1239" t="s">
        <v>671</v>
      </c>
      <c r="J2" s="1240"/>
      <c r="K2" s="1240"/>
      <c r="L2" s="1240"/>
      <c r="M2" s="1241"/>
    </row>
    <row r="3" spans="1:13" ht="38.450000000000003" hidden="1" customHeight="1" thickBot="1" x14ac:dyDescent="0.25">
      <c r="A3" s="189" t="s">
        <v>527</v>
      </c>
      <c r="B3" s="190" t="s">
        <v>528</v>
      </c>
      <c r="C3" s="1113" t="s">
        <v>529</v>
      </c>
      <c r="D3" s="1114"/>
      <c r="I3" s="375" t="s">
        <v>530</v>
      </c>
      <c r="J3" s="376" t="s">
        <v>666</v>
      </c>
      <c r="K3" s="377" t="s">
        <v>667</v>
      </c>
      <c r="L3" s="378" t="s">
        <v>531</v>
      </c>
      <c r="M3" s="379" t="s">
        <v>225</v>
      </c>
    </row>
    <row r="4" spans="1:13" ht="41.45" hidden="1" customHeight="1" thickBot="1" x14ac:dyDescent="0.25">
      <c r="A4" s="1242" t="s">
        <v>661</v>
      </c>
      <c r="B4" s="191">
        <v>12034.2</v>
      </c>
      <c r="C4" s="1246" t="s">
        <v>662</v>
      </c>
      <c r="D4" s="1247"/>
      <c r="I4" s="254" t="s">
        <v>545</v>
      </c>
      <c r="J4" s="255">
        <v>1002.85</v>
      </c>
      <c r="K4" s="372">
        <v>2130.94</v>
      </c>
      <c r="L4" s="256"/>
      <c r="M4" s="374">
        <f>J4+K4</f>
        <v>3133.79</v>
      </c>
    </row>
    <row r="5" spans="1:13" ht="32.450000000000003" hidden="1" customHeight="1" thickBot="1" x14ac:dyDescent="0.25">
      <c r="A5" s="1243"/>
      <c r="B5" s="191">
        <v>25571.279999999999</v>
      </c>
      <c r="C5" s="1248" t="s">
        <v>663</v>
      </c>
      <c r="D5" s="1249"/>
      <c r="I5" s="258" t="s">
        <v>546</v>
      </c>
      <c r="J5" s="255">
        <v>1002.85</v>
      </c>
      <c r="K5" s="372">
        <v>2130.94</v>
      </c>
      <c r="L5" s="259"/>
      <c r="M5" s="257">
        <f t="shared" ref="M5:M15" si="0">J5+K5</f>
        <v>3133.79</v>
      </c>
    </row>
    <row r="6" spans="1:13" ht="37.9" hidden="1" customHeight="1" thickBot="1" x14ac:dyDescent="0.25">
      <c r="A6" s="1243"/>
      <c r="B6" s="191">
        <v>1203.42</v>
      </c>
      <c r="C6" s="1248" t="s">
        <v>664</v>
      </c>
      <c r="D6" s="1249"/>
      <c r="I6" s="258" t="s">
        <v>547</v>
      </c>
      <c r="J6" s="255">
        <v>1002.85</v>
      </c>
      <c r="K6" s="372">
        <v>2130.94</v>
      </c>
      <c r="L6" s="259"/>
      <c r="M6" s="257">
        <f t="shared" si="0"/>
        <v>3133.79</v>
      </c>
    </row>
    <row r="7" spans="1:13" ht="37.9" hidden="1" customHeight="1" thickBot="1" x14ac:dyDescent="0.25">
      <c r="A7" s="1244"/>
      <c r="B7" s="280">
        <v>2557.13</v>
      </c>
      <c r="C7" s="1252" t="s">
        <v>665</v>
      </c>
      <c r="D7" s="1253"/>
      <c r="I7" s="258" t="s">
        <v>551</v>
      </c>
      <c r="J7" s="255">
        <v>1002.85</v>
      </c>
      <c r="K7" s="372">
        <v>2130.94</v>
      </c>
      <c r="L7" s="259"/>
      <c r="M7" s="257">
        <f t="shared" si="0"/>
        <v>3133.79</v>
      </c>
    </row>
    <row r="8" spans="1:13" ht="37.9" hidden="1" customHeight="1" thickBot="1" x14ac:dyDescent="0.25">
      <c r="A8" s="1244"/>
      <c r="B8" s="280"/>
      <c r="C8" s="1252"/>
      <c r="D8" s="1253"/>
      <c r="I8" s="258" t="s">
        <v>548</v>
      </c>
      <c r="J8" s="255">
        <v>1002.85</v>
      </c>
      <c r="K8" s="372">
        <v>2130.94</v>
      </c>
      <c r="L8" s="259"/>
      <c r="M8" s="257">
        <f t="shared" si="0"/>
        <v>3133.79</v>
      </c>
    </row>
    <row r="9" spans="1:13" ht="37.9" hidden="1" customHeight="1" thickBot="1" x14ac:dyDescent="0.25">
      <c r="A9" s="1244"/>
      <c r="B9" s="280"/>
      <c r="C9" s="1252"/>
      <c r="D9" s="1253"/>
      <c r="I9" s="258" t="s">
        <v>549</v>
      </c>
      <c r="J9" s="255">
        <v>1002.85</v>
      </c>
      <c r="K9" s="372">
        <v>2130.94</v>
      </c>
      <c r="L9" s="259"/>
      <c r="M9" s="257">
        <f t="shared" si="0"/>
        <v>3133.79</v>
      </c>
    </row>
    <row r="10" spans="1:13" ht="27.6" hidden="1" customHeight="1" thickBot="1" x14ac:dyDescent="0.25">
      <c r="A10" s="1245"/>
      <c r="B10" s="192">
        <f>SUM(B4:B9)</f>
        <v>41366.029999999992</v>
      </c>
      <c r="C10" s="1250">
        <f>B10*10%</f>
        <v>4136.6029999999992</v>
      </c>
      <c r="D10" s="1251"/>
      <c r="I10" s="258" t="s">
        <v>550</v>
      </c>
      <c r="J10" s="255">
        <v>1002.85</v>
      </c>
      <c r="K10" s="372">
        <v>2130.94</v>
      </c>
      <c r="L10" s="260"/>
      <c r="M10" s="257">
        <f t="shared" si="0"/>
        <v>3133.79</v>
      </c>
    </row>
    <row r="11" spans="1:13" ht="21.75" hidden="1" customHeight="1" thickBot="1" x14ac:dyDescent="0.25">
      <c r="I11" s="258" t="s">
        <v>668</v>
      </c>
      <c r="J11" s="255">
        <v>1002.85</v>
      </c>
      <c r="K11" s="372">
        <v>2130.94</v>
      </c>
      <c r="L11" s="259"/>
      <c r="M11" s="257">
        <f t="shared" si="0"/>
        <v>3133.79</v>
      </c>
    </row>
    <row r="12" spans="1:13" ht="27" hidden="1" customHeight="1" thickBot="1" x14ac:dyDescent="0.25">
      <c r="I12" s="258" t="s">
        <v>552</v>
      </c>
      <c r="J12" s="255">
        <v>1002.85</v>
      </c>
      <c r="K12" s="372">
        <v>2130.94</v>
      </c>
      <c r="L12" s="259"/>
      <c r="M12" s="257">
        <f t="shared" si="0"/>
        <v>3133.79</v>
      </c>
    </row>
    <row r="13" spans="1:13" ht="27" hidden="1" customHeight="1" thickBot="1" x14ac:dyDescent="0.25">
      <c r="I13" s="258" t="s">
        <v>553</v>
      </c>
      <c r="J13" s="255">
        <v>1002.85</v>
      </c>
      <c r="K13" s="372">
        <v>2130.94</v>
      </c>
      <c r="L13" s="259"/>
      <c r="M13" s="257">
        <f t="shared" si="0"/>
        <v>3133.79</v>
      </c>
    </row>
    <row r="14" spans="1:13" ht="28.5" hidden="1" customHeight="1" thickBot="1" x14ac:dyDescent="0.25">
      <c r="E14" s="193"/>
      <c r="I14" s="258" t="s">
        <v>670</v>
      </c>
      <c r="J14" s="255">
        <v>1002.85</v>
      </c>
      <c r="K14" s="372">
        <v>2130.94</v>
      </c>
      <c r="L14" s="259"/>
      <c r="M14" s="257">
        <f t="shared" si="0"/>
        <v>3133.79</v>
      </c>
    </row>
    <row r="15" spans="1:13" ht="26.25" hidden="1" customHeight="1" x14ac:dyDescent="0.2">
      <c r="I15" s="258" t="s">
        <v>669</v>
      </c>
      <c r="J15" s="255">
        <v>1002.85</v>
      </c>
      <c r="K15" s="372">
        <v>2130.94</v>
      </c>
      <c r="L15" s="260"/>
      <c r="M15" s="257">
        <f t="shared" si="0"/>
        <v>3133.79</v>
      </c>
    </row>
    <row r="16" spans="1:13" ht="41.45" hidden="1" customHeight="1" thickBot="1" x14ac:dyDescent="0.25">
      <c r="I16" s="261" t="s">
        <v>532</v>
      </c>
      <c r="J16" s="262">
        <f>SUM(J4:J15)</f>
        <v>12034.200000000003</v>
      </c>
      <c r="K16" s="262">
        <f>SUM(K4:K15)</f>
        <v>25571.279999999995</v>
      </c>
      <c r="L16" s="263"/>
      <c r="M16" s="373">
        <f>SUM(M4:M15)</f>
        <v>37605.480000000003</v>
      </c>
    </row>
    <row r="17" spans="1:15" hidden="1" x14ac:dyDescent="0.2">
      <c r="J17" s="194"/>
      <c r="K17" s="194"/>
    </row>
    <row r="18" spans="1:15" ht="13.5" thickBot="1" x14ac:dyDescent="0.25"/>
    <row r="19" spans="1:15" ht="51" customHeight="1" thickBot="1" x14ac:dyDescent="0.4">
      <c r="A19" s="1234" t="s">
        <v>870</v>
      </c>
      <c r="B19" s="1235"/>
      <c r="C19" s="1235"/>
      <c r="D19" s="1235"/>
      <c r="E19" s="1235"/>
      <c r="F19" s="1235"/>
      <c r="G19" s="1235"/>
      <c r="H19" s="1235"/>
      <c r="I19" s="1235"/>
      <c r="J19" s="1235"/>
      <c r="K19" s="1235"/>
      <c r="L19" s="1235"/>
      <c r="M19" s="1235"/>
      <c r="N19" s="1235"/>
      <c r="O19" s="1236"/>
    </row>
    <row r="20" spans="1:15" ht="37.9" customHeight="1" thickBot="1" x14ac:dyDescent="0.25">
      <c r="A20" s="626" t="s">
        <v>871</v>
      </c>
      <c r="B20" s="627" t="s">
        <v>872</v>
      </c>
      <c r="C20" s="627" t="s">
        <v>545</v>
      </c>
      <c r="D20" s="627" t="s">
        <v>546</v>
      </c>
      <c r="E20" s="627" t="s">
        <v>547</v>
      </c>
      <c r="F20" s="627" t="s">
        <v>551</v>
      </c>
      <c r="G20" s="627" t="s">
        <v>548</v>
      </c>
      <c r="H20" s="627" t="s">
        <v>549</v>
      </c>
      <c r="I20" s="627" t="s">
        <v>550</v>
      </c>
      <c r="J20" s="627" t="s">
        <v>873</v>
      </c>
      <c r="K20" s="627" t="s">
        <v>552</v>
      </c>
      <c r="L20" s="627" t="s">
        <v>553</v>
      </c>
      <c r="M20" s="628" t="s">
        <v>874</v>
      </c>
      <c r="N20" s="629" t="s">
        <v>875</v>
      </c>
      <c r="O20" s="630" t="s">
        <v>225</v>
      </c>
    </row>
    <row r="21" spans="1:15" ht="37.15" customHeight="1" x14ac:dyDescent="0.25">
      <c r="A21" s="631">
        <v>11801</v>
      </c>
      <c r="B21" s="632" t="s">
        <v>876</v>
      </c>
      <c r="C21" s="633">
        <v>1974.1</v>
      </c>
      <c r="D21" s="633">
        <v>359.11</v>
      </c>
      <c r="E21" s="633">
        <v>279.27</v>
      </c>
      <c r="F21" s="634">
        <v>75.23</v>
      </c>
      <c r="G21" s="634">
        <v>395.53</v>
      </c>
      <c r="H21" s="635">
        <v>393.11</v>
      </c>
      <c r="I21" s="636">
        <v>404.23</v>
      </c>
      <c r="J21" s="637">
        <v>1101.01</v>
      </c>
      <c r="K21" s="637">
        <v>85.71</v>
      </c>
      <c r="L21" s="637">
        <v>98.18</v>
      </c>
      <c r="M21" s="637">
        <v>54.27</v>
      </c>
      <c r="N21" s="638">
        <v>270</v>
      </c>
      <c r="O21" s="639">
        <f>C21+D21+E21+F21+G21+H21+I21+J21+K21+L21+M21+N21</f>
        <v>5489.7500000000009</v>
      </c>
    </row>
    <row r="22" spans="1:15" ht="24" customHeight="1" x14ac:dyDescent="0.25">
      <c r="A22" s="640">
        <v>11802</v>
      </c>
      <c r="B22" s="641" t="s">
        <v>877</v>
      </c>
      <c r="C22" s="642">
        <v>4054.92</v>
      </c>
      <c r="D22" s="642">
        <v>1790.64</v>
      </c>
      <c r="E22" s="642">
        <v>113.57</v>
      </c>
      <c r="F22" s="643">
        <v>39.119999999999997</v>
      </c>
      <c r="G22" s="643">
        <v>46.36</v>
      </c>
      <c r="H22" s="644">
        <v>486.06</v>
      </c>
      <c r="I22" s="645">
        <v>599.87</v>
      </c>
      <c r="J22" s="646">
        <v>20.87</v>
      </c>
      <c r="K22" s="646">
        <v>0</v>
      </c>
      <c r="L22" s="646">
        <v>0</v>
      </c>
      <c r="M22" s="646">
        <v>3.75</v>
      </c>
      <c r="N22" s="647">
        <v>425</v>
      </c>
      <c r="O22" s="648">
        <f>C22+D22+E22+F22+G22+H22+I22+J22+K22+L22+M22+N22</f>
        <v>7580.16</v>
      </c>
    </row>
    <row r="23" spans="1:15" ht="15" x14ac:dyDescent="0.25">
      <c r="A23" s="640">
        <v>11804</v>
      </c>
      <c r="B23" s="649" t="s">
        <v>878</v>
      </c>
      <c r="C23" s="650">
        <v>4492.83</v>
      </c>
      <c r="D23" s="650">
        <v>45.09</v>
      </c>
      <c r="E23" s="650">
        <v>96.19</v>
      </c>
      <c r="F23" s="643">
        <v>6.06</v>
      </c>
      <c r="G23" s="643">
        <v>0</v>
      </c>
      <c r="H23" s="644">
        <v>30</v>
      </c>
      <c r="I23" s="645">
        <v>0</v>
      </c>
      <c r="J23" s="646">
        <v>0</v>
      </c>
      <c r="K23" s="646">
        <v>0</v>
      </c>
      <c r="L23" s="646">
        <v>0</v>
      </c>
      <c r="M23" s="646">
        <v>0</v>
      </c>
      <c r="N23" s="647">
        <v>200</v>
      </c>
      <c r="O23" s="648">
        <f>C23+D23+E23+F23+G23+H23+I23+J23+K23+L23+M23+N23</f>
        <v>4870.17</v>
      </c>
    </row>
    <row r="24" spans="1:15" ht="15" x14ac:dyDescent="0.25">
      <c r="A24" s="651">
        <v>11817</v>
      </c>
      <c r="B24" s="652" t="s">
        <v>879</v>
      </c>
      <c r="C24" s="642">
        <v>1300</v>
      </c>
      <c r="D24" s="642">
        <v>1300</v>
      </c>
      <c r="E24" s="642">
        <v>1300</v>
      </c>
      <c r="F24" s="643">
        <v>1300</v>
      </c>
      <c r="G24" s="643">
        <v>1400</v>
      </c>
      <c r="H24" s="644">
        <v>1400</v>
      </c>
      <c r="I24" s="645">
        <v>0</v>
      </c>
      <c r="J24" s="646">
        <v>0</v>
      </c>
      <c r="K24" s="646">
        <v>0</v>
      </c>
      <c r="L24" s="646">
        <v>0</v>
      </c>
      <c r="M24" s="646">
        <v>0</v>
      </c>
      <c r="N24" s="647">
        <v>0</v>
      </c>
      <c r="O24" s="648">
        <f>C24+D24+E24+F24+G24+H24</f>
        <v>8000</v>
      </c>
    </row>
    <row r="25" spans="1:15" ht="15" x14ac:dyDescent="0.25">
      <c r="A25" s="651">
        <v>12108</v>
      </c>
      <c r="B25" s="652" t="s">
        <v>880</v>
      </c>
      <c r="C25" s="642">
        <v>414.31</v>
      </c>
      <c r="D25" s="642">
        <v>448.34</v>
      </c>
      <c r="E25" s="642">
        <v>191.7</v>
      </c>
      <c r="F25" s="643">
        <v>66.25</v>
      </c>
      <c r="G25" s="643">
        <v>150.12</v>
      </c>
      <c r="H25" s="644">
        <v>307.44</v>
      </c>
      <c r="I25" s="645">
        <v>547.35</v>
      </c>
      <c r="J25" s="646">
        <v>230.3</v>
      </c>
      <c r="K25" s="646">
        <v>145.44999999999999</v>
      </c>
      <c r="L25" s="646">
        <v>52.72</v>
      </c>
      <c r="M25" s="646">
        <v>69.56</v>
      </c>
      <c r="N25" s="647">
        <v>185</v>
      </c>
      <c r="O25" s="648">
        <f>C25+D25+E25+F25+G25+H25+I25+J25+K25+L25+M25+N25</f>
        <v>2808.5399999999995</v>
      </c>
    </row>
    <row r="26" spans="1:15" ht="15" x14ac:dyDescent="0.25">
      <c r="A26" s="651">
        <v>12109</v>
      </c>
      <c r="B26" s="652" t="s">
        <v>881</v>
      </c>
      <c r="C26" s="642">
        <v>3250.68</v>
      </c>
      <c r="D26" s="642">
        <v>3792.89</v>
      </c>
      <c r="E26" s="642">
        <v>837.34</v>
      </c>
      <c r="F26" s="643">
        <v>696.99</v>
      </c>
      <c r="G26" s="643">
        <v>283.58999999999997</v>
      </c>
      <c r="H26" s="644">
        <v>712.72</v>
      </c>
      <c r="I26" s="645">
        <v>2387</v>
      </c>
      <c r="J26" s="646">
        <v>1151.4000000000001</v>
      </c>
      <c r="K26" s="646">
        <v>615.76</v>
      </c>
      <c r="L26" s="646">
        <v>427.03</v>
      </c>
      <c r="M26" s="646">
        <v>328.02</v>
      </c>
      <c r="N26" s="647">
        <v>195</v>
      </c>
      <c r="O26" s="648">
        <f>C26+D26+E26+F26+G26+H26+I26+J26+K26+L26+M26+N26</f>
        <v>14678.42</v>
      </c>
    </row>
    <row r="27" spans="1:15" ht="15" x14ac:dyDescent="0.25">
      <c r="A27" s="651">
        <v>12117</v>
      </c>
      <c r="B27" s="652" t="s">
        <v>882</v>
      </c>
      <c r="C27" s="642">
        <v>366.91</v>
      </c>
      <c r="D27" s="642">
        <v>845.24</v>
      </c>
      <c r="E27" s="642">
        <v>57.6</v>
      </c>
      <c r="F27" s="643">
        <v>38.090000000000003</v>
      </c>
      <c r="G27" s="643">
        <v>27.3</v>
      </c>
      <c r="H27" s="644">
        <v>24.09</v>
      </c>
      <c r="I27" s="645">
        <v>995.89</v>
      </c>
      <c r="J27" s="646">
        <v>330.25</v>
      </c>
      <c r="K27" s="646">
        <v>158.88</v>
      </c>
      <c r="L27" s="646">
        <v>130.51</v>
      </c>
      <c r="M27" s="646">
        <v>58.96</v>
      </c>
      <c r="N27" s="647">
        <v>190</v>
      </c>
      <c r="O27" s="648">
        <f>C27+D27+E27+F27+G27+H27+I27+J27+K27+L27+M27+N27</f>
        <v>3223.7200000000003</v>
      </c>
    </row>
    <row r="28" spans="1:15" ht="15.75" x14ac:dyDescent="0.25">
      <c r="A28" s="1237" t="s">
        <v>225</v>
      </c>
      <c r="B28" s="1238"/>
      <c r="C28" s="653">
        <f t="shared" ref="C28:N28" si="1">SUM(C21:C27)</f>
        <v>15853.75</v>
      </c>
      <c r="D28" s="653">
        <f t="shared" si="1"/>
        <v>8581.31</v>
      </c>
      <c r="E28" s="653">
        <f t="shared" si="1"/>
        <v>2875.67</v>
      </c>
      <c r="F28" s="654">
        <f t="shared" si="1"/>
        <v>2221.7400000000002</v>
      </c>
      <c r="G28" s="654">
        <f t="shared" si="1"/>
        <v>2302.9</v>
      </c>
      <c r="H28" s="655">
        <f t="shared" si="1"/>
        <v>3353.42</v>
      </c>
      <c r="I28" s="656">
        <f t="shared" si="1"/>
        <v>4934.34</v>
      </c>
      <c r="J28" s="654">
        <f t="shared" si="1"/>
        <v>2833.83</v>
      </c>
      <c r="K28" s="654">
        <f t="shared" si="1"/>
        <v>1005.8</v>
      </c>
      <c r="L28" s="654">
        <f t="shared" si="1"/>
        <v>708.43999999999994</v>
      </c>
      <c r="M28" s="654">
        <f t="shared" si="1"/>
        <v>514.56000000000006</v>
      </c>
      <c r="N28" s="657">
        <f t="shared" si="1"/>
        <v>1465</v>
      </c>
      <c r="O28" s="658">
        <f>SUM(O21:O27)</f>
        <v>46650.76</v>
      </c>
    </row>
    <row r="29" spans="1:15" ht="15" x14ac:dyDescent="0.25">
      <c r="A29" s="659"/>
      <c r="B29" s="659"/>
      <c r="C29" s="660"/>
      <c r="D29" s="659"/>
      <c r="E29" s="659"/>
      <c r="F29" s="443"/>
      <c r="G29" s="661"/>
      <c r="H29" s="662"/>
      <c r="I29" s="663"/>
      <c r="J29" s="663"/>
      <c r="K29" s="663"/>
      <c r="L29" s="663"/>
      <c r="M29" s="663"/>
      <c r="N29" s="443"/>
      <c r="O29" s="443"/>
    </row>
    <row r="30" spans="1:15" ht="15.75" x14ac:dyDescent="0.25">
      <c r="A30" s="659"/>
      <c r="B30" s="659"/>
      <c r="C30" s="660"/>
      <c r="D30" s="659"/>
      <c r="E30" s="659"/>
      <c r="F30" s="443"/>
      <c r="G30" s="661"/>
      <c r="H30" s="662"/>
      <c r="I30" s="663"/>
      <c r="J30" s="663"/>
      <c r="K30" s="663"/>
      <c r="L30" s="663"/>
      <c r="M30" s="663"/>
      <c r="N30" s="664">
        <v>0.05</v>
      </c>
      <c r="O30" s="665">
        <v>48983.3</v>
      </c>
    </row>
  </sheetData>
  <mergeCells count="12">
    <mergeCell ref="A19:O19"/>
    <mergeCell ref="A28:B28"/>
    <mergeCell ref="I2:M2"/>
    <mergeCell ref="C3:D3"/>
    <mergeCell ref="A4:A10"/>
    <mergeCell ref="C4:D4"/>
    <mergeCell ref="C5:D5"/>
    <mergeCell ref="C6:D6"/>
    <mergeCell ref="C10:D10"/>
    <mergeCell ref="C7:D7"/>
    <mergeCell ref="C8:D8"/>
    <mergeCell ref="C9:D9"/>
  </mergeCells>
  <pageMargins left="1.23" right="0.77" top="0.75" bottom="0.75" header="0.3" footer="0.3"/>
  <pageSetup paperSize="5" scale="7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tabColor theme="8"/>
  </sheetPr>
  <dimension ref="A1:M90"/>
  <sheetViews>
    <sheetView view="pageBreakPreview" topLeftCell="B81" zoomScaleNormal="100" zoomScaleSheetLayoutView="100" workbookViewId="0">
      <pane ySplit="3000" topLeftCell="A94" activePane="bottomLeft"/>
      <selection activeCell="G27" sqref="G27"/>
      <selection pane="bottomLeft" activeCell="A4" sqref="A4:J4"/>
    </sheetView>
  </sheetViews>
  <sheetFormatPr baseColWidth="10" defaultColWidth="11.42578125" defaultRowHeight="12.75" x14ac:dyDescent="0.2"/>
  <cols>
    <col min="1" max="1" width="10.42578125" style="30" customWidth="1"/>
    <col min="2" max="2" width="25.5703125" style="24" customWidth="1"/>
    <col min="3" max="3" width="15.5703125" style="24" customWidth="1"/>
    <col min="4" max="5" width="15.28515625" style="24" customWidth="1"/>
    <col min="6" max="6" width="12.5703125" style="24" customWidth="1"/>
    <col min="7" max="7" width="12.42578125" style="24" customWidth="1"/>
    <col min="8" max="9" width="11.7109375" style="24" customWidth="1"/>
    <col min="10" max="10" width="14.140625" style="29" customWidth="1"/>
    <col min="11" max="11" width="11.42578125" style="25"/>
    <col min="12" max="12" width="16.85546875" style="25" bestFit="1" customWidth="1"/>
    <col min="13" max="13" width="13.7109375" style="25" bestFit="1" customWidth="1"/>
    <col min="14" max="16384" width="11.42578125" style="25"/>
  </cols>
  <sheetData>
    <row r="1" spans="1:10" ht="20.25" customHeight="1" x14ac:dyDescent="0.2">
      <c r="A1" s="37"/>
      <c r="B1" s="37"/>
      <c r="C1" s="37"/>
      <c r="D1" s="37"/>
      <c r="E1" s="37"/>
      <c r="F1" s="37"/>
      <c r="G1" s="37"/>
      <c r="H1" s="37"/>
      <c r="I1" s="37"/>
      <c r="J1" s="37"/>
    </row>
    <row r="2" spans="1:10" ht="18" customHeight="1" x14ac:dyDescent="0.2">
      <c r="A2" s="938" t="s">
        <v>329</v>
      </c>
      <c r="B2" s="938"/>
      <c r="C2" s="938"/>
      <c r="D2" s="938"/>
      <c r="E2" s="938"/>
      <c r="F2" s="938"/>
      <c r="G2" s="938"/>
      <c r="H2" s="938"/>
      <c r="I2" s="938"/>
      <c r="J2" s="938"/>
    </row>
    <row r="3" spans="1:10" ht="15.75" x14ac:dyDescent="0.2">
      <c r="A3" s="939" t="s">
        <v>678</v>
      </c>
      <c r="B3" s="939"/>
      <c r="C3" s="939"/>
      <c r="D3" s="939"/>
      <c r="E3" s="939"/>
      <c r="F3" s="939"/>
      <c r="G3" s="939"/>
      <c r="H3" s="939"/>
      <c r="I3" s="939"/>
      <c r="J3" s="939"/>
    </row>
    <row r="4" spans="1:10" ht="15" x14ac:dyDescent="0.2">
      <c r="A4" s="933" t="s">
        <v>6</v>
      </c>
      <c r="B4" s="933"/>
      <c r="C4" s="933"/>
      <c r="D4" s="933"/>
      <c r="E4" s="933"/>
      <c r="F4" s="933"/>
      <c r="G4" s="933"/>
      <c r="H4" s="933"/>
      <c r="I4" s="933"/>
      <c r="J4" s="933"/>
    </row>
    <row r="5" spans="1:10" ht="16.5" thickBot="1" x14ac:dyDescent="0.25">
      <c r="A5" s="940" t="s">
        <v>10</v>
      </c>
      <c r="B5" s="941"/>
      <c r="C5" s="941"/>
      <c r="D5" s="941"/>
      <c r="E5" s="941"/>
      <c r="F5" s="941"/>
      <c r="G5" s="941"/>
      <c r="H5" s="941"/>
      <c r="I5" s="941"/>
      <c r="J5" s="941"/>
    </row>
    <row r="6" spans="1:10" ht="15.75" customHeight="1" thickBot="1" x14ac:dyDescent="0.25">
      <c r="A6" s="948" t="s">
        <v>89</v>
      </c>
      <c r="B6" s="942" t="s">
        <v>90</v>
      </c>
      <c r="C6" s="951" t="s">
        <v>512</v>
      </c>
      <c r="D6" s="952"/>
      <c r="E6" s="285"/>
      <c r="F6" s="285"/>
      <c r="G6" s="285"/>
      <c r="H6" s="934" t="s">
        <v>346</v>
      </c>
      <c r="I6" s="934" t="s">
        <v>563</v>
      </c>
      <c r="J6" s="945" t="s">
        <v>92</v>
      </c>
    </row>
    <row r="7" spans="1:10" ht="33" customHeight="1" thickBot="1" x14ac:dyDescent="0.25">
      <c r="A7" s="949"/>
      <c r="B7" s="943"/>
      <c r="C7" s="205" t="s">
        <v>332</v>
      </c>
      <c r="D7" s="863"/>
      <c r="E7" s="414" t="s">
        <v>1182</v>
      </c>
      <c r="F7" s="414" t="s">
        <v>679</v>
      </c>
      <c r="G7" s="288" t="s">
        <v>576</v>
      </c>
      <c r="H7" s="935"/>
      <c r="I7" s="935"/>
      <c r="J7" s="946"/>
    </row>
    <row r="8" spans="1:10" ht="104.25" customHeight="1" thickBot="1" x14ac:dyDescent="0.25">
      <c r="A8" s="950"/>
      <c r="B8" s="944"/>
      <c r="C8" s="206" t="s">
        <v>91</v>
      </c>
      <c r="D8" s="284" t="s">
        <v>1220</v>
      </c>
      <c r="E8" s="284" t="s">
        <v>1182</v>
      </c>
      <c r="F8" s="284" t="s">
        <v>680</v>
      </c>
      <c r="G8" s="284" t="s">
        <v>577</v>
      </c>
      <c r="H8" s="936"/>
      <c r="I8" s="936"/>
      <c r="J8" s="947"/>
    </row>
    <row r="9" spans="1:10" ht="15.75" customHeight="1" x14ac:dyDescent="0.2">
      <c r="A9" s="220">
        <v>11</v>
      </c>
      <c r="B9" s="221" t="s">
        <v>232</v>
      </c>
      <c r="C9" s="325">
        <f>+C10</f>
        <v>197301.33244444447</v>
      </c>
      <c r="D9" s="326">
        <f t="shared" ref="D9:J9" si="0">+D10</f>
        <v>0</v>
      </c>
      <c r="E9" s="326"/>
      <c r="F9" s="326"/>
      <c r="G9" s="326">
        <f t="shared" si="0"/>
        <v>0</v>
      </c>
      <c r="H9" s="326">
        <f t="shared" si="0"/>
        <v>0</v>
      </c>
      <c r="I9" s="326">
        <f t="shared" si="0"/>
        <v>0</v>
      </c>
      <c r="J9" s="325">
        <f t="shared" si="0"/>
        <v>197301.33244444447</v>
      </c>
    </row>
    <row r="10" spans="1:10" ht="15.75" customHeight="1" x14ac:dyDescent="0.2">
      <c r="A10" s="72">
        <v>118</v>
      </c>
      <c r="B10" s="85" t="s">
        <v>233</v>
      </c>
      <c r="C10" s="327">
        <f>SUM(C11:C19)</f>
        <v>197301.33244444447</v>
      </c>
      <c r="D10" s="328">
        <f t="shared" ref="D10:G10" si="1">SUM(D11:D19)</f>
        <v>0</v>
      </c>
      <c r="E10" s="328"/>
      <c r="F10" s="328">
        <f t="shared" si="1"/>
        <v>0</v>
      </c>
      <c r="G10" s="328">
        <f t="shared" si="1"/>
        <v>0</v>
      </c>
      <c r="H10" s="328">
        <f>SUM(H11:H19)</f>
        <v>0</v>
      </c>
      <c r="I10" s="328">
        <f>SUM(I11:I19)</f>
        <v>0</v>
      </c>
      <c r="J10" s="329">
        <f>SUM(J11:J19)</f>
        <v>197301.33244444447</v>
      </c>
    </row>
    <row r="11" spans="1:10" ht="15.75" customHeight="1" x14ac:dyDescent="0.2">
      <c r="A11" s="84" t="s">
        <v>11</v>
      </c>
      <c r="B11" s="62" t="s">
        <v>12</v>
      </c>
      <c r="C11" s="330">
        <v>20942.744666666666</v>
      </c>
      <c r="D11" s="331"/>
      <c r="E11" s="331"/>
      <c r="F11" s="331"/>
      <c r="G11" s="331"/>
      <c r="H11" s="331"/>
      <c r="I11" s="328"/>
      <c r="J11" s="329">
        <f t="shared" ref="J11:J19" si="2">SUM(C11:I11)</f>
        <v>20942.744666666666</v>
      </c>
    </row>
    <row r="12" spans="1:10" ht="15.75" customHeight="1" x14ac:dyDescent="0.2">
      <c r="A12" s="84" t="s">
        <v>13</v>
      </c>
      <c r="B12" s="62" t="s">
        <v>14</v>
      </c>
      <c r="C12" s="330">
        <v>74981.461111111115</v>
      </c>
      <c r="D12" s="331"/>
      <c r="E12" s="331"/>
      <c r="F12" s="331"/>
      <c r="G12" s="331"/>
      <c r="H12" s="331"/>
      <c r="I12" s="328"/>
      <c r="J12" s="329">
        <f t="shared" si="2"/>
        <v>74981.461111111115</v>
      </c>
    </row>
    <row r="13" spans="1:10" ht="15.75" customHeight="1" x14ac:dyDescent="0.2">
      <c r="A13" s="84">
        <v>11803</v>
      </c>
      <c r="B13" s="62" t="s">
        <v>588</v>
      </c>
      <c r="C13" s="330">
        <v>146.36666666666667</v>
      </c>
      <c r="D13" s="331"/>
      <c r="E13" s="331"/>
      <c r="F13" s="331"/>
      <c r="G13" s="331"/>
      <c r="H13" s="331"/>
      <c r="I13" s="328"/>
      <c r="J13" s="329">
        <f t="shared" si="2"/>
        <v>146.36666666666667</v>
      </c>
    </row>
    <row r="14" spans="1:10" ht="15.75" customHeight="1" x14ac:dyDescent="0.2">
      <c r="A14" s="84" t="s">
        <v>15</v>
      </c>
      <c r="B14" s="62" t="s">
        <v>16</v>
      </c>
      <c r="C14" s="330">
        <v>80561.184444444443</v>
      </c>
      <c r="D14" s="331"/>
      <c r="E14" s="331"/>
      <c r="F14" s="331"/>
      <c r="G14" s="331"/>
      <c r="H14" s="331"/>
      <c r="I14" s="328"/>
      <c r="J14" s="329">
        <f t="shared" si="2"/>
        <v>80561.184444444443</v>
      </c>
    </row>
    <row r="15" spans="1:10" ht="15.75" customHeight="1" x14ac:dyDescent="0.2">
      <c r="A15" s="82">
        <v>11815</v>
      </c>
      <c r="B15" s="76" t="s">
        <v>589</v>
      </c>
      <c r="C15" s="330">
        <v>11.666666666666666</v>
      </c>
      <c r="D15" s="331"/>
      <c r="E15" s="331"/>
      <c r="F15" s="331"/>
      <c r="G15" s="331"/>
      <c r="H15" s="331"/>
      <c r="I15" s="328"/>
      <c r="J15" s="329">
        <f t="shared" si="2"/>
        <v>11.666666666666666</v>
      </c>
    </row>
    <row r="16" spans="1:10" ht="15.75" customHeight="1" x14ac:dyDescent="0.2">
      <c r="A16" s="84">
        <v>11816</v>
      </c>
      <c r="B16" s="62" t="s">
        <v>349</v>
      </c>
      <c r="C16" s="330">
        <v>5131.67</v>
      </c>
      <c r="D16" s="331"/>
      <c r="E16" s="331"/>
      <c r="F16" s="331"/>
      <c r="G16" s="331"/>
      <c r="H16" s="331"/>
      <c r="I16" s="328"/>
      <c r="J16" s="329">
        <f t="shared" si="2"/>
        <v>5131.67</v>
      </c>
    </row>
    <row r="17" spans="1:10" ht="15.75" customHeight="1" x14ac:dyDescent="0.2">
      <c r="A17" s="82" t="s">
        <v>93</v>
      </c>
      <c r="B17" s="76" t="s">
        <v>94</v>
      </c>
      <c r="C17" s="330">
        <v>9359.8611111111113</v>
      </c>
      <c r="D17" s="331"/>
      <c r="E17" s="331"/>
      <c r="F17" s="331"/>
      <c r="G17" s="331"/>
      <c r="H17" s="331"/>
      <c r="I17" s="328"/>
      <c r="J17" s="329">
        <f t="shared" si="2"/>
        <v>9359.8611111111113</v>
      </c>
    </row>
    <row r="18" spans="1:10" ht="15.75" customHeight="1" x14ac:dyDescent="0.2">
      <c r="A18" s="83">
        <v>11818</v>
      </c>
      <c r="B18" s="62" t="s">
        <v>50</v>
      </c>
      <c r="C18" s="330">
        <v>6166.3777777777786</v>
      </c>
      <c r="D18" s="331"/>
      <c r="E18" s="331"/>
      <c r="F18" s="331"/>
      <c r="G18" s="331"/>
      <c r="H18" s="331"/>
      <c r="I18" s="328"/>
      <c r="J18" s="329">
        <f t="shared" si="2"/>
        <v>6166.3777777777786</v>
      </c>
    </row>
    <row r="19" spans="1:10" ht="24.75" customHeight="1" x14ac:dyDescent="0.2">
      <c r="A19" s="82" t="s">
        <v>80</v>
      </c>
      <c r="B19" s="76" t="s">
        <v>95</v>
      </c>
      <c r="C19" s="330"/>
      <c r="D19" s="331"/>
      <c r="E19" s="331"/>
      <c r="F19" s="331"/>
      <c r="G19" s="331"/>
      <c r="H19" s="331"/>
      <c r="I19" s="328"/>
      <c r="J19" s="329">
        <f t="shared" si="2"/>
        <v>0</v>
      </c>
    </row>
    <row r="20" spans="1:10" ht="15.75" customHeight="1" x14ac:dyDescent="0.2">
      <c r="A20" s="267">
        <v>12</v>
      </c>
      <c r="B20" s="268" t="s">
        <v>234</v>
      </c>
      <c r="C20" s="332">
        <f t="shared" ref="C20:J20" si="3">+C21+C34</f>
        <v>330514.11432777782</v>
      </c>
      <c r="D20" s="333">
        <f t="shared" si="3"/>
        <v>0</v>
      </c>
      <c r="E20" s="333"/>
      <c r="F20" s="333">
        <f t="shared" si="3"/>
        <v>0</v>
      </c>
      <c r="G20" s="333">
        <f t="shared" si="3"/>
        <v>0</v>
      </c>
      <c r="H20" s="333">
        <f t="shared" si="3"/>
        <v>0</v>
      </c>
      <c r="I20" s="333">
        <f t="shared" si="3"/>
        <v>0</v>
      </c>
      <c r="J20" s="332">
        <f t="shared" si="3"/>
        <v>330514.11432777782</v>
      </c>
    </row>
    <row r="21" spans="1:10" ht="15.75" customHeight="1" x14ac:dyDescent="0.2">
      <c r="A21" s="73">
        <v>121</v>
      </c>
      <c r="B21" s="86" t="s">
        <v>235</v>
      </c>
      <c r="C21" s="334">
        <f t="shared" ref="C21:J21" si="4">SUM(C22:C33)</f>
        <v>316979.04766111117</v>
      </c>
      <c r="D21" s="331">
        <f t="shared" si="4"/>
        <v>0</v>
      </c>
      <c r="E21" s="331"/>
      <c r="F21" s="331">
        <f t="shared" si="4"/>
        <v>0</v>
      </c>
      <c r="G21" s="331">
        <f t="shared" si="4"/>
        <v>0</v>
      </c>
      <c r="H21" s="331">
        <f t="shared" si="4"/>
        <v>0</v>
      </c>
      <c r="I21" s="331">
        <f t="shared" si="4"/>
        <v>0</v>
      </c>
      <c r="J21" s="324">
        <f t="shared" si="4"/>
        <v>316979.04766111117</v>
      </c>
    </row>
    <row r="22" spans="1:10" ht="26.25" customHeight="1" x14ac:dyDescent="0.2">
      <c r="A22" s="83">
        <v>12105</v>
      </c>
      <c r="B22" s="62" t="s">
        <v>181</v>
      </c>
      <c r="C22" s="330">
        <v>41821.301444444442</v>
      </c>
      <c r="D22" s="331"/>
      <c r="E22" s="331"/>
      <c r="F22" s="331"/>
      <c r="G22" s="331"/>
      <c r="H22" s="331"/>
      <c r="I22" s="328"/>
      <c r="J22" s="329">
        <f t="shared" ref="J22:J33" si="5">SUM(C22:I22)</f>
        <v>41821.301444444442</v>
      </c>
    </row>
    <row r="23" spans="1:10" ht="24" customHeight="1" x14ac:dyDescent="0.2">
      <c r="A23" s="83">
        <v>12106</v>
      </c>
      <c r="B23" s="62" t="s">
        <v>182</v>
      </c>
      <c r="C23" s="330">
        <v>1291.691111111111</v>
      </c>
      <c r="D23" s="331"/>
      <c r="E23" s="331"/>
      <c r="F23" s="331"/>
      <c r="G23" s="331"/>
      <c r="H23" s="331"/>
      <c r="I23" s="328"/>
      <c r="J23" s="329">
        <f t="shared" si="5"/>
        <v>1291.691111111111</v>
      </c>
    </row>
    <row r="24" spans="1:10" ht="15.75" customHeight="1" x14ac:dyDescent="0.2">
      <c r="A24" s="83">
        <v>12108</v>
      </c>
      <c r="B24" s="62" t="s">
        <v>19</v>
      </c>
      <c r="C24" s="330">
        <v>22087.265888888887</v>
      </c>
      <c r="D24" s="331"/>
      <c r="E24" s="331"/>
      <c r="F24" s="331"/>
      <c r="G24" s="331"/>
      <c r="H24" s="331"/>
      <c r="I24" s="328"/>
      <c r="J24" s="329">
        <f t="shared" si="5"/>
        <v>22087.265888888887</v>
      </c>
    </row>
    <row r="25" spans="1:10" ht="15.75" customHeight="1" x14ac:dyDescent="0.2">
      <c r="A25" s="82" t="s">
        <v>17</v>
      </c>
      <c r="B25" s="76" t="s">
        <v>18</v>
      </c>
      <c r="C25" s="330">
        <v>66081.117777777778</v>
      </c>
      <c r="D25" s="331"/>
      <c r="E25" s="331"/>
      <c r="F25" s="331"/>
      <c r="G25" s="331"/>
      <c r="H25" s="331"/>
      <c r="I25" s="328"/>
      <c r="J25" s="329">
        <f t="shared" si="5"/>
        <v>66081.117777777778</v>
      </c>
    </row>
    <row r="26" spans="1:10" ht="15.75" customHeight="1" x14ac:dyDescent="0.2">
      <c r="A26" s="82" t="s">
        <v>51</v>
      </c>
      <c r="B26" s="76" t="s">
        <v>52</v>
      </c>
      <c r="C26" s="330">
        <v>5477.7111111111108</v>
      </c>
      <c r="D26" s="331"/>
      <c r="E26" s="331"/>
      <c r="F26" s="331"/>
      <c r="G26" s="331"/>
      <c r="H26" s="331"/>
      <c r="I26" s="328"/>
      <c r="J26" s="329">
        <f t="shared" si="5"/>
        <v>5477.7111111111108</v>
      </c>
    </row>
    <row r="27" spans="1:10" ht="15.75" customHeight="1" x14ac:dyDescent="0.2">
      <c r="A27" s="82" t="s">
        <v>53</v>
      </c>
      <c r="B27" s="76" t="s">
        <v>302</v>
      </c>
      <c r="C27" s="330">
        <v>25860.425883333333</v>
      </c>
      <c r="D27" s="331"/>
      <c r="E27" s="331"/>
      <c r="F27" s="331"/>
      <c r="G27" s="331"/>
      <c r="H27" s="331"/>
      <c r="I27" s="328"/>
      <c r="J27" s="329">
        <f t="shared" si="5"/>
        <v>25860.425883333333</v>
      </c>
    </row>
    <row r="28" spans="1:10" ht="15.75" customHeight="1" x14ac:dyDescent="0.2">
      <c r="A28" s="82" t="s">
        <v>96</v>
      </c>
      <c r="B28" s="76" t="s">
        <v>97</v>
      </c>
      <c r="C28" s="330">
        <v>617.77333333333331</v>
      </c>
      <c r="D28" s="331"/>
      <c r="E28" s="331"/>
      <c r="F28" s="331"/>
      <c r="G28" s="331"/>
      <c r="H28" s="331"/>
      <c r="I28" s="328"/>
      <c r="J28" s="329">
        <f t="shared" si="5"/>
        <v>617.77333333333331</v>
      </c>
    </row>
    <row r="29" spans="1:10" ht="15.75" customHeight="1" x14ac:dyDescent="0.2">
      <c r="A29" s="82" t="s">
        <v>54</v>
      </c>
      <c r="B29" s="76" t="s">
        <v>55</v>
      </c>
      <c r="C29" s="330">
        <v>9808.7388888888891</v>
      </c>
      <c r="D29" s="331"/>
      <c r="E29" s="331"/>
      <c r="F29" s="331"/>
      <c r="G29" s="331"/>
      <c r="H29" s="331"/>
      <c r="I29" s="328"/>
      <c r="J29" s="329">
        <f t="shared" si="5"/>
        <v>9808.7388888888891</v>
      </c>
    </row>
    <row r="30" spans="1:10" ht="15.75" customHeight="1" x14ac:dyDescent="0.2">
      <c r="A30" s="82" t="s">
        <v>56</v>
      </c>
      <c r="B30" s="76" t="s">
        <v>57</v>
      </c>
      <c r="C30" s="330">
        <v>140656.57333333333</v>
      </c>
      <c r="D30" s="331"/>
      <c r="E30" s="331"/>
      <c r="F30" s="331"/>
      <c r="G30" s="331"/>
      <c r="H30" s="331"/>
      <c r="I30" s="328"/>
      <c r="J30" s="329">
        <f t="shared" si="5"/>
        <v>140656.57333333333</v>
      </c>
    </row>
    <row r="31" spans="1:10" ht="15.75" customHeight="1" x14ac:dyDescent="0.2">
      <c r="A31" s="82" t="s">
        <v>58</v>
      </c>
      <c r="B31" s="173" t="s">
        <v>59</v>
      </c>
      <c r="C31" s="330">
        <v>435.09444444444443</v>
      </c>
      <c r="D31" s="331"/>
      <c r="E31" s="331"/>
      <c r="F31" s="331"/>
      <c r="G31" s="331"/>
      <c r="H31" s="331"/>
      <c r="I31" s="328"/>
      <c r="J31" s="329">
        <f t="shared" si="5"/>
        <v>435.09444444444443</v>
      </c>
    </row>
    <row r="32" spans="1:10" ht="15.75" customHeight="1" x14ac:dyDescent="0.2">
      <c r="A32" s="82">
        <v>12120</v>
      </c>
      <c r="B32" s="173" t="s">
        <v>593</v>
      </c>
      <c r="C32" s="330">
        <v>1251.5822222222223</v>
      </c>
      <c r="D32" s="331"/>
      <c r="E32" s="331"/>
      <c r="F32" s="331"/>
      <c r="G32" s="331"/>
      <c r="H32" s="331"/>
      <c r="I32" s="328"/>
      <c r="J32" s="329">
        <f t="shared" si="5"/>
        <v>1251.5822222222223</v>
      </c>
    </row>
    <row r="33" spans="1:10" ht="15.75" customHeight="1" x14ac:dyDescent="0.2">
      <c r="A33" s="82">
        <v>12199</v>
      </c>
      <c r="B33" s="76" t="s">
        <v>556</v>
      </c>
      <c r="C33" s="330">
        <v>1589.7722222222219</v>
      </c>
      <c r="D33" s="331"/>
      <c r="E33" s="331"/>
      <c r="F33" s="331"/>
      <c r="G33" s="331"/>
      <c r="H33" s="331"/>
      <c r="I33" s="328"/>
      <c r="J33" s="329">
        <f t="shared" si="5"/>
        <v>1589.7722222222219</v>
      </c>
    </row>
    <row r="34" spans="1:10" ht="15.75" customHeight="1" x14ac:dyDescent="0.2">
      <c r="A34" s="75">
        <v>122</v>
      </c>
      <c r="B34" s="87" t="s">
        <v>73</v>
      </c>
      <c r="C34" s="334">
        <f>C35+C36+C37</f>
        <v>13535.066666666666</v>
      </c>
      <c r="D34" s="331">
        <f t="shared" ref="D34:J34" si="6">SUM(D35:D37)</f>
        <v>0</v>
      </c>
      <c r="E34" s="331"/>
      <c r="F34" s="331">
        <f t="shared" si="6"/>
        <v>0</v>
      </c>
      <c r="G34" s="331"/>
      <c r="H34" s="331">
        <f t="shared" si="6"/>
        <v>0</v>
      </c>
      <c r="I34" s="331">
        <f t="shared" si="6"/>
        <v>0</v>
      </c>
      <c r="J34" s="324">
        <f t="shared" si="6"/>
        <v>13535.066666666666</v>
      </c>
    </row>
    <row r="35" spans="1:10" ht="25.5" customHeight="1" x14ac:dyDescent="0.2">
      <c r="A35" s="82" t="s">
        <v>87</v>
      </c>
      <c r="B35" s="76" t="s">
        <v>98</v>
      </c>
      <c r="C35" s="330">
        <v>13204.169999999998</v>
      </c>
      <c r="D35" s="331"/>
      <c r="E35" s="331"/>
      <c r="F35" s="331"/>
      <c r="G35" s="331"/>
      <c r="H35" s="331"/>
      <c r="I35" s="328"/>
      <c r="J35" s="329">
        <f>SUM(C35:I35)</f>
        <v>13204.169999999998</v>
      </c>
    </row>
    <row r="36" spans="1:10" ht="15.75" customHeight="1" x14ac:dyDescent="0.2">
      <c r="A36" s="82" t="s">
        <v>20</v>
      </c>
      <c r="B36" s="76" t="s">
        <v>21</v>
      </c>
      <c r="C36" s="330">
        <v>255.89666666666668</v>
      </c>
      <c r="D36" s="331"/>
      <c r="E36" s="331"/>
      <c r="F36" s="331"/>
      <c r="G36" s="331"/>
      <c r="H36" s="331"/>
      <c r="I36" s="328"/>
      <c r="J36" s="329">
        <f>SUM(C36:I36)</f>
        <v>255.89666666666668</v>
      </c>
    </row>
    <row r="37" spans="1:10" ht="15.75" customHeight="1" x14ac:dyDescent="0.2">
      <c r="A37" s="82" t="s">
        <v>99</v>
      </c>
      <c r="B37" s="76" t="s">
        <v>100</v>
      </c>
      <c r="C37" s="330">
        <v>75</v>
      </c>
      <c r="D37" s="331"/>
      <c r="E37" s="331"/>
      <c r="F37" s="331"/>
      <c r="G37" s="331"/>
      <c r="H37" s="331"/>
      <c r="I37" s="328"/>
      <c r="J37" s="329">
        <f>SUM(C37:I37)</f>
        <v>75</v>
      </c>
    </row>
    <row r="38" spans="1:10" ht="22.5" customHeight="1" x14ac:dyDescent="0.2">
      <c r="A38" s="269">
        <v>14</v>
      </c>
      <c r="B38" s="270" t="s">
        <v>236</v>
      </c>
      <c r="C38" s="332">
        <f t="shared" ref="C38:J38" si="7">+C39</f>
        <v>9498.7388888888872</v>
      </c>
      <c r="D38" s="333">
        <f t="shared" si="7"/>
        <v>0</v>
      </c>
      <c r="E38" s="333"/>
      <c r="F38" s="333">
        <f t="shared" si="7"/>
        <v>0</v>
      </c>
      <c r="G38" s="333"/>
      <c r="H38" s="333">
        <f t="shared" si="7"/>
        <v>0</v>
      </c>
      <c r="I38" s="333">
        <f t="shared" si="7"/>
        <v>0</v>
      </c>
      <c r="J38" s="332">
        <f t="shared" si="7"/>
        <v>9498.7388888888872</v>
      </c>
    </row>
    <row r="39" spans="1:10" ht="15.75" customHeight="1" x14ac:dyDescent="0.2">
      <c r="A39" s="75">
        <v>142</v>
      </c>
      <c r="B39" s="87" t="s">
        <v>237</v>
      </c>
      <c r="C39" s="334">
        <f t="shared" ref="C39:J39" si="8">SUM(C40:C41)</f>
        <v>9498.7388888888872</v>
      </c>
      <c r="D39" s="331">
        <f t="shared" si="8"/>
        <v>0</v>
      </c>
      <c r="E39" s="331"/>
      <c r="F39" s="331"/>
      <c r="G39" s="331"/>
      <c r="H39" s="331">
        <f t="shared" si="8"/>
        <v>0</v>
      </c>
      <c r="I39" s="331">
        <f t="shared" si="8"/>
        <v>0</v>
      </c>
      <c r="J39" s="324">
        <f t="shared" si="8"/>
        <v>9498.7388888888872</v>
      </c>
    </row>
    <row r="40" spans="1:10" ht="15.75" customHeight="1" x14ac:dyDescent="0.2">
      <c r="A40" s="82" t="s">
        <v>101</v>
      </c>
      <c r="B40" s="76" t="s">
        <v>102</v>
      </c>
      <c r="C40" s="330">
        <v>285.7833333333333</v>
      </c>
      <c r="D40" s="331"/>
      <c r="E40" s="331"/>
      <c r="F40" s="331"/>
      <c r="G40" s="331"/>
      <c r="H40" s="331"/>
      <c r="I40" s="328"/>
      <c r="J40" s="329">
        <f>SUM(C40:I40)</f>
        <v>285.7833333333333</v>
      </c>
    </row>
    <row r="41" spans="1:10" ht="15.75" customHeight="1" x14ac:dyDescent="0.2">
      <c r="A41" s="82" t="s">
        <v>22</v>
      </c>
      <c r="B41" s="76" t="s">
        <v>23</v>
      </c>
      <c r="C41" s="330">
        <v>9212.9555555555544</v>
      </c>
      <c r="D41" s="331"/>
      <c r="E41" s="331"/>
      <c r="F41" s="331"/>
      <c r="G41" s="331"/>
      <c r="H41" s="331"/>
      <c r="I41" s="328"/>
      <c r="J41" s="329">
        <f>SUM(C41:I41)</f>
        <v>9212.9555555555544</v>
      </c>
    </row>
    <row r="42" spans="1:10" ht="25.5" customHeight="1" x14ac:dyDescent="0.2">
      <c r="A42" s="269">
        <v>15</v>
      </c>
      <c r="B42" s="270" t="s">
        <v>238</v>
      </c>
      <c r="C42" s="332">
        <f>+C43+C45+C53</f>
        <v>33008.337777777779</v>
      </c>
      <c r="D42" s="333">
        <f>+D43+D45+D53</f>
        <v>0</v>
      </c>
      <c r="E42" s="333"/>
      <c r="F42" s="333">
        <f>+F43+F45+F53</f>
        <v>0</v>
      </c>
      <c r="G42" s="333"/>
      <c r="H42" s="333">
        <f>+H43+H45+H53</f>
        <v>0</v>
      </c>
      <c r="I42" s="333">
        <f>+I43+I45+I53</f>
        <v>0</v>
      </c>
      <c r="J42" s="332">
        <f>+J43+J45+J53</f>
        <v>34508.337777777779</v>
      </c>
    </row>
    <row r="43" spans="1:10" ht="22.5" customHeight="1" x14ac:dyDescent="0.2">
      <c r="A43" s="75">
        <v>151</v>
      </c>
      <c r="B43" s="87" t="s">
        <v>247</v>
      </c>
      <c r="C43" s="330">
        <f t="shared" ref="C43:J43" si="9">+C44</f>
        <v>0</v>
      </c>
      <c r="D43" s="331"/>
      <c r="E43" s="331"/>
      <c r="F43" s="331"/>
      <c r="G43" s="331"/>
      <c r="H43" s="331">
        <f t="shared" si="9"/>
        <v>0</v>
      </c>
      <c r="I43" s="331">
        <f t="shared" si="9"/>
        <v>0</v>
      </c>
      <c r="J43" s="324">
        <f t="shared" si="9"/>
        <v>0</v>
      </c>
    </row>
    <row r="44" spans="1:10" ht="25.5" customHeight="1" x14ac:dyDescent="0.2">
      <c r="A44" s="82">
        <v>15199</v>
      </c>
      <c r="B44" s="76" t="s">
        <v>248</v>
      </c>
      <c r="C44" s="330"/>
      <c r="D44" s="331"/>
      <c r="E44" s="331"/>
      <c r="F44" s="331"/>
      <c r="G44" s="331"/>
      <c r="H44" s="331"/>
      <c r="I44" s="328"/>
      <c r="J44" s="329">
        <f t="shared" ref="J44:J53" si="10">SUM(C44:I44)</f>
        <v>0</v>
      </c>
    </row>
    <row r="45" spans="1:10" ht="25.5" customHeight="1" x14ac:dyDescent="0.2">
      <c r="A45" s="269">
        <v>153</v>
      </c>
      <c r="B45" s="270" t="s">
        <v>239</v>
      </c>
      <c r="C45" s="332">
        <f>SUM(C46:C52)</f>
        <v>13775.703333333335</v>
      </c>
      <c r="D45" s="333">
        <f t="shared" ref="D45:I45" si="11">SUM(D47:D52)</f>
        <v>0</v>
      </c>
      <c r="E45" s="333">
        <f t="shared" si="11"/>
        <v>0</v>
      </c>
      <c r="F45" s="333">
        <f t="shared" si="11"/>
        <v>0</v>
      </c>
      <c r="G45" s="333"/>
      <c r="H45" s="333">
        <f t="shared" si="11"/>
        <v>0</v>
      </c>
      <c r="I45" s="333">
        <f t="shared" si="11"/>
        <v>0</v>
      </c>
      <c r="J45" s="329">
        <f t="shared" si="10"/>
        <v>13775.703333333335</v>
      </c>
    </row>
    <row r="46" spans="1:10" ht="25.5" customHeight="1" x14ac:dyDescent="0.2">
      <c r="A46" s="82" t="s">
        <v>24</v>
      </c>
      <c r="B46" s="76" t="s">
        <v>25</v>
      </c>
      <c r="C46" s="330">
        <v>1870.6566666666665</v>
      </c>
      <c r="D46" s="331"/>
      <c r="E46" s="331"/>
      <c r="F46" s="331"/>
      <c r="G46" s="331"/>
      <c r="H46" s="331"/>
      <c r="I46" s="328"/>
      <c r="J46" s="329">
        <f t="shared" si="10"/>
        <v>1870.6566666666665</v>
      </c>
    </row>
    <row r="47" spans="1:10" ht="25.5" x14ac:dyDescent="0.2">
      <c r="A47" s="82" t="s">
        <v>27</v>
      </c>
      <c r="B47" s="76" t="s">
        <v>26</v>
      </c>
      <c r="C47" s="330">
        <v>3348.7277777777776</v>
      </c>
      <c r="D47" s="331"/>
      <c r="E47" s="331"/>
      <c r="F47" s="331"/>
      <c r="G47" s="331"/>
      <c r="H47" s="331"/>
      <c r="I47" s="328"/>
      <c r="J47" s="329">
        <f t="shared" si="10"/>
        <v>3348.7277777777776</v>
      </c>
    </row>
    <row r="48" spans="1:10" ht="25.5" x14ac:dyDescent="0.2">
      <c r="A48" s="82">
        <v>15310</v>
      </c>
      <c r="B48" s="76" t="s">
        <v>590</v>
      </c>
      <c r="C48" s="330">
        <v>172.2177777777778</v>
      </c>
      <c r="D48" s="331"/>
      <c r="E48" s="331"/>
      <c r="F48" s="331"/>
      <c r="G48" s="331"/>
      <c r="H48" s="331"/>
      <c r="I48" s="328"/>
      <c r="J48" s="329">
        <f t="shared" si="10"/>
        <v>172.2177777777778</v>
      </c>
    </row>
    <row r="49" spans="1:10" x14ac:dyDescent="0.2">
      <c r="A49" s="82">
        <v>15312</v>
      </c>
      <c r="B49" s="76" t="s">
        <v>196</v>
      </c>
      <c r="C49" s="330">
        <v>483.51444444444451</v>
      </c>
      <c r="D49" s="331"/>
      <c r="E49" s="331"/>
      <c r="F49" s="331"/>
      <c r="G49" s="331"/>
      <c r="H49" s="331"/>
      <c r="I49" s="328"/>
      <c r="J49" s="329">
        <f t="shared" si="10"/>
        <v>483.51444444444451</v>
      </c>
    </row>
    <row r="50" spans="1:10" x14ac:dyDescent="0.2">
      <c r="A50" s="82">
        <v>15313</v>
      </c>
      <c r="B50" s="76" t="s">
        <v>350</v>
      </c>
      <c r="C50" s="330">
        <v>1494.8566666666666</v>
      </c>
      <c r="D50" s="331"/>
      <c r="E50" s="331"/>
      <c r="F50" s="331"/>
      <c r="G50" s="331"/>
      <c r="H50" s="331"/>
      <c r="I50" s="328"/>
      <c r="J50" s="329">
        <f t="shared" si="10"/>
        <v>1494.8566666666666</v>
      </c>
    </row>
    <row r="51" spans="1:10" x14ac:dyDescent="0.2">
      <c r="A51" s="82" t="s">
        <v>81</v>
      </c>
      <c r="B51" s="76" t="s">
        <v>82</v>
      </c>
      <c r="C51" s="330">
        <v>6405.7300000000005</v>
      </c>
      <c r="D51" s="331"/>
      <c r="E51" s="331"/>
      <c r="F51" s="331"/>
      <c r="G51" s="331"/>
      <c r="H51" s="331"/>
      <c r="I51" s="328"/>
      <c r="J51" s="329">
        <f t="shared" si="10"/>
        <v>6405.7300000000005</v>
      </c>
    </row>
    <row r="52" spans="1:10" x14ac:dyDescent="0.2">
      <c r="A52" s="79">
        <v>15399</v>
      </c>
      <c r="B52" s="78" t="s">
        <v>249</v>
      </c>
      <c r="C52" s="330"/>
      <c r="D52" s="331"/>
      <c r="E52" s="331"/>
      <c r="F52" s="331"/>
      <c r="G52" s="331"/>
      <c r="H52" s="331"/>
      <c r="I52" s="328"/>
      <c r="J52" s="329">
        <f t="shared" si="10"/>
        <v>0</v>
      </c>
    </row>
    <row r="53" spans="1:10" ht="25.5" x14ac:dyDescent="0.2">
      <c r="A53" s="77">
        <v>157</v>
      </c>
      <c r="B53" s="80" t="s">
        <v>240</v>
      </c>
      <c r="C53" s="334">
        <f>SUM(C54:C55)</f>
        <v>19232.634444444444</v>
      </c>
      <c r="D53" s="331">
        <f>SUM(D54:D55)</f>
        <v>0</v>
      </c>
      <c r="E53" s="331">
        <f>SUM(E54:E55)</f>
        <v>1500</v>
      </c>
      <c r="F53" s="331">
        <f t="shared" ref="F53:I53" si="12">SUM(F54:F55)</f>
        <v>0</v>
      </c>
      <c r="G53" s="331">
        <f t="shared" si="12"/>
        <v>0</v>
      </c>
      <c r="H53" s="331">
        <f t="shared" si="12"/>
        <v>0</v>
      </c>
      <c r="I53" s="331">
        <f t="shared" si="12"/>
        <v>0</v>
      </c>
      <c r="J53" s="329">
        <f t="shared" si="10"/>
        <v>20732.634444444444</v>
      </c>
    </row>
    <row r="54" spans="1:10" ht="25.5" x14ac:dyDescent="0.2">
      <c r="A54" s="79" t="s">
        <v>60</v>
      </c>
      <c r="B54" s="78" t="s">
        <v>351</v>
      </c>
      <c r="C54" s="330">
        <v>9951.1866666666665</v>
      </c>
      <c r="D54" s="331"/>
      <c r="E54" s="331"/>
      <c r="F54" s="331"/>
      <c r="G54" s="331"/>
      <c r="H54" s="331"/>
      <c r="I54" s="328"/>
      <c r="J54" s="329">
        <v>9951.1866666666665</v>
      </c>
    </row>
    <row r="55" spans="1:10" x14ac:dyDescent="0.2">
      <c r="A55" s="79" t="s">
        <v>61</v>
      </c>
      <c r="B55" s="78" t="s">
        <v>62</v>
      </c>
      <c r="C55" s="330">
        <v>9281.4477777777774</v>
      </c>
      <c r="D55" s="331"/>
      <c r="E55" s="331">
        <v>1500</v>
      </c>
      <c r="F55" s="331"/>
      <c r="G55" s="331"/>
      <c r="H55" s="331"/>
      <c r="I55" s="328">
        <v>0</v>
      </c>
      <c r="J55" s="329">
        <v>9281.4477777777774</v>
      </c>
    </row>
    <row r="56" spans="1:10" x14ac:dyDescent="0.2">
      <c r="A56" s="271">
        <v>16</v>
      </c>
      <c r="B56" s="272" t="s">
        <v>241</v>
      </c>
      <c r="C56" s="332">
        <f>+C57</f>
        <v>0</v>
      </c>
      <c r="D56" s="333">
        <f t="shared" ref="D56:I57" si="13">+D57</f>
        <v>0</v>
      </c>
      <c r="E56" s="333"/>
      <c r="F56" s="333">
        <f>+F57</f>
        <v>480000</v>
      </c>
      <c r="G56" s="333">
        <f t="shared" si="13"/>
        <v>0</v>
      </c>
      <c r="H56" s="333">
        <f t="shared" si="13"/>
        <v>0</v>
      </c>
      <c r="I56" s="333">
        <f t="shared" si="13"/>
        <v>0</v>
      </c>
      <c r="J56" s="332">
        <f>SUM(D56:I56)</f>
        <v>480000</v>
      </c>
    </row>
    <row r="57" spans="1:10" ht="25.5" x14ac:dyDescent="0.2">
      <c r="A57" s="77">
        <v>162</v>
      </c>
      <c r="B57" s="80" t="s">
        <v>250</v>
      </c>
      <c r="C57" s="330">
        <f>+C58</f>
        <v>0</v>
      </c>
      <c r="D57" s="331">
        <f t="shared" si="13"/>
        <v>0</v>
      </c>
      <c r="E57" s="331"/>
      <c r="F57" s="331">
        <f>+F59</f>
        <v>480000</v>
      </c>
      <c r="G57" s="331"/>
      <c r="H57" s="331">
        <f t="shared" si="13"/>
        <v>0</v>
      </c>
      <c r="I57" s="331">
        <f t="shared" si="13"/>
        <v>0</v>
      </c>
      <c r="J57" s="324"/>
    </row>
    <row r="58" spans="1:10" ht="25.5" x14ac:dyDescent="0.2">
      <c r="A58" s="82" t="s">
        <v>28</v>
      </c>
      <c r="B58" s="76" t="s">
        <v>575</v>
      </c>
      <c r="C58" s="330"/>
      <c r="D58" s="335"/>
      <c r="E58" s="335"/>
      <c r="F58" s="335"/>
      <c r="G58" s="335"/>
      <c r="H58" s="335"/>
      <c r="I58" s="336"/>
      <c r="J58" s="329"/>
    </row>
    <row r="59" spans="1:10" ht="38.25" x14ac:dyDescent="0.2">
      <c r="A59" s="79">
        <v>1620701</v>
      </c>
      <c r="B59" s="78" t="s">
        <v>681</v>
      </c>
      <c r="C59" s="330"/>
      <c r="D59" s="331"/>
      <c r="E59" s="331"/>
      <c r="F59" s="331">
        <v>480000</v>
      </c>
      <c r="G59" s="331"/>
      <c r="H59" s="331"/>
      <c r="I59" s="328"/>
      <c r="J59" s="329"/>
    </row>
    <row r="60" spans="1:10" x14ac:dyDescent="0.2">
      <c r="A60" s="79"/>
      <c r="B60" s="78"/>
      <c r="C60" s="330"/>
      <c r="D60" s="331"/>
      <c r="E60" s="331"/>
      <c r="F60" s="331"/>
      <c r="G60" s="331"/>
      <c r="H60" s="331"/>
      <c r="I60" s="328"/>
      <c r="J60" s="329"/>
    </row>
    <row r="61" spans="1:10" x14ac:dyDescent="0.2">
      <c r="A61" s="271">
        <v>22</v>
      </c>
      <c r="B61" s="272" t="s">
        <v>242</v>
      </c>
      <c r="C61" s="333">
        <f t="shared" ref="C61:I61" si="14">+C62</f>
        <v>0</v>
      </c>
      <c r="D61" s="332">
        <f>+D67</f>
        <v>649686.03</v>
      </c>
      <c r="E61" s="332"/>
      <c r="F61" s="332">
        <f>+F67</f>
        <v>0</v>
      </c>
      <c r="G61" s="332">
        <f>+G64</f>
        <v>0</v>
      </c>
      <c r="H61" s="333">
        <f t="shared" si="14"/>
        <v>0</v>
      </c>
      <c r="I61" s="332">
        <f t="shared" si="14"/>
        <v>11727.63</v>
      </c>
      <c r="J61" s="332">
        <f>SUM(C61:I61)</f>
        <v>661413.66</v>
      </c>
    </row>
    <row r="62" spans="1:10" ht="25.5" x14ac:dyDescent="0.2">
      <c r="A62" s="77">
        <v>222</v>
      </c>
      <c r="B62" s="80" t="s">
        <v>243</v>
      </c>
      <c r="C62" s="330">
        <f>SUM(C63:C68)</f>
        <v>0</v>
      </c>
      <c r="D62" s="331"/>
      <c r="E62" s="331"/>
      <c r="F62" s="331"/>
      <c r="G62" s="331"/>
      <c r="H62" s="331">
        <f>SUM(H63:H68)</f>
        <v>0</v>
      </c>
      <c r="I62" s="331">
        <f>SUM(I63:I68)</f>
        <v>11727.63</v>
      </c>
      <c r="J62" s="324"/>
    </row>
    <row r="63" spans="1:10" ht="25.5" x14ac:dyDescent="0.2">
      <c r="A63" s="79" t="s">
        <v>29</v>
      </c>
      <c r="B63" s="78" t="s">
        <v>573</v>
      </c>
      <c r="C63" s="330"/>
      <c r="D63" s="331"/>
      <c r="E63" s="331"/>
      <c r="F63" s="331"/>
      <c r="G63" s="331"/>
      <c r="H63" s="331"/>
      <c r="I63" s="328"/>
      <c r="J63" s="329"/>
    </row>
    <row r="64" spans="1:10" ht="35.25" customHeight="1" x14ac:dyDescent="0.2">
      <c r="A64" s="79">
        <v>22201</v>
      </c>
      <c r="B64" s="338" t="s">
        <v>574</v>
      </c>
      <c r="C64" s="330"/>
      <c r="D64" s="331"/>
      <c r="E64" s="331"/>
      <c r="F64" s="331"/>
      <c r="G64" s="331"/>
      <c r="H64" s="331"/>
      <c r="I64" s="328"/>
      <c r="J64" s="329"/>
    </row>
    <row r="65" spans="1:10" ht="12.75" customHeight="1" x14ac:dyDescent="0.2">
      <c r="A65" s="79"/>
      <c r="B65" s="338"/>
      <c r="C65" s="330"/>
      <c r="D65" s="331"/>
      <c r="E65" s="331"/>
      <c r="F65" s="331"/>
      <c r="G65" s="331"/>
      <c r="H65" s="331"/>
      <c r="I65" s="328"/>
      <c r="J65" s="329"/>
    </row>
    <row r="66" spans="1:10" ht="9.75" customHeight="1" x14ac:dyDescent="0.2">
      <c r="A66" s="79"/>
      <c r="B66" s="338"/>
      <c r="C66" s="330"/>
      <c r="D66" s="331"/>
      <c r="E66" s="331"/>
      <c r="F66" s="331"/>
      <c r="G66" s="331"/>
      <c r="H66" s="331"/>
      <c r="I66" s="328"/>
      <c r="J66" s="329"/>
    </row>
    <row r="67" spans="1:10" ht="38.25" x14ac:dyDescent="0.2">
      <c r="A67" s="309"/>
      <c r="B67" s="78" t="s">
        <v>596</v>
      </c>
      <c r="C67" s="330"/>
      <c r="D67" s="334">
        <v>649686.03</v>
      </c>
      <c r="E67" s="334"/>
      <c r="F67" s="334"/>
      <c r="G67" s="331"/>
      <c r="H67" s="331"/>
      <c r="I67" s="328"/>
      <c r="J67" s="329"/>
    </row>
    <row r="68" spans="1:10" ht="34.5" customHeight="1" x14ac:dyDescent="0.2">
      <c r="A68" s="290">
        <v>2223106</v>
      </c>
      <c r="B68" s="78" t="s">
        <v>616</v>
      </c>
      <c r="C68" s="330"/>
      <c r="D68" s="331"/>
      <c r="E68" s="331"/>
      <c r="F68" s="331"/>
      <c r="G68" s="331"/>
      <c r="H68" s="331"/>
      <c r="I68" s="328">
        <v>11727.63</v>
      </c>
      <c r="J68" s="329">
        <f>SUM(C68:I68)</f>
        <v>11727.63</v>
      </c>
    </row>
    <row r="69" spans="1:10" x14ac:dyDescent="0.2">
      <c r="A69" s="271">
        <v>31</v>
      </c>
      <c r="B69" s="272" t="s">
        <v>244</v>
      </c>
      <c r="C69" s="333">
        <f t="shared" ref="C69:J69" si="15">+C70</f>
        <v>0</v>
      </c>
      <c r="D69" s="333">
        <f t="shared" si="15"/>
        <v>0</v>
      </c>
      <c r="E69" s="333"/>
      <c r="F69" s="333"/>
      <c r="G69" s="333">
        <f t="shared" si="15"/>
        <v>0</v>
      </c>
      <c r="H69" s="333">
        <f t="shared" si="15"/>
        <v>0</v>
      </c>
      <c r="I69" s="333">
        <f t="shared" si="15"/>
        <v>0</v>
      </c>
      <c r="J69" s="332">
        <f t="shared" si="15"/>
        <v>0</v>
      </c>
    </row>
    <row r="70" spans="1:10" ht="25.5" x14ac:dyDescent="0.2">
      <c r="A70" s="77">
        <v>313</v>
      </c>
      <c r="B70" s="80" t="s">
        <v>554</v>
      </c>
      <c r="C70" s="330">
        <f t="shared" ref="C70:J70" si="16">SUM(C71:C72)</f>
        <v>0</v>
      </c>
      <c r="D70" s="331">
        <f t="shared" si="16"/>
        <v>0</v>
      </c>
      <c r="E70" s="331"/>
      <c r="F70" s="331"/>
      <c r="G70" s="331">
        <f t="shared" si="16"/>
        <v>0</v>
      </c>
      <c r="H70" s="331">
        <f t="shared" si="16"/>
        <v>0</v>
      </c>
      <c r="I70" s="331">
        <f t="shared" si="16"/>
        <v>0</v>
      </c>
      <c r="J70" s="324">
        <f t="shared" si="16"/>
        <v>0</v>
      </c>
    </row>
    <row r="71" spans="1:10" ht="31.5" customHeight="1" x14ac:dyDescent="0.2">
      <c r="A71" s="79" t="s">
        <v>123</v>
      </c>
      <c r="B71" s="78" t="s">
        <v>103</v>
      </c>
      <c r="C71" s="330"/>
      <c r="D71" s="331"/>
      <c r="E71" s="331"/>
      <c r="F71" s="331"/>
      <c r="G71" s="331"/>
      <c r="H71" s="331"/>
      <c r="I71" s="328"/>
      <c r="J71" s="329">
        <f>SUM(C71:I71)</f>
        <v>0</v>
      </c>
    </row>
    <row r="72" spans="1:10" ht="25.5" x14ac:dyDescent="0.2">
      <c r="A72" s="79" t="s">
        <v>178</v>
      </c>
      <c r="B72" s="78" t="s">
        <v>179</v>
      </c>
      <c r="C72" s="330"/>
      <c r="D72" s="331"/>
      <c r="E72" s="331"/>
      <c r="F72" s="331"/>
      <c r="G72" s="331"/>
      <c r="H72" s="331"/>
      <c r="I72" s="328"/>
      <c r="J72" s="329">
        <f>SUM(C72:I72)</f>
        <v>0</v>
      </c>
    </row>
    <row r="73" spans="1:10" x14ac:dyDescent="0.2">
      <c r="A73" s="271">
        <v>32</v>
      </c>
      <c r="B73" s="272" t="s">
        <v>245</v>
      </c>
      <c r="C73" s="332">
        <f>+C74</f>
        <v>42219.420000000006</v>
      </c>
      <c r="D73" s="332">
        <f>D76+D81</f>
        <v>79236.040000000008</v>
      </c>
      <c r="E73" s="332">
        <f>E76+E81</f>
        <v>217.76</v>
      </c>
      <c r="F73" s="332">
        <f>F76+F81</f>
        <v>130535.82010000001</v>
      </c>
      <c r="G73" s="332">
        <f>G76</f>
        <v>23582</v>
      </c>
      <c r="H73" s="332">
        <f>H76</f>
        <v>1265.92</v>
      </c>
      <c r="I73" s="332">
        <f>+I74</f>
        <v>1362.52</v>
      </c>
      <c r="J73" s="332">
        <f>+CH7373+G73+D73+F73+E73+C73+H73+I73</f>
        <v>278419.48010000004</v>
      </c>
    </row>
    <row r="74" spans="1:10" ht="25.5" x14ac:dyDescent="0.2">
      <c r="A74" s="77">
        <v>321</v>
      </c>
      <c r="B74" s="80" t="s">
        <v>246</v>
      </c>
      <c r="C74" s="334">
        <f>SUM(C75:C76)</f>
        <v>42219.420000000006</v>
      </c>
      <c r="D74" s="334"/>
      <c r="E74" s="334"/>
      <c r="F74" s="334"/>
      <c r="G74" s="324"/>
      <c r="H74" s="334">
        <f>H76</f>
        <v>1265.92</v>
      </c>
      <c r="I74" s="331">
        <f>SUM(I75:I81)</f>
        <v>1362.52</v>
      </c>
      <c r="J74" s="324"/>
    </row>
    <row r="75" spans="1:10" x14ac:dyDescent="0.2">
      <c r="A75" s="79" t="s">
        <v>174</v>
      </c>
      <c r="B75" s="78" t="s">
        <v>175</v>
      </c>
      <c r="C75" s="330"/>
      <c r="D75" s="331"/>
      <c r="E75" s="331"/>
      <c r="F75" s="331"/>
      <c r="G75" s="331"/>
      <c r="H75" s="330"/>
      <c r="I75" s="328"/>
      <c r="J75" s="329">
        <f>SUM(C75:I75)</f>
        <v>0</v>
      </c>
    </row>
    <row r="76" spans="1:10" s="888" customFormat="1" x14ac:dyDescent="0.2">
      <c r="A76" s="885" t="s">
        <v>77</v>
      </c>
      <c r="B76" s="886" t="s">
        <v>180</v>
      </c>
      <c r="C76" s="889">
        <v>42219.420000000006</v>
      </c>
      <c r="D76" s="889">
        <v>26919.25</v>
      </c>
      <c r="E76" s="889">
        <v>217.76</v>
      </c>
      <c r="F76" s="889">
        <v>130535.82010000001</v>
      </c>
      <c r="G76" s="889" cm="1">
        <f t="array" ref="G76:G77">'SALDO DE CUENTAS BANCARIAS'!I44:I45</f>
        <v>23582</v>
      </c>
      <c r="H76" s="890">
        <v>1265.92</v>
      </c>
      <c r="I76" s="891">
        <v>1362.52</v>
      </c>
      <c r="J76" s="887">
        <f>SUM(C76:I76)</f>
        <v>226102.69010000001</v>
      </c>
    </row>
    <row r="77" spans="1:10" s="883" customFormat="1" x14ac:dyDescent="0.2">
      <c r="A77" s="198"/>
      <c r="B77" s="197"/>
      <c r="C77" s="413"/>
      <c r="D77" s="413"/>
      <c r="E77" s="413"/>
      <c r="F77" s="413"/>
      <c r="G77" s="413">
        <v>0</v>
      </c>
      <c r="H77" s="884"/>
      <c r="I77" s="881"/>
      <c r="J77" s="882"/>
    </row>
    <row r="78" spans="1:10" ht="25.5" x14ac:dyDescent="0.2">
      <c r="A78" s="77">
        <v>322</v>
      </c>
      <c r="B78" s="80" t="s">
        <v>525</v>
      </c>
      <c r="C78" s="334">
        <f>C79</f>
        <v>48983.3</v>
      </c>
      <c r="D78" s="324"/>
      <c r="E78" s="324"/>
      <c r="F78" s="324"/>
      <c r="G78" s="331"/>
      <c r="H78" s="330"/>
      <c r="I78" s="328"/>
      <c r="J78" s="329">
        <f>SUM(C78:I78)</f>
        <v>48983.3</v>
      </c>
    </row>
    <row r="79" spans="1:10" ht="123.75" customHeight="1" x14ac:dyDescent="0.2">
      <c r="A79" s="79">
        <v>32201</v>
      </c>
      <c r="B79" s="78" t="s">
        <v>914</v>
      </c>
      <c r="C79" s="413">
        <f>'MORA TRIBUTARIA A 2021'!O30</f>
        <v>48983.3</v>
      </c>
      <c r="D79" s="331"/>
      <c r="E79" s="331"/>
      <c r="F79" s="331"/>
      <c r="G79" s="331"/>
      <c r="H79" s="330"/>
      <c r="I79" s="328"/>
      <c r="J79" s="329">
        <f>SUM(C79:I79)</f>
        <v>48983.3</v>
      </c>
    </row>
    <row r="80" spans="1:10" ht="51" x14ac:dyDescent="0.2">
      <c r="A80" s="79"/>
      <c r="B80" s="78" t="s">
        <v>572</v>
      </c>
      <c r="C80" s="330"/>
      <c r="D80" s="331"/>
      <c r="E80" s="331"/>
      <c r="F80" s="331"/>
      <c r="G80" s="331"/>
      <c r="H80" s="330"/>
      <c r="I80" s="328"/>
      <c r="J80" s="329"/>
    </row>
    <row r="81" spans="1:13" ht="43.5" customHeight="1" thickBot="1" x14ac:dyDescent="0.25">
      <c r="A81" s="79" t="s">
        <v>177</v>
      </c>
      <c r="B81" s="341" t="s">
        <v>928</v>
      </c>
      <c r="C81" s="330"/>
      <c r="D81" s="324">
        <v>52316.79</v>
      </c>
      <c r="E81" s="324"/>
      <c r="F81" s="324"/>
      <c r="G81" s="331"/>
      <c r="H81" s="330"/>
      <c r="I81" s="328"/>
      <c r="J81" s="329">
        <f>SUM(D81:I81)</f>
        <v>52316.79</v>
      </c>
      <c r="L81" s="175"/>
      <c r="M81" s="175"/>
    </row>
    <row r="82" spans="1:13" s="60" customFormat="1" ht="24.95" customHeight="1" thickBot="1" x14ac:dyDescent="0.25">
      <c r="A82" s="265"/>
      <c r="B82" s="266" t="s">
        <v>116</v>
      </c>
      <c r="C82" s="289">
        <f>+C9+C20+C38+C42+C56+C61+C69+C73+C78</f>
        <v>661525.24343888904</v>
      </c>
      <c r="D82" s="289">
        <f>+D9+D20+D38+D42+D56+D61+D69+D73</f>
        <v>728922.07000000007</v>
      </c>
      <c r="E82" s="289">
        <f>+E9+E20+E38+E42+E53+E61+E69+E73</f>
        <v>1717.76</v>
      </c>
      <c r="F82" s="289">
        <f t="shared" ref="F82:I82" si="17">+F9+F20+F38+F42+F56+F61+F69+F73</f>
        <v>610535.82010000001</v>
      </c>
      <c r="G82" s="289">
        <f t="shared" si="17"/>
        <v>23582</v>
      </c>
      <c r="H82" s="289">
        <f t="shared" si="17"/>
        <v>1265.92</v>
      </c>
      <c r="I82" s="289">
        <f t="shared" si="17"/>
        <v>13090.15</v>
      </c>
      <c r="J82" s="289">
        <f>J73+J61+J56+J42+J38+J20+J9+J78</f>
        <v>2040638.9635388891</v>
      </c>
      <c r="L82" s="168"/>
      <c r="M82" s="168"/>
    </row>
    <row r="83" spans="1:13" ht="15" customHeight="1" x14ac:dyDescent="0.2">
      <c r="A83" s="25"/>
      <c r="B83" s="319"/>
      <c r="C83" s="25"/>
      <c r="D83" s="167"/>
      <c r="E83" s="167"/>
      <c r="F83" s="167"/>
      <c r="G83" s="167"/>
      <c r="H83" s="286"/>
    </row>
    <row r="84" spans="1:13" s="20" customFormat="1" ht="18" customHeight="1" x14ac:dyDescent="0.2">
      <c r="A84" s="95" t="s">
        <v>8</v>
      </c>
      <c r="B84" s="27"/>
      <c r="C84" s="709"/>
      <c r="D84" s="27"/>
      <c r="E84" s="27"/>
      <c r="F84" s="27"/>
      <c r="G84" s="27"/>
      <c r="H84" s="27"/>
      <c r="I84" s="27"/>
      <c r="J84" s="61"/>
    </row>
    <row r="85" spans="1:13" x14ac:dyDescent="0.2">
      <c r="A85" s="937" t="s">
        <v>2</v>
      </c>
      <c r="B85" s="937"/>
      <c r="C85" s="937"/>
      <c r="D85" s="937"/>
      <c r="E85" s="937"/>
      <c r="F85" s="937"/>
      <c r="G85" s="937"/>
      <c r="H85" s="937"/>
    </row>
    <row r="86" spans="1:13" x14ac:dyDescent="0.2">
      <c r="A86" s="937" t="s">
        <v>3</v>
      </c>
      <c r="B86" s="937"/>
      <c r="C86" s="937"/>
      <c r="D86" s="937"/>
      <c r="E86" s="937"/>
      <c r="F86" s="937"/>
      <c r="G86" s="937"/>
      <c r="H86" s="937"/>
    </row>
    <row r="87" spans="1:13" x14ac:dyDescent="0.2">
      <c r="A87" s="937" t="s">
        <v>604</v>
      </c>
      <c r="B87" s="937"/>
      <c r="C87" s="937"/>
      <c r="D87" s="937"/>
      <c r="E87" s="937"/>
      <c r="F87" s="937"/>
      <c r="G87" s="937"/>
      <c r="H87" s="937"/>
    </row>
    <row r="88" spans="1:13" x14ac:dyDescent="0.2">
      <c r="A88" s="937" t="s">
        <v>615</v>
      </c>
      <c r="B88" s="937"/>
      <c r="C88" s="937"/>
      <c r="D88" s="937"/>
      <c r="E88" s="937"/>
      <c r="F88" s="937"/>
      <c r="G88" s="937"/>
      <c r="H88" s="937"/>
    </row>
    <row r="89" spans="1:13" ht="22.5" customHeight="1" x14ac:dyDescent="0.2">
      <c r="A89" s="937" t="s">
        <v>952</v>
      </c>
      <c r="B89" s="937"/>
      <c r="C89" s="937"/>
      <c r="D89" s="937"/>
      <c r="E89" s="937"/>
      <c r="F89" s="937"/>
      <c r="G89" s="937"/>
      <c r="H89" s="937"/>
    </row>
    <row r="90" spans="1:13" ht="17.25" customHeight="1" x14ac:dyDescent="0.2">
      <c r="A90" s="953"/>
      <c r="B90" s="953"/>
      <c r="C90" s="953"/>
      <c r="D90" s="953"/>
      <c r="E90" s="953"/>
      <c r="F90" s="953"/>
      <c r="G90" s="953"/>
      <c r="H90" s="318"/>
    </row>
  </sheetData>
  <mergeCells count="16">
    <mergeCell ref="A90:G90"/>
    <mergeCell ref="A89:H89"/>
    <mergeCell ref="A86:H86"/>
    <mergeCell ref="A87:H87"/>
    <mergeCell ref="A88:H88"/>
    <mergeCell ref="A4:J4"/>
    <mergeCell ref="H6:H8"/>
    <mergeCell ref="I6:I8"/>
    <mergeCell ref="A85:H85"/>
    <mergeCell ref="A2:J2"/>
    <mergeCell ref="A3:J3"/>
    <mergeCell ref="A5:J5"/>
    <mergeCell ref="B6:B8"/>
    <mergeCell ref="J6:J8"/>
    <mergeCell ref="A6:A8"/>
    <mergeCell ref="C6:D6"/>
  </mergeCells>
  <phoneticPr fontId="4" type="noConversion"/>
  <printOptions horizontalCentered="1"/>
  <pageMargins left="0.23622047244094491" right="0.23622047244094491" top="0.74803149606299213" bottom="0.74803149606299213" header="0.31496062992125984" footer="0.31496062992125984"/>
  <pageSetup scale="60" fitToHeight="0" orientation="portrait" r:id="rId1"/>
  <headerFooter alignWithMargins="0"/>
  <rowBreaks count="1" manualBreakCount="1">
    <brk id="56" max="11" man="1"/>
  </rowBreaks>
  <colBreaks count="1" manualBreakCount="1">
    <brk id="10"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70075-B198-4E98-AD98-A8D284021616}">
  <sheetPr>
    <tabColor rgb="FF00B0F0"/>
  </sheetPr>
  <dimension ref="A18:F23"/>
  <sheetViews>
    <sheetView topLeftCell="A7" zoomScale="116" zoomScaleNormal="116" workbookViewId="0">
      <selection activeCell="D20" activeCellId="1" sqref="E22 D20"/>
    </sheetView>
  </sheetViews>
  <sheetFormatPr baseColWidth="10" defaultColWidth="11.42578125" defaultRowHeight="12.75" x14ac:dyDescent="0.2"/>
  <cols>
    <col min="1" max="3" width="11.42578125" style="754"/>
    <col min="4" max="4" width="12.28515625" style="754" bestFit="1" customWidth="1"/>
    <col min="5" max="16384" width="11.42578125" style="754"/>
  </cols>
  <sheetData>
    <row r="18" spans="1:6" ht="21" customHeight="1" x14ac:dyDescent="0.2">
      <c r="A18" s="894">
        <v>11</v>
      </c>
      <c r="B18" s="895" t="s">
        <v>874</v>
      </c>
      <c r="C18" s="813"/>
      <c r="D18" s="896">
        <v>18971.849999999999</v>
      </c>
    </row>
    <row r="19" spans="1:6" x14ac:dyDescent="0.2">
      <c r="A19" s="894">
        <v>12</v>
      </c>
      <c r="B19" s="954" t="s">
        <v>875</v>
      </c>
      <c r="C19" s="955"/>
      <c r="D19" s="896">
        <v>46850.400000000001</v>
      </c>
    </row>
    <row r="20" spans="1:6" x14ac:dyDescent="0.2">
      <c r="B20" s="893" t="s">
        <v>225</v>
      </c>
      <c r="D20" s="897">
        <f>SUM(D18:D19)+382824.63</f>
        <v>448646.88</v>
      </c>
    </row>
    <row r="21" spans="1:6" x14ac:dyDescent="0.2">
      <c r="B21" s="893" t="s">
        <v>1223</v>
      </c>
      <c r="D21" s="766">
        <f>D20*0.1</f>
        <v>44864.688000000002</v>
      </c>
      <c r="E21" s="900" t="s">
        <v>943</v>
      </c>
      <c r="F21" s="901"/>
    </row>
    <row r="22" spans="1:6" ht="13.5" thickBot="1" x14ac:dyDescent="0.25">
      <c r="B22" s="893" t="s">
        <v>1224</v>
      </c>
      <c r="D22" s="898">
        <f>SUM(D20:D21)</f>
        <v>493511.56800000003</v>
      </c>
      <c r="E22" s="899">
        <v>42061.56</v>
      </c>
      <c r="F22" s="902"/>
    </row>
    <row r="23" spans="1:6" ht="13.5" thickTop="1" x14ac:dyDescent="0.2"/>
  </sheetData>
  <mergeCells count="1">
    <mergeCell ref="B19:C19"/>
  </mergeCells>
  <pageMargins left="0.7" right="0.7" top="0.75" bottom="0.75" header="0.3" footer="0.3"/>
  <pageSetup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N165"/>
  <sheetViews>
    <sheetView view="pageBreakPreview" topLeftCell="A158" zoomScale="85" zoomScaleNormal="85" zoomScaleSheetLayoutView="85" workbookViewId="0">
      <pane ySplit="2280" topLeftCell="A157" activePane="bottomLeft"/>
      <selection activeCell="I11" sqref="I11"/>
      <selection pane="bottomLeft" activeCell="C11" sqref="C11"/>
    </sheetView>
  </sheetViews>
  <sheetFormatPr baseColWidth="10" defaultColWidth="11.42578125" defaultRowHeight="12.75" x14ac:dyDescent="0.2"/>
  <cols>
    <col min="1" max="1" width="6.28515625" style="30" customWidth="1"/>
    <col min="2" max="2" width="25" style="24" customWidth="1"/>
    <col min="3" max="3" width="19.42578125" style="24" customWidth="1"/>
    <col min="4" max="4" width="14.28515625" style="24" customWidth="1"/>
    <col min="5" max="5" width="12.7109375" style="24" customWidth="1"/>
    <col min="6" max="6" width="15.7109375" style="24" customWidth="1"/>
    <col min="7" max="7" width="12.7109375" style="24" customWidth="1"/>
    <col min="8" max="8" width="16.5703125" style="24" customWidth="1"/>
    <col min="9" max="9" width="12.7109375" style="24" customWidth="1"/>
    <col min="10" max="10" width="15.5703125" style="29" customWidth="1"/>
    <col min="11" max="11" width="14.85546875" style="25" bestFit="1" customWidth="1"/>
    <col min="12" max="12" width="14.5703125" style="25" bestFit="1" customWidth="1"/>
    <col min="13" max="16384" width="11.42578125" style="25"/>
  </cols>
  <sheetData>
    <row r="1" spans="1:12" x14ac:dyDescent="0.2">
      <c r="A1" s="958" t="s">
        <v>337</v>
      </c>
      <c r="B1" s="959"/>
      <c r="C1" s="959"/>
      <c r="D1" s="959"/>
      <c r="E1" s="959"/>
      <c r="F1" s="959"/>
      <c r="G1" s="959"/>
      <c r="H1" s="959"/>
      <c r="I1" s="959"/>
      <c r="J1" s="959"/>
    </row>
    <row r="2" spans="1:12" x14ac:dyDescent="0.2">
      <c r="A2" s="958" t="s">
        <v>329</v>
      </c>
      <c r="B2" s="959"/>
      <c r="C2" s="959"/>
      <c r="D2" s="959"/>
      <c r="E2" s="959"/>
      <c r="F2" s="959"/>
      <c r="G2" s="959"/>
      <c r="H2" s="959"/>
      <c r="I2" s="959"/>
      <c r="J2" s="959"/>
    </row>
    <row r="3" spans="1:12" x14ac:dyDescent="0.2">
      <c r="A3" s="958" t="s">
        <v>710</v>
      </c>
      <c r="B3" s="958"/>
      <c r="C3" s="958"/>
      <c r="D3" s="958"/>
      <c r="E3" s="958"/>
      <c r="F3" s="958"/>
      <c r="G3" s="958"/>
      <c r="H3" s="958"/>
      <c r="I3" s="958"/>
      <c r="J3" s="958"/>
    </row>
    <row r="4" spans="1:12" x14ac:dyDescent="0.2">
      <c r="A4" s="960" t="s">
        <v>6</v>
      </c>
      <c r="B4" s="960"/>
      <c r="C4" s="960"/>
      <c r="D4" s="960"/>
      <c r="E4" s="960"/>
      <c r="F4" s="960"/>
      <c r="G4" s="960"/>
      <c r="H4" s="960"/>
      <c r="I4" s="960"/>
      <c r="J4" s="960"/>
    </row>
    <row r="5" spans="1:12" ht="13.5" thickBot="1" x14ac:dyDescent="0.25">
      <c r="A5" s="961" t="s">
        <v>309</v>
      </c>
      <c r="B5" s="962"/>
      <c r="C5" s="962"/>
      <c r="D5" s="962"/>
      <c r="E5" s="962"/>
      <c r="F5" s="962"/>
      <c r="G5" s="962"/>
      <c r="H5" s="962"/>
      <c r="I5" s="962"/>
      <c r="J5" s="962"/>
    </row>
    <row r="6" spans="1:12" ht="30" customHeight="1" thickBot="1" x14ac:dyDescent="0.25">
      <c r="A6" s="948" t="s">
        <v>89</v>
      </c>
      <c r="B6" s="942" t="s">
        <v>90</v>
      </c>
      <c r="C6" s="956" t="s">
        <v>512</v>
      </c>
      <c r="D6" s="957"/>
      <c r="E6" s="285"/>
      <c r="F6" s="285"/>
      <c r="G6" s="964" t="s">
        <v>333</v>
      </c>
      <c r="H6" s="934" t="s">
        <v>578</v>
      </c>
      <c r="I6" s="934" t="s">
        <v>608</v>
      </c>
      <c r="J6" s="945" t="s">
        <v>92</v>
      </c>
    </row>
    <row r="7" spans="1:12" ht="33" customHeight="1" thickBot="1" x14ac:dyDescent="0.25">
      <c r="A7" s="949"/>
      <c r="B7" s="943"/>
      <c r="C7" s="207" t="s">
        <v>332</v>
      </c>
      <c r="D7" s="310" t="s">
        <v>511</v>
      </c>
      <c r="E7" s="682"/>
      <c r="F7" s="682"/>
      <c r="G7" s="965"/>
      <c r="H7" s="935"/>
      <c r="I7" s="935"/>
      <c r="J7" s="946"/>
    </row>
    <row r="8" spans="1:12" ht="88.5" customHeight="1" thickBot="1" x14ac:dyDescent="0.25">
      <c r="A8" s="950"/>
      <c r="B8" s="944"/>
      <c r="C8" s="164" t="s">
        <v>514</v>
      </c>
      <c r="D8" s="165" t="s">
        <v>607</v>
      </c>
      <c r="E8" s="165" t="s">
        <v>1182</v>
      </c>
      <c r="F8" s="165" t="s">
        <v>883</v>
      </c>
      <c r="G8" s="966"/>
      <c r="H8" s="936"/>
      <c r="I8" s="936"/>
      <c r="J8" s="947"/>
    </row>
    <row r="9" spans="1:12" ht="15.75" customHeight="1" x14ac:dyDescent="0.2">
      <c r="A9" s="222">
        <v>51</v>
      </c>
      <c r="B9" s="223" t="s">
        <v>254</v>
      </c>
      <c r="C9" s="208">
        <f>+C10+C17+C24+C27+C30+C33+C36+C21</f>
        <v>450384.90625</v>
      </c>
      <c r="D9" s="208">
        <f>+D10+D17+D24+D27+D30+D36+D21</f>
        <v>443051.36875000002</v>
      </c>
      <c r="E9" s="208"/>
      <c r="F9" s="208">
        <f>+F10+F17+F24+F27+F30+F36+F21</f>
        <v>29000</v>
      </c>
      <c r="G9" s="208">
        <f>+G10+G17+G24+G27+G30</f>
        <v>0</v>
      </c>
      <c r="H9" s="208">
        <f>+H10+H17+H24+H27+H30</f>
        <v>0</v>
      </c>
      <c r="I9" s="208">
        <f>+I10+I17+I24+I27+I30</f>
        <v>0</v>
      </c>
      <c r="J9" s="208">
        <f>SUM(C9:I9)</f>
        <v>922436.27500000002</v>
      </c>
      <c r="K9" s="182"/>
      <c r="L9" s="180"/>
    </row>
    <row r="10" spans="1:12" ht="24.75" customHeight="1" x14ac:dyDescent="0.2">
      <c r="A10" s="209">
        <v>511</v>
      </c>
      <c r="B10" s="210" t="s">
        <v>255</v>
      </c>
      <c r="C10" s="211">
        <f>SUM(C11:C15)</f>
        <v>368695</v>
      </c>
      <c r="D10" s="211">
        <f>+D11+D12+D13+D15</f>
        <v>365437.5</v>
      </c>
      <c r="E10" s="211"/>
      <c r="F10" s="211">
        <f>+F11+F12+F13+F15</f>
        <v>0</v>
      </c>
      <c r="G10" s="211">
        <f t="shared" ref="G10:I10" si="0">+G11+G12+G13+G15</f>
        <v>0</v>
      </c>
      <c r="H10" s="211">
        <f t="shared" si="0"/>
        <v>0</v>
      </c>
      <c r="I10" s="211">
        <f t="shared" si="0"/>
        <v>0</v>
      </c>
      <c r="J10" s="211">
        <f>+J11+J12+J13+J15+J14</f>
        <v>734132.5</v>
      </c>
      <c r="K10" s="181"/>
    </row>
    <row r="11" spans="1:12" s="589" customFormat="1" ht="15.75" customHeight="1" x14ac:dyDescent="0.2">
      <c r="A11" s="601">
        <v>51101</v>
      </c>
      <c r="B11" s="602" t="s">
        <v>31</v>
      </c>
      <c r="C11" s="909">
        <f>'EGRE FONDO COMUN'!H10</f>
        <v>223312.5</v>
      </c>
      <c r="D11" s="909">
        <f>+'Egr. FODES LIBRE DISPONIBILIDAD'!H11</f>
        <v>312637.5</v>
      </c>
      <c r="E11" s="582"/>
      <c r="F11" s="582"/>
      <c r="G11" s="582"/>
      <c r="H11" s="583"/>
      <c r="I11" s="582"/>
      <c r="J11" s="583">
        <f>SUM(C11:I11)</f>
        <v>535950</v>
      </c>
      <c r="K11" s="603"/>
    </row>
    <row r="12" spans="1:12" s="589" customFormat="1" ht="15.75" customHeight="1" x14ac:dyDescent="0.2">
      <c r="A12" s="601">
        <v>51103</v>
      </c>
      <c r="B12" s="602" t="s">
        <v>32</v>
      </c>
      <c r="C12" s="582">
        <f>'EGRE FONDO COMUN'!H11</f>
        <v>44662.5</v>
      </c>
      <c r="D12" s="582">
        <f>'Egr. FODES LIBRE DISPONIBILIDAD'!H12+'Egr. FODES LIBRE DISPONIBILIDAD'!H87+'Egr. FODES LIBRE DISPONIBILIDAD'!H147</f>
        <v>0</v>
      </c>
      <c r="E12" s="582"/>
      <c r="F12" s="582"/>
      <c r="G12" s="582"/>
      <c r="H12" s="583"/>
      <c r="I12" s="582"/>
      <c r="J12" s="583">
        <f>SUM(C12:I12)</f>
        <v>44662.5</v>
      </c>
      <c r="K12" s="603"/>
    </row>
    <row r="13" spans="1:12" s="589" customFormat="1" ht="15.75" customHeight="1" x14ac:dyDescent="0.2">
      <c r="A13" s="604">
        <v>51105</v>
      </c>
      <c r="B13" s="605" t="s">
        <v>63</v>
      </c>
      <c r="C13" s="582">
        <f>'EGRE FONDO COMUN'!H12</f>
        <v>73920</v>
      </c>
      <c r="D13" s="582">
        <f>'Egr. FODES LIBRE DISPONIBILIDAD'!H13</f>
        <v>52800</v>
      </c>
      <c r="E13" s="582"/>
      <c r="F13" s="582"/>
      <c r="G13" s="582"/>
      <c r="H13" s="583"/>
      <c r="I13" s="582"/>
      <c r="J13" s="583">
        <f>SUM(C13:I13)</f>
        <v>126720</v>
      </c>
      <c r="K13" s="603"/>
    </row>
    <row r="14" spans="1:12" s="589" customFormat="1" ht="15.75" customHeight="1" x14ac:dyDescent="0.2">
      <c r="A14" s="601">
        <v>51106</v>
      </c>
      <c r="B14" s="602" t="s">
        <v>506</v>
      </c>
      <c r="C14" s="582">
        <f>'EGRE FONDO COMUN'!H13</f>
        <v>12000</v>
      </c>
      <c r="D14" s="582"/>
      <c r="E14" s="582"/>
      <c r="F14" s="582"/>
      <c r="G14" s="582"/>
      <c r="H14" s="583"/>
      <c r="I14" s="582"/>
      <c r="J14" s="583">
        <f>SUM(C14:I14)</f>
        <v>12000</v>
      </c>
      <c r="K14" s="603"/>
    </row>
    <row r="15" spans="1:12" s="589" customFormat="1" ht="15.75" customHeight="1" x14ac:dyDescent="0.2">
      <c r="A15" s="601">
        <v>51107</v>
      </c>
      <c r="B15" s="602" t="s">
        <v>463</v>
      </c>
      <c r="C15" s="582">
        <f>'EGRE FONDO COMUN'!H14</f>
        <v>14800</v>
      </c>
      <c r="D15" s="582">
        <f>'Egr. FODES LIBRE DISPONIBILIDAD'!H14</f>
        <v>0</v>
      </c>
      <c r="E15" s="582"/>
      <c r="F15" s="582"/>
      <c r="G15" s="582"/>
      <c r="H15" s="583"/>
      <c r="I15" s="582"/>
      <c r="J15" s="583">
        <f>SUM(C15:I15)</f>
        <v>14800</v>
      </c>
      <c r="K15" s="603"/>
    </row>
    <row r="16" spans="1:12" ht="15.75" customHeight="1" x14ac:dyDescent="0.2">
      <c r="A16" s="84"/>
      <c r="B16" s="62"/>
      <c r="C16" s="94"/>
      <c r="D16" s="74"/>
      <c r="E16" s="74"/>
      <c r="F16" s="74"/>
      <c r="G16" s="74"/>
      <c r="H16" s="26"/>
      <c r="I16" s="74"/>
      <c r="J16" s="26"/>
    </row>
    <row r="17" spans="1:12" ht="22.5" customHeight="1" x14ac:dyDescent="0.2">
      <c r="A17" s="212">
        <v>512</v>
      </c>
      <c r="B17" s="213" t="s">
        <v>256</v>
      </c>
      <c r="C17" s="279">
        <f t="shared" ref="C17:J17" si="1">SUM(C18:C19)</f>
        <v>2400</v>
      </c>
      <c r="D17" s="214">
        <f t="shared" si="1"/>
        <v>9600</v>
      </c>
      <c r="E17" s="214"/>
      <c r="F17" s="214">
        <f t="shared" si="1"/>
        <v>29000</v>
      </c>
      <c r="G17" s="214">
        <f t="shared" si="1"/>
        <v>0</v>
      </c>
      <c r="H17" s="214">
        <f t="shared" si="1"/>
        <v>0</v>
      </c>
      <c r="I17" s="214">
        <f t="shared" si="1"/>
        <v>0</v>
      </c>
      <c r="J17" s="214">
        <f t="shared" si="1"/>
        <v>41000</v>
      </c>
      <c r="K17" s="183"/>
    </row>
    <row r="18" spans="1:12" s="589" customFormat="1" ht="15.75" customHeight="1" x14ac:dyDescent="0.2">
      <c r="A18" s="602">
        <v>51201</v>
      </c>
      <c r="B18" s="602" t="s">
        <v>597</v>
      </c>
      <c r="C18" s="582">
        <f>'EGRE FONDO COMUN'!H15</f>
        <v>0</v>
      </c>
      <c r="D18" s="582">
        <f>'Egr. FODES LIBRE DISPONIBILIDAD'!H15+'Egr. FODES LIBRE DISPONIBILIDAD'!H149</f>
        <v>9600</v>
      </c>
      <c r="E18" s="582"/>
      <c r="F18" s="582">
        <f>'FONDOS FAM'!H24+'FONDOS FAM'!H31+'FONDOS FAM'!H37+'FONDOS FAM'!H52</f>
        <v>29000</v>
      </c>
      <c r="G18" s="582"/>
      <c r="H18" s="583"/>
      <c r="I18" s="582"/>
      <c r="J18" s="583">
        <f>SUM(C18:I18)</f>
        <v>38600</v>
      </c>
    </row>
    <row r="19" spans="1:12" s="589" customFormat="1" ht="15.75" customHeight="1" x14ac:dyDescent="0.2">
      <c r="A19" s="604">
        <v>51202</v>
      </c>
      <c r="B19" s="605" t="s">
        <v>134</v>
      </c>
      <c r="C19" s="582">
        <f>'EGRE FONDO COMUN'!H16</f>
        <v>2400</v>
      </c>
      <c r="D19" s="582"/>
      <c r="E19" s="582"/>
      <c r="F19" s="582"/>
      <c r="G19" s="582"/>
      <c r="H19" s="583"/>
      <c r="I19" s="582"/>
      <c r="J19" s="583">
        <f>SUM(C19:I19)</f>
        <v>2400</v>
      </c>
      <c r="K19" s="603"/>
    </row>
    <row r="20" spans="1:12" ht="15.75" customHeight="1" x14ac:dyDescent="0.2">
      <c r="A20" s="84"/>
      <c r="B20" s="62"/>
      <c r="C20" s="94"/>
      <c r="D20" s="74"/>
      <c r="E20" s="74"/>
      <c r="F20" s="74"/>
      <c r="G20" s="74"/>
      <c r="H20" s="26"/>
      <c r="I20" s="74"/>
      <c r="J20" s="26"/>
      <c r="K20" s="180"/>
    </row>
    <row r="21" spans="1:12" ht="27" customHeight="1" x14ac:dyDescent="0.2">
      <c r="A21" s="212">
        <v>513</v>
      </c>
      <c r="B21" s="213" t="s">
        <v>535</v>
      </c>
      <c r="C21" s="279">
        <f>C22</f>
        <v>0</v>
      </c>
      <c r="D21" s="214">
        <f>D22</f>
        <v>1008</v>
      </c>
      <c r="E21" s="215"/>
      <c r="F21" s="215"/>
      <c r="G21" s="215"/>
      <c r="H21" s="216"/>
      <c r="I21" s="215"/>
      <c r="J21" s="211">
        <f>SUM(C21:I21)</f>
        <v>1008</v>
      </c>
      <c r="K21" s="180"/>
    </row>
    <row r="22" spans="1:12" s="589" customFormat="1" ht="15.75" customHeight="1" x14ac:dyDescent="0.2">
      <c r="A22" s="601">
        <v>51301</v>
      </c>
      <c r="B22" s="602" t="s">
        <v>536</v>
      </c>
      <c r="C22" s="582"/>
      <c r="D22" s="582">
        <f>'Egr. FODES LIBRE DISPONIBILIDAD'!H151</f>
        <v>1008</v>
      </c>
      <c r="E22" s="582"/>
      <c r="F22" s="582"/>
      <c r="G22" s="582"/>
      <c r="H22" s="583"/>
      <c r="I22" s="582"/>
      <c r="J22" s="583">
        <v>1000</v>
      </c>
      <c r="K22" s="603"/>
    </row>
    <row r="23" spans="1:12" ht="15.75" customHeight="1" x14ac:dyDescent="0.2">
      <c r="A23" s="84"/>
      <c r="B23" s="62"/>
      <c r="C23" s="94"/>
      <c r="D23" s="74"/>
      <c r="E23" s="74"/>
      <c r="F23" s="74"/>
      <c r="G23" s="74"/>
      <c r="H23" s="74"/>
      <c r="I23" s="74"/>
      <c r="J23" s="74"/>
    </row>
    <row r="24" spans="1:12" ht="26.25" customHeight="1" x14ac:dyDescent="0.2">
      <c r="A24" s="217">
        <v>514</v>
      </c>
      <c r="B24" s="209" t="s">
        <v>299</v>
      </c>
      <c r="C24" s="279">
        <f>+C25</f>
        <v>21285.0625</v>
      </c>
      <c r="D24" s="214">
        <f t="shared" ref="D24:J24" si="2">+D25</f>
        <v>29799.087499999998</v>
      </c>
      <c r="E24" s="214"/>
      <c r="F24" s="214">
        <f t="shared" si="2"/>
        <v>0</v>
      </c>
      <c r="G24" s="214">
        <f t="shared" si="2"/>
        <v>0</v>
      </c>
      <c r="H24" s="214">
        <f t="shared" si="2"/>
        <v>0</v>
      </c>
      <c r="I24" s="214">
        <f>+I25</f>
        <v>0</v>
      </c>
      <c r="J24" s="214">
        <f t="shared" si="2"/>
        <v>51084.149999999994</v>
      </c>
      <c r="K24" s="182"/>
      <c r="L24" s="166"/>
    </row>
    <row r="25" spans="1:12" s="589" customFormat="1" ht="35.25" customHeight="1" x14ac:dyDescent="0.2">
      <c r="A25" s="602">
        <v>51401</v>
      </c>
      <c r="B25" s="602" t="s">
        <v>598</v>
      </c>
      <c r="C25" s="582">
        <f>'EGRE FONDO COMUN'!H19</f>
        <v>21285.0625</v>
      </c>
      <c r="D25" s="582">
        <f>'Egr. FODES LIBRE DISPONIBILIDAD'!H17</f>
        <v>29799.087499999998</v>
      </c>
      <c r="E25" s="582"/>
      <c r="F25" s="582"/>
      <c r="G25" s="582"/>
      <c r="H25" s="583"/>
      <c r="I25" s="582"/>
      <c r="J25" s="583">
        <f>SUM(C25:I25)</f>
        <v>51084.149999999994</v>
      </c>
      <c r="K25" s="623"/>
    </row>
    <row r="26" spans="1:12" ht="15.75" customHeight="1" x14ac:dyDescent="0.2">
      <c r="A26" s="83"/>
      <c r="B26" s="62"/>
      <c r="C26" s="94">
        <v>0</v>
      </c>
      <c r="D26" s="74"/>
      <c r="E26" s="74"/>
      <c r="F26" s="74"/>
      <c r="G26" s="74"/>
      <c r="H26" s="26"/>
      <c r="I26" s="74"/>
      <c r="J26" s="26"/>
    </row>
    <row r="27" spans="1:12" ht="27.75" customHeight="1" x14ac:dyDescent="0.2">
      <c r="A27" s="209">
        <v>515</v>
      </c>
      <c r="B27" s="209" t="s">
        <v>300</v>
      </c>
      <c r="C27" s="279">
        <f>+C28</f>
        <v>23004.84375</v>
      </c>
      <c r="D27" s="214">
        <f t="shared" ref="D27:J27" si="3">+D28</f>
        <v>32206.78125</v>
      </c>
      <c r="E27" s="214"/>
      <c r="F27" s="214">
        <f t="shared" si="3"/>
        <v>0</v>
      </c>
      <c r="G27" s="214">
        <f t="shared" si="3"/>
        <v>0</v>
      </c>
      <c r="H27" s="214">
        <f t="shared" si="3"/>
        <v>0</v>
      </c>
      <c r="I27" s="214">
        <f>+I28</f>
        <v>0</v>
      </c>
      <c r="J27" s="214">
        <f t="shared" si="3"/>
        <v>55211.625</v>
      </c>
      <c r="K27" s="181"/>
    </row>
    <row r="28" spans="1:12" s="589" customFormat="1" ht="24" customHeight="1" x14ac:dyDescent="0.2">
      <c r="A28" s="604">
        <v>51501</v>
      </c>
      <c r="B28" s="602" t="s">
        <v>599</v>
      </c>
      <c r="C28" s="582">
        <f>'EGRE FONDO COMUN'!H20</f>
        <v>23004.84375</v>
      </c>
      <c r="D28" s="582">
        <f>'Egr. FODES LIBRE DISPONIBILIDAD'!H18</f>
        <v>32206.78125</v>
      </c>
      <c r="E28" s="582"/>
      <c r="F28" s="582"/>
      <c r="G28" s="582"/>
      <c r="H28" s="583"/>
      <c r="I28" s="582"/>
      <c r="J28" s="583">
        <f>SUM(C28:I28)</f>
        <v>55211.625</v>
      </c>
      <c r="K28" s="603"/>
    </row>
    <row r="29" spans="1:12" ht="15.75" customHeight="1" x14ac:dyDescent="0.2">
      <c r="A29" s="82"/>
      <c r="B29" s="62"/>
      <c r="C29" s="94"/>
      <c r="D29" s="74"/>
      <c r="E29" s="74"/>
      <c r="F29" s="74"/>
      <c r="G29" s="74"/>
      <c r="H29" s="26"/>
      <c r="I29" s="74"/>
      <c r="J29" s="26"/>
      <c r="K29" s="180"/>
    </row>
    <row r="30" spans="1:12" ht="26.25" customHeight="1" x14ac:dyDescent="0.2">
      <c r="A30" s="212">
        <v>516</v>
      </c>
      <c r="B30" s="209" t="s">
        <v>303</v>
      </c>
      <c r="C30" s="279">
        <f>C31</f>
        <v>0</v>
      </c>
      <c r="D30" s="214">
        <f>D31</f>
        <v>0</v>
      </c>
      <c r="E30" s="214"/>
      <c r="F30" s="214"/>
      <c r="G30" s="214"/>
      <c r="H30" s="214"/>
      <c r="I30" s="214"/>
      <c r="J30" s="214">
        <f>+J31</f>
        <v>0</v>
      </c>
      <c r="K30" s="181"/>
    </row>
    <row r="31" spans="1:12" ht="24" customHeight="1" x14ac:dyDescent="0.2">
      <c r="A31" s="82">
        <v>51601</v>
      </c>
      <c r="B31" s="62" t="s">
        <v>507</v>
      </c>
      <c r="C31" s="94"/>
      <c r="D31" s="174">
        <f>'Egr. FODES LIBRE DISPONIBILIDAD'!H19</f>
        <v>0</v>
      </c>
      <c r="E31" s="174"/>
      <c r="F31" s="174"/>
      <c r="G31" s="81"/>
      <c r="H31" s="81"/>
      <c r="I31" s="81"/>
      <c r="J31" s="26">
        <f>SUM(C31:I31)</f>
        <v>0</v>
      </c>
      <c r="K31" s="180"/>
    </row>
    <row r="32" spans="1:12" ht="15.75" customHeight="1" x14ac:dyDescent="0.2">
      <c r="A32" s="82"/>
      <c r="B32" s="62"/>
      <c r="C32" s="94"/>
      <c r="D32" s="74"/>
      <c r="E32" s="74"/>
      <c r="F32" s="74"/>
      <c r="G32" s="74"/>
      <c r="H32" s="26"/>
      <c r="I32" s="74"/>
      <c r="J32" s="26"/>
      <c r="K32" s="180"/>
    </row>
    <row r="33" spans="1:11" ht="15.75" customHeight="1" x14ac:dyDescent="0.2">
      <c r="A33" s="212">
        <v>517</v>
      </c>
      <c r="B33" s="213" t="s">
        <v>509</v>
      </c>
      <c r="C33" s="279">
        <f>+C35+C34</f>
        <v>30000</v>
      </c>
      <c r="D33" s="214">
        <f>+D35+D34</f>
        <v>0</v>
      </c>
      <c r="E33" s="214"/>
      <c r="F33" s="214">
        <f>+F35+F34</f>
        <v>0</v>
      </c>
      <c r="G33" s="214">
        <f>+G35</f>
        <v>0</v>
      </c>
      <c r="H33" s="214">
        <f>+H35</f>
        <v>0</v>
      </c>
      <c r="I33" s="214">
        <f>+I35</f>
        <v>0</v>
      </c>
      <c r="J33" s="214">
        <f>+J34+J35</f>
        <v>30000</v>
      </c>
      <c r="K33" s="181"/>
    </row>
    <row r="34" spans="1:11" s="589" customFormat="1" ht="15.75" customHeight="1" x14ac:dyDescent="0.2">
      <c r="A34" s="604">
        <v>51701</v>
      </c>
      <c r="B34" s="605" t="s">
        <v>508</v>
      </c>
      <c r="C34" s="582">
        <f>'EGRE FONDO COMUN'!H23</f>
        <v>30000</v>
      </c>
      <c r="D34" s="582">
        <v>0</v>
      </c>
      <c r="E34" s="582"/>
      <c r="F34" s="582"/>
      <c r="G34" s="624"/>
      <c r="H34" s="624"/>
      <c r="I34" s="624"/>
      <c r="J34" s="583">
        <f>SUM(C34:I34)</f>
        <v>30000</v>
      </c>
      <c r="K34" s="603"/>
    </row>
    <row r="35" spans="1:11" ht="15.75" customHeight="1" x14ac:dyDescent="0.2">
      <c r="A35" s="82"/>
      <c r="B35" s="76"/>
      <c r="C35" s="94"/>
      <c r="D35" s="74"/>
      <c r="E35" s="74"/>
      <c r="F35" s="74"/>
      <c r="G35" s="74"/>
      <c r="H35" s="26"/>
      <c r="I35" s="74"/>
      <c r="J35" s="26"/>
      <c r="K35" s="180"/>
    </row>
    <row r="36" spans="1:11" ht="32.25" customHeight="1" x14ac:dyDescent="0.2">
      <c r="A36" s="212">
        <v>519</v>
      </c>
      <c r="B36" s="213" t="s">
        <v>151</v>
      </c>
      <c r="C36" s="279">
        <f t="shared" ref="C36:I36" si="4">+C37</f>
        <v>5000</v>
      </c>
      <c r="D36" s="214">
        <f t="shared" si="4"/>
        <v>5000</v>
      </c>
      <c r="E36" s="214"/>
      <c r="F36" s="214">
        <f t="shared" si="4"/>
        <v>0</v>
      </c>
      <c r="G36" s="214">
        <f t="shared" si="4"/>
        <v>0</v>
      </c>
      <c r="H36" s="211">
        <f t="shared" si="4"/>
        <v>0</v>
      </c>
      <c r="I36" s="214">
        <f t="shared" si="4"/>
        <v>0</v>
      </c>
      <c r="J36" s="211">
        <f>SUM(C36:I36)</f>
        <v>10000</v>
      </c>
      <c r="K36" s="181"/>
    </row>
    <row r="37" spans="1:11" s="589" customFormat="1" ht="21.75" customHeight="1" x14ac:dyDescent="0.2">
      <c r="A37" s="604">
        <v>51999</v>
      </c>
      <c r="B37" s="605" t="s">
        <v>151</v>
      </c>
      <c r="C37" s="582">
        <f>'EGRE FONDO COMUN'!H24</f>
        <v>5000</v>
      </c>
      <c r="D37" s="669">
        <f>'Egr. FODES LIBRE DISPONIBILIDAD'!H20</f>
        <v>5000</v>
      </c>
      <c r="E37" s="669"/>
      <c r="F37" s="669"/>
      <c r="G37" s="582"/>
      <c r="H37" s="583"/>
      <c r="I37" s="582"/>
      <c r="J37" s="583">
        <f>SUM(C37:I37)</f>
        <v>10000</v>
      </c>
      <c r="K37" s="603"/>
    </row>
    <row r="38" spans="1:11" ht="15.75" customHeight="1" x14ac:dyDescent="0.2">
      <c r="A38" s="82"/>
      <c r="B38" s="76"/>
      <c r="C38" s="94"/>
      <c r="D38" s="74"/>
      <c r="E38" s="74"/>
      <c r="F38" s="74"/>
      <c r="G38" s="74"/>
      <c r="H38" s="26"/>
      <c r="I38" s="74"/>
      <c r="J38" s="26"/>
    </row>
    <row r="39" spans="1:11" ht="24" customHeight="1" x14ac:dyDescent="0.2">
      <c r="A39" s="224">
        <v>54</v>
      </c>
      <c r="B39" s="225" t="s">
        <v>257</v>
      </c>
      <c r="C39" s="279">
        <f>+C40+C65+C72+C88+C94+C102</f>
        <v>185589.52000000002</v>
      </c>
      <c r="D39" s="226">
        <f>+D40+D65+D72+D88+D94+D102</f>
        <v>271482.40000000002</v>
      </c>
      <c r="E39" s="226"/>
      <c r="F39" s="226"/>
      <c r="G39" s="226">
        <f>+G40+G65+G72+G88+G94+G102</f>
        <v>0</v>
      </c>
      <c r="H39" s="226">
        <f>+H40+H65+H72+H88+H94+H102</f>
        <v>23582</v>
      </c>
      <c r="I39" s="226">
        <f>+I40+I65+I72+I88+I94+I102</f>
        <v>7712.63</v>
      </c>
      <c r="J39" s="226">
        <f>+J40+J65+J72+J88+J94+J102</f>
        <v>1010620.12996</v>
      </c>
      <c r="K39" s="182"/>
    </row>
    <row r="40" spans="1:11" ht="15.75" customHeight="1" x14ac:dyDescent="0.2">
      <c r="A40" s="212">
        <v>541</v>
      </c>
      <c r="B40" s="213" t="s">
        <v>258</v>
      </c>
      <c r="C40" s="279">
        <f>SUM(C41:C62)</f>
        <v>107979.52</v>
      </c>
      <c r="D40" s="214">
        <f>SUM(D41:D62)</f>
        <v>194982.39999999999</v>
      </c>
      <c r="E40" s="214"/>
      <c r="F40" s="214">
        <f>SUM(F41:F62)</f>
        <v>175639.99995999999</v>
      </c>
      <c r="G40" s="214">
        <f>SUM(G41:G62)</f>
        <v>0</v>
      </c>
      <c r="H40" s="214">
        <f>SUM(H41:H62)</f>
        <v>23582</v>
      </c>
      <c r="I40" s="214">
        <f>SUM(I41:I62)</f>
        <v>7712.63</v>
      </c>
      <c r="J40" s="214">
        <f>SUM(J41:J62)</f>
        <v>510896.54996000003</v>
      </c>
      <c r="K40" s="181"/>
    </row>
    <row r="41" spans="1:11" s="589" customFormat="1" ht="26.25" customHeight="1" x14ac:dyDescent="0.2">
      <c r="A41" s="604">
        <v>54101</v>
      </c>
      <c r="B41" s="605" t="s">
        <v>34</v>
      </c>
      <c r="C41" s="582">
        <f>'EGRE FONDO COMUN'!H25</f>
        <v>12000</v>
      </c>
      <c r="D41" s="582">
        <f>'Egr. FODES LIBRE DISPONIBILIDAD'!H21</f>
        <v>4000</v>
      </c>
      <c r="E41" s="582"/>
      <c r="F41" s="582">
        <f>'FONDOS FAM'!H18+'FONDOS FAM'!H41</f>
        <v>28399.999960000001</v>
      </c>
      <c r="G41" s="582"/>
      <c r="H41" s="670"/>
      <c r="I41" s="582">
        <f>ISNA!H11</f>
        <v>6827.7</v>
      </c>
      <c r="J41" s="583">
        <f t="shared" ref="J41:J55" si="5">SUM(C41:I41)</f>
        <v>51227.699959999998</v>
      </c>
      <c r="K41" s="603"/>
    </row>
    <row r="42" spans="1:11" ht="24.75" customHeight="1" x14ac:dyDescent="0.2">
      <c r="A42" s="82">
        <v>54103</v>
      </c>
      <c r="B42" s="76" t="s">
        <v>156</v>
      </c>
      <c r="C42" s="94"/>
      <c r="D42" s="74"/>
      <c r="E42" s="74"/>
      <c r="F42" s="74"/>
      <c r="G42" s="74"/>
      <c r="H42" s="26"/>
      <c r="I42" s="74"/>
      <c r="J42" s="26">
        <f t="shared" si="5"/>
        <v>0</v>
      </c>
      <c r="K42" s="180"/>
    </row>
    <row r="43" spans="1:11" s="589" customFormat="1" ht="25.5" customHeight="1" x14ac:dyDescent="0.2">
      <c r="A43" s="604">
        <v>54104</v>
      </c>
      <c r="B43" s="605" t="s">
        <v>135</v>
      </c>
      <c r="C43" s="582">
        <f>'EGRE FONDO COMUN'!H26</f>
        <v>7000</v>
      </c>
      <c r="D43" s="582">
        <f>'Egr. FODES LIBRE DISPONIBILIDAD'!H22</f>
        <v>7194.4</v>
      </c>
      <c r="E43" s="582"/>
      <c r="F43" s="582">
        <f>'FONDOS FAM'!H21+'FONDOS FAM'!H28+'FONDOS FAM'!H34+'FONDOS FAM'!H49</f>
        <v>30000</v>
      </c>
      <c r="G43" s="582"/>
      <c r="H43" s="583"/>
      <c r="I43" s="582"/>
      <c r="J43" s="583">
        <f t="shared" si="5"/>
        <v>44194.400000000001</v>
      </c>
      <c r="K43" s="603"/>
    </row>
    <row r="44" spans="1:11" s="589" customFormat="1" ht="15.75" customHeight="1" x14ac:dyDescent="0.2">
      <c r="A44" s="604">
        <v>54105</v>
      </c>
      <c r="B44" s="605" t="s">
        <v>322</v>
      </c>
      <c r="C44" s="582">
        <f>'EGRE FONDO COMUN'!H27</f>
        <v>9000</v>
      </c>
      <c r="D44" s="909">
        <f>'Egr. FODES LIBRE DISPONIBILIDAD'!H23</f>
        <v>6000</v>
      </c>
      <c r="E44" s="582">
        <v>500</v>
      </c>
      <c r="F44" s="582"/>
      <c r="G44" s="582"/>
      <c r="H44" s="583"/>
      <c r="I44" s="582"/>
      <c r="J44" s="583">
        <f t="shared" si="5"/>
        <v>15500</v>
      </c>
      <c r="K44" s="603"/>
    </row>
    <row r="45" spans="1:11" s="589" customFormat="1" ht="15.75" customHeight="1" x14ac:dyDescent="0.2">
      <c r="A45" s="604">
        <v>54106</v>
      </c>
      <c r="B45" s="605" t="s">
        <v>323</v>
      </c>
      <c r="C45" s="582">
        <f>'EGRE FONDO COMUN'!H28</f>
        <v>5000</v>
      </c>
      <c r="D45" s="582">
        <f>'Egr. FODES LIBRE DISPONIBILIDAD'!H24</f>
        <v>1500</v>
      </c>
      <c r="E45" s="582"/>
      <c r="F45" s="582">
        <f>'FONDOS FAM'!H20+'FONDOS FAM'!H27+'FONDOS FAM'!H48</f>
        <v>13000</v>
      </c>
      <c r="G45" s="582"/>
      <c r="H45" s="583"/>
      <c r="I45" s="582"/>
      <c r="J45" s="583">
        <f t="shared" si="5"/>
        <v>19500</v>
      </c>
      <c r="K45" s="603"/>
    </row>
    <row r="46" spans="1:11" s="589" customFormat="1" ht="15.75" customHeight="1" x14ac:dyDescent="0.2">
      <c r="A46" s="604">
        <v>54107</v>
      </c>
      <c r="B46" s="605" t="s">
        <v>137</v>
      </c>
      <c r="C46" s="582">
        <f>'EGRE FONDO COMUN'!H29</f>
        <v>6000</v>
      </c>
      <c r="D46" s="582">
        <f>'Egr. FODES LIBRE DISPONIBILIDAD'!H25</f>
        <v>4000</v>
      </c>
      <c r="E46" s="582"/>
      <c r="F46" s="582"/>
      <c r="G46" s="582"/>
      <c r="H46" s="583">
        <f>'FONDOS GOES'!H16</f>
        <v>3582</v>
      </c>
      <c r="I46" s="582"/>
      <c r="J46" s="583">
        <f t="shared" si="5"/>
        <v>13582</v>
      </c>
      <c r="K46" s="603"/>
    </row>
    <row r="47" spans="1:11" ht="23.25" customHeight="1" x14ac:dyDescent="0.2">
      <c r="A47" s="82">
        <v>54108</v>
      </c>
      <c r="B47" s="76" t="s">
        <v>324</v>
      </c>
      <c r="C47" s="94">
        <f>'EGRE FONDO COMUN'!H30</f>
        <v>0</v>
      </c>
      <c r="D47" s="174">
        <f>'Egr. FODES LIBRE DISPONIBILIDAD'!H26</f>
        <v>100</v>
      </c>
      <c r="E47" s="74"/>
      <c r="F47" s="74"/>
      <c r="G47" s="74"/>
      <c r="H47" s="26"/>
      <c r="I47" s="74"/>
      <c r="J47" s="26">
        <f t="shared" si="5"/>
        <v>100</v>
      </c>
      <c r="K47" s="180"/>
    </row>
    <row r="48" spans="1:11" s="589" customFormat="1" ht="15.75" customHeight="1" x14ac:dyDescent="0.2">
      <c r="A48" s="604">
        <v>54109</v>
      </c>
      <c r="B48" s="605" t="s">
        <v>138</v>
      </c>
      <c r="C48" s="905">
        <f>'EGRE FONDO COMUN'!H31</f>
        <v>7335</v>
      </c>
      <c r="D48" s="582">
        <f>'Egr. FODES LIBRE DISPONIBILIDAD'!H27+'Egr. FODES LIBRE DISPONIBILIDAD'!H156</f>
        <v>5700</v>
      </c>
      <c r="E48" s="582"/>
      <c r="F48" s="582"/>
      <c r="G48" s="582"/>
      <c r="H48" s="583"/>
      <c r="I48" s="582"/>
      <c r="J48" s="583">
        <f t="shared" si="5"/>
        <v>13035</v>
      </c>
      <c r="K48" s="603"/>
    </row>
    <row r="49" spans="1:11" s="589" customFormat="1" ht="15.75" customHeight="1" x14ac:dyDescent="0.2">
      <c r="A49" s="604">
        <v>54110</v>
      </c>
      <c r="B49" s="605" t="s">
        <v>36</v>
      </c>
      <c r="C49" s="582">
        <f>'EGRE FONDO COMUN'!H32</f>
        <v>17000</v>
      </c>
      <c r="D49" s="582">
        <f>'Egr. FODES LIBRE DISPONIBILIDAD'!H28+'Egr. FODES LIBRE DISPONIBILIDAD'!H157</f>
        <v>20000</v>
      </c>
      <c r="E49" s="582"/>
      <c r="F49" s="582"/>
      <c r="G49" s="582"/>
      <c r="H49" s="583"/>
      <c r="I49" s="582"/>
      <c r="J49" s="583">
        <f t="shared" si="5"/>
        <v>37000</v>
      </c>
      <c r="K49" s="603"/>
    </row>
    <row r="50" spans="1:11" s="589" customFormat="1" ht="22.5" customHeight="1" x14ac:dyDescent="0.2">
      <c r="A50" s="604">
        <v>54111</v>
      </c>
      <c r="B50" s="605" t="s">
        <v>260</v>
      </c>
      <c r="C50" s="582">
        <f>'EGRE FONDO COMUN'!H33</f>
        <v>8000</v>
      </c>
      <c r="D50" s="582">
        <f>'Egr. FODES LIBRE DISPONIBILIDAD'!H29</f>
        <v>72000</v>
      </c>
      <c r="E50" s="582"/>
      <c r="F50" s="582">
        <f>'FONDOS FAM'!H45</f>
        <v>20000</v>
      </c>
      <c r="G50" s="582"/>
      <c r="H50" s="583">
        <f>'FONDOS GOES'!H19</f>
        <v>10000</v>
      </c>
      <c r="I50" s="582"/>
      <c r="J50" s="583">
        <f t="shared" si="5"/>
        <v>110000</v>
      </c>
      <c r="K50" s="603"/>
    </row>
    <row r="51" spans="1:11" s="589" customFormat="1" ht="25.5" customHeight="1" x14ac:dyDescent="0.2">
      <c r="A51" s="604">
        <v>54112</v>
      </c>
      <c r="B51" s="605" t="s">
        <v>259</v>
      </c>
      <c r="C51" s="582">
        <f>'EGRE FONDO COMUN'!H34</f>
        <v>4000</v>
      </c>
      <c r="D51" s="582">
        <f>'Egr. FODES LIBRE DISPONIBILIDAD'!H30</f>
        <v>31000</v>
      </c>
      <c r="E51" s="582"/>
      <c r="F51" s="582">
        <f>'FONDOS FAM'!H22+'FONDOS FAM'!H29+'FONDOS FAM'!H35+'FONDOS FAM'!H44+'FONDOS FAM'!H50</f>
        <v>40440</v>
      </c>
      <c r="G51" s="582"/>
      <c r="H51" s="582">
        <f>'FONDOS GOES'!H20</f>
        <v>10000</v>
      </c>
      <c r="I51" s="582"/>
      <c r="J51" s="583">
        <f t="shared" si="5"/>
        <v>85440</v>
      </c>
      <c r="K51" s="603"/>
    </row>
    <row r="52" spans="1:11" ht="27.6" customHeight="1" x14ac:dyDescent="0.2">
      <c r="A52" s="172">
        <v>54113</v>
      </c>
      <c r="B52" s="173" t="s">
        <v>510</v>
      </c>
      <c r="C52" s="94"/>
      <c r="D52" s="174"/>
      <c r="E52" s="174"/>
      <c r="F52" s="174"/>
      <c r="G52" s="174"/>
      <c r="H52" s="174"/>
      <c r="I52" s="174"/>
      <c r="J52" s="26">
        <f t="shared" si="5"/>
        <v>0</v>
      </c>
      <c r="K52" s="180"/>
    </row>
    <row r="53" spans="1:11" s="589" customFormat="1" ht="15.75" customHeight="1" x14ac:dyDescent="0.2">
      <c r="A53" s="604">
        <v>54114</v>
      </c>
      <c r="B53" s="605" t="s">
        <v>37</v>
      </c>
      <c r="C53" s="582">
        <f>'EGRE FONDO COMUN'!H36</f>
        <v>4000</v>
      </c>
      <c r="D53" s="582">
        <f>'Egr. FODES LIBRE DISPONIBILIDAD'!H31</f>
        <v>5000</v>
      </c>
      <c r="E53" s="582"/>
      <c r="F53" s="582"/>
      <c r="G53" s="582"/>
      <c r="H53" s="583"/>
      <c r="I53" s="582"/>
      <c r="J53" s="583">
        <f t="shared" si="5"/>
        <v>9000</v>
      </c>
      <c r="K53" s="603"/>
    </row>
    <row r="54" spans="1:11" s="589" customFormat="1" ht="15.75" customHeight="1" x14ac:dyDescent="0.2">
      <c r="A54" s="604">
        <v>54115</v>
      </c>
      <c r="B54" s="605" t="s">
        <v>68</v>
      </c>
      <c r="C54" s="582">
        <f>'EGRE FONDO COMUN'!H37</f>
        <v>7000</v>
      </c>
      <c r="D54" s="582">
        <f>'Egr. FODES LIBRE DISPONIBILIDAD'!H32</f>
        <v>6000</v>
      </c>
      <c r="E54" s="582"/>
      <c r="F54" s="582"/>
      <c r="G54" s="582"/>
      <c r="H54" s="583"/>
      <c r="I54" s="582"/>
      <c r="J54" s="583">
        <f t="shared" si="5"/>
        <v>13000</v>
      </c>
      <c r="K54" s="603"/>
    </row>
    <row r="55" spans="1:11" s="589" customFormat="1" ht="24.75" customHeight="1" x14ac:dyDescent="0.2">
      <c r="A55" s="604">
        <v>54116</v>
      </c>
      <c r="B55" s="605" t="s">
        <v>325</v>
      </c>
      <c r="C55" s="582">
        <f>'EGRE FONDO COMUN'!H38</f>
        <v>1044.52</v>
      </c>
      <c r="D55" s="582">
        <f>'Egr. FODES LIBRE DISPONIBILIDAD'!H33</f>
        <v>200</v>
      </c>
      <c r="E55" s="582"/>
      <c r="F55" s="582"/>
      <c r="G55" s="582"/>
      <c r="H55" s="583"/>
      <c r="I55" s="582"/>
      <c r="J55" s="583">
        <f t="shared" si="5"/>
        <v>1244.52</v>
      </c>
      <c r="K55" s="603"/>
    </row>
    <row r="56" spans="1:11" ht="12.75" customHeight="1" x14ac:dyDescent="0.2">
      <c r="A56" s="82"/>
      <c r="B56" s="76"/>
      <c r="C56" s="94"/>
      <c r="D56" s="174"/>
      <c r="E56" s="74"/>
      <c r="F56" s="74"/>
      <c r="G56" s="74"/>
      <c r="H56" s="26"/>
      <c r="I56" s="74"/>
      <c r="J56" s="26"/>
      <c r="K56" s="180"/>
    </row>
    <row r="57" spans="1:11" ht="12.75" customHeight="1" x14ac:dyDescent="0.2">
      <c r="A57" s="82"/>
      <c r="B57" s="76"/>
      <c r="C57" s="94"/>
      <c r="D57" s="174"/>
      <c r="E57" s="74"/>
      <c r="F57" s="74"/>
      <c r="G57" s="74"/>
      <c r="H57" s="26"/>
      <c r="I57" s="74"/>
      <c r="J57" s="26"/>
      <c r="K57" s="180"/>
    </row>
    <row r="58" spans="1:11" s="589" customFormat="1" ht="24" customHeight="1" x14ac:dyDescent="0.2">
      <c r="A58" s="604">
        <v>54117</v>
      </c>
      <c r="B58" s="605" t="s">
        <v>464</v>
      </c>
      <c r="C58" s="582">
        <f>'EGRE FONDO COMUN'!H39</f>
        <v>600</v>
      </c>
      <c r="D58" s="582">
        <f>'Egr. FODES LIBRE DISPONIBILIDAD'!H34</f>
        <v>0</v>
      </c>
      <c r="E58" s="582"/>
      <c r="F58" s="582"/>
      <c r="G58" s="582"/>
      <c r="H58" s="583"/>
      <c r="I58" s="582"/>
      <c r="J58" s="583">
        <f>SUM(C58:I58)</f>
        <v>600</v>
      </c>
      <c r="K58" s="603"/>
    </row>
    <row r="59" spans="1:11" s="589" customFormat="1" ht="25.5" customHeight="1" x14ac:dyDescent="0.2">
      <c r="A59" s="604">
        <v>54118</v>
      </c>
      <c r="B59" s="605" t="s">
        <v>320</v>
      </c>
      <c r="C59" s="582">
        <f>'EGRE FONDO COMUN'!H40</f>
        <v>5000</v>
      </c>
      <c r="D59" s="582">
        <f>'Egr. FODES LIBRE DISPONIBILIDAD'!H35</f>
        <v>9423</v>
      </c>
      <c r="E59" s="582"/>
      <c r="F59" s="582">
        <f>'FONDOS FAM'!H42+'FONDOS FAM'!H38</f>
        <v>11000</v>
      </c>
      <c r="G59" s="582"/>
      <c r="H59" s="583"/>
      <c r="I59" s="582"/>
      <c r="J59" s="583">
        <f>SUM(C59:I59)</f>
        <v>25423</v>
      </c>
      <c r="K59" s="603"/>
    </row>
    <row r="60" spans="1:11" s="589" customFormat="1" ht="15.75" customHeight="1" x14ac:dyDescent="0.2">
      <c r="A60" s="604">
        <v>54119</v>
      </c>
      <c r="B60" s="605" t="s">
        <v>79</v>
      </c>
      <c r="C60" s="582">
        <f>'EGRE FONDO COMUN'!H41</f>
        <v>4000</v>
      </c>
      <c r="D60" s="582">
        <f>'Egr. FODES LIBRE DISPONIBILIDAD'!H36</f>
        <v>5000</v>
      </c>
      <c r="E60" s="582"/>
      <c r="F60" s="582"/>
      <c r="G60" s="582"/>
      <c r="H60" s="583"/>
      <c r="I60" s="582"/>
      <c r="J60" s="583">
        <f>SUM(C60:I60)</f>
        <v>9000</v>
      </c>
      <c r="K60" s="603"/>
    </row>
    <row r="61" spans="1:11" s="589" customFormat="1" ht="15.75" customHeight="1" x14ac:dyDescent="0.2">
      <c r="A61" s="604">
        <v>54121</v>
      </c>
      <c r="B61" s="605" t="s">
        <v>261</v>
      </c>
      <c r="C61" s="582"/>
      <c r="D61" s="582">
        <f>'Egr. FODES LIBRE DISPONIBILIDAD'!H37</f>
        <v>3000</v>
      </c>
      <c r="E61" s="582"/>
      <c r="F61" s="582"/>
      <c r="G61" s="582"/>
      <c r="H61" s="583"/>
      <c r="I61" s="582"/>
      <c r="J61" s="583">
        <f>SUM(C61:I61)</f>
        <v>3000</v>
      </c>
      <c r="K61" s="603"/>
    </row>
    <row r="62" spans="1:11" s="589" customFormat="1" ht="20.25" customHeight="1" x14ac:dyDescent="0.2">
      <c r="A62" s="604">
        <v>54199</v>
      </c>
      <c r="B62" s="605" t="s">
        <v>262</v>
      </c>
      <c r="C62" s="582">
        <f>'EGRE FONDO COMUN'!H42</f>
        <v>11000</v>
      </c>
      <c r="D62" s="582">
        <f>'Egr. FODES LIBRE DISPONIBILIDAD'!H38</f>
        <v>14865</v>
      </c>
      <c r="E62" s="582">
        <v>500</v>
      </c>
      <c r="F62" s="582">
        <f>'FONDOS FAM'!H17+'FONDOS FAM'!H25+'FONDOS FAM'!H32+'FONDOS FAM'!H40</f>
        <v>32800</v>
      </c>
      <c r="G62" s="582"/>
      <c r="H62" s="583"/>
      <c r="I62" s="582">
        <f>ISNA!H12</f>
        <v>884.93</v>
      </c>
      <c r="J62" s="583">
        <f>SUM(C62:I62)</f>
        <v>60049.93</v>
      </c>
      <c r="K62" s="603"/>
    </row>
    <row r="63" spans="1:11" ht="18" customHeight="1" x14ac:dyDescent="0.2">
      <c r="A63" s="82"/>
      <c r="B63" s="76"/>
      <c r="C63" s="94"/>
      <c r="D63" s="174"/>
      <c r="E63" s="74"/>
      <c r="F63" s="74"/>
      <c r="G63" s="74"/>
      <c r="H63" s="26"/>
      <c r="I63" s="74"/>
      <c r="J63" s="26"/>
      <c r="K63" s="180"/>
    </row>
    <row r="64" spans="1:11" ht="20.25" customHeight="1" x14ac:dyDescent="0.2">
      <c r="A64" s="82"/>
      <c r="B64" s="76"/>
      <c r="C64" s="94"/>
      <c r="D64" s="174"/>
      <c r="E64" s="74"/>
      <c r="F64" s="74"/>
      <c r="G64" s="74"/>
      <c r="H64" s="26"/>
      <c r="I64" s="74"/>
      <c r="J64" s="26"/>
      <c r="K64" s="180"/>
    </row>
    <row r="65" spans="1:11" ht="15.75" customHeight="1" x14ac:dyDescent="0.2">
      <c r="A65" s="212">
        <v>542</v>
      </c>
      <c r="B65" s="213" t="s">
        <v>263</v>
      </c>
      <c r="C65" s="279">
        <f>SUM(C66:C70)</f>
        <v>0</v>
      </c>
      <c r="D65" s="214">
        <f t="shared" ref="D65:J65" si="6">SUM(D66:D70)</f>
        <v>0</v>
      </c>
      <c r="E65" s="214"/>
      <c r="F65" s="214">
        <f t="shared" si="6"/>
        <v>96000</v>
      </c>
      <c r="G65" s="214">
        <f t="shared" si="6"/>
        <v>0</v>
      </c>
      <c r="H65" s="214">
        <f t="shared" si="6"/>
        <v>0</v>
      </c>
      <c r="I65" s="214">
        <f t="shared" si="6"/>
        <v>0</v>
      </c>
      <c r="J65" s="214">
        <f t="shared" si="6"/>
        <v>96000</v>
      </c>
      <c r="K65" s="181"/>
    </row>
    <row r="66" spans="1:11" s="589" customFormat="1" ht="19.5" customHeight="1" x14ac:dyDescent="0.2">
      <c r="A66" s="604">
        <v>54201</v>
      </c>
      <c r="B66" s="605" t="s">
        <v>38</v>
      </c>
      <c r="C66" s="582">
        <f>'EGRE FONDO COMUN'!H43</f>
        <v>0</v>
      </c>
      <c r="D66" s="582">
        <f>'Egr. FODES LIBRE DISPONIBILIDAD'!H39</f>
        <v>0</v>
      </c>
      <c r="E66" s="582"/>
      <c r="F66" s="582">
        <f>'FONDOS FAM'!H10</f>
        <v>8400</v>
      </c>
      <c r="G66" s="582"/>
      <c r="H66" s="583"/>
      <c r="I66" s="582"/>
      <c r="J66" s="583">
        <f>SUM(C66:I66)</f>
        <v>8400</v>
      </c>
      <c r="K66" s="603"/>
    </row>
    <row r="67" spans="1:11" s="589" customFormat="1" ht="15.75" customHeight="1" x14ac:dyDescent="0.2">
      <c r="A67" s="604">
        <v>54202</v>
      </c>
      <c r="B67" s="605" t="s">
        <v>39</v>
      </c>
      <c r="C67" s="582">
        <f>'EGRE FONDO COMUN'!H44</f>
        <v>0</v>
      </c>
      <c r="D67" s="582">
        <f>'Egr. FODES LIBRE DISPONIBILIDAD'!H40</f>
        <v>0</v>
      </c>
      <c r="E67" s="582"/>
      <c r="F67" s="582">
        <f>'FONDOS FAM'!H11</f>
        <v>3600</v>
      </c>
      <c r="G67" s="582"/>
      <c r="H67" s="583"/>
      <c r="I67" s="582"/>
      <c r="J67" s="583">
        <f>SUM(C67:I67)</f>
        <v>3600</v>
      </c>
      <c r="K67" s="603"/>
    </row>
    <row r="68" spans="1:11" s="589" customFormat="1" ht="23.25" customHeight="1" x14ac:dyDescent="0.2">
      <c r="A68" s="604">
        <v>54203</v>
      </c>
      <c r="B68" s="605" t="s">
        <v>40</v>
      </c>
      <c r="C68" s="582">
        <f>'EGRE FONDO COMUN'!H45</f>
        <v>0</v>
      </c>
      <c r="D68" s="582">
        <f>'Egr. FODES LIBRE DISPONIBILIDAD'!H41</f>
        <v>0</v>
      </c>
      <c r="E68" s="582"/>
      <c r="F68" s="582">
        <f>'FONDOS FAM'!H12</f>
        <v>6000</v>
      </c>
      <c r="G68" s="582"/>
      <c r="H68" s="583"/>
      <c r="I68" s="582"/>
      <c r="J68" s="583">
        <f>SUM(C68:I68)</f>
        <v>6000</v>
      </c>
      <c r="K68" s="603"/>
    </row>
    <row r="69" spans="1:11" ht="15.75" customHeight="1" x14ac:dyDescent="0.2">
      <c r="A69" s="82">
        <v>54204</v>
      </c>
      <c r="B69" s="76" t="s">
        <v>465</v>
      </c>
      <c r="C69" s="94"/>
      <c r="D69" s="74"/>
      <c r="E69" s="74"/>
      <c r="F69" s="74"/>
      <c r="G69" s="74"/>
      <c r="H69" s="26"/>
      <c r="I69" s="74"/>
      <c r="J69" s="26">
        <f>SUM(C69:I69)</f>
        <v>0</v>
      </c>
      <c r="K69" s="180"/>
    </row>
    <row r="70" spans="1:11" ht="15.75" customHeight="1" x14ac:dyDescent="0.2">
      <c r="A70" s="82">
        <v>54205</v>
      </c>
      <c r="B70" s="76" t="s">
        <v>264</v>
      </c>
      <c r="C70" s="94"/>
      <c r="D70" s="174"/>
      <c r="E70" s="174"/>
      <c r="F70" s="174">
        <f>'FONDOS FAM'!H13</f>
        <v>78000</v>
      </c>
      <c r="G70" s="74"/>
      <c r="H70" s="74"/>
      <c r="I70" s="74">
        <f>SUM('EGRE FONDO COMUN'!S46)</f>
        <v>0</v>
      </c>
      <c r="J70" s="26">
        <f>SUM(C70:I70)</f>
        <v>78000</v>
      </c>
      <c r="K70" s="180"/>
    </row>
    <row r="71" spans="1:11" ht="15.75" customHeight="1" x14ac:dyDescent="0.2">
      <c r="A71" s="82"/>
      <c r="B71" s="76"/>
      <c r="C71" s="94"/>
      <c r="D71" s="74"/>
      <c r="E71" s="74"/>
      <c r="F71" s="74"/>
      <c r="G71" s="74"/>
      <c r="H71" s="74"/>
      <c r="I71" s="74"/>
      <c r="J71" s="74"/>
    </row>
    <row r="72" spans="1:11" ht="23.25" customHeight="1" x14ac:dyDescent="0.2">
      <c r="A72" s="212">
        <v>543</v>
      </c>
      <c r="B72" s="213" t="s">
        <v>307</v>
      </c>
      <c r="C72" s="279">
        <f t="shared" ref="C72:J72" si="7">SUM(C73:C86)</f>
        <v>52000</v>
      </c>
      <c r="D72" s="214">
        <f t="shared" si="7"/>
        <v>62500</v>
      </c>
      <c r="E72" s="214"/>
      <c r="F72" s="214">
        <f t="shared" si="7"/>
        <v>123895.82</v>
      </c>
      <c r="G72" s="214">
        <f t="shared" si="7"/>
        <v>0</v>
      </c>
      <c r="H72" s="214">
        <f t="shared" si="7"/>
        <v>0</v>
      </c>
      <c r="I72" s="214">
        <f t="shared" si="7"/>
        <v>0</v>
      </c>
      <c r="J72" s="214">
        <f t="shared" si="7"/>
        <v>239113.58000000002</v>
      </c>
      <c r="K72" s="181"/>
    </row>
    <row r="73" spans="1:11" s="589" customFormat="1" ht="21" customHeight="1" x14ac:dyDescent="0.2">
      <c r="A73" s="604">
        <v>54301</v>
      </c>
      <c r="B73" s="605" t="s">
        <v>265</v>
      </c>
      <c r="C73" s="582">
        <f>'EGRE FONDO COMUN'!H48</f>
        <v>4000</v>
      </c>
      <c r="D73" s="582">
        <f>'Egr. FODES LIBRE DISPONIBILIDAD'!H42</f>
        <v>24000</v>
      </c>
      <c r="E73" s="582"/>
      <c r="F73" s="582"/>
      <c r="G73" s="582"/>
      <c r="H73" s="583"/>
      <c r="I73" s="582"/>
      <c r="J73" s="583">
        <f t="shared" ref="J73:J86" si="8">SUM(C73:I73)</f>
        <v>28000</v>
      </c>
      <c r="K73" s="603"/>
    </row>
    <row r="74" spans="1:11" s="589" customFormat="1" ht="15.75" customHeight="1" x14ac:dyDescent="0.2">
      <c r="A74" s="604">
        <v>54302</v>
      </c>
      <c r="B74" s="605" t="s">
        <v>266</v>
      </c>
      <c r="C74" s="582">
        <f>'EGRE FONDO COMUN'!H49</f>
        <v>4000</v>
      </c>
      <c r="D74" s="582">
        <f>'Egr. FODES LIBRE DISPONIBILIDAD'!H43</f>
        <v>7500</v>
      </c>
      <c r="E74" s="582"/>
      <c r="F74" s="582"/>
      <c r="G74" s="582"/>
      <c r="H74" s="582"/>
      <c r="I74" s="582"/>
      <c r="J74" s="583">
        <f t="shared" si="8"/>
        <v>11500</v>
      </c>
      <c r="K74" s="603"/>
    </row>
    <row r="75" spans="1:11" s="589" customFormat="1" ht="22.5" customHeight="1" x14ac:dyDescent="0.2">
      <c r="A75" s="604">
        <v>54303</v>
      </c>
      <c r="B75" s="605" t="s">
        <v>267</v>
      </c>
      <c r="C75" s="582">
        <f>'EGRE FONDO COMUN'!H50</f>
        <v>2000</v>
      </c>
      <c r="D75" s="582">
        <f>'Egr. FODES LIBRE DISPONIBILIDAD'!H44</f>
        <v>5000</v>
      </c>
      <c r="E75" s="582"/>
      <c r="F75" s="582"/>
      <c r="G75" s="582"/>
      <c r="H75" s="583"/>
      <c r="I75" s="582"/>
      <c r="J75" s="583">
        <f t="shared" si="8"/>
        <v>7000</v>
      </c>
      <c r="K75" s="603"/>
    </row>
    <row r="76" spans="1:11" s="589" customFormat="1" ht="25.5" x14ac:dyDescent="0.2">
      <c r="A76" s="604">
        <v>54304</v>
      </c>
      <c r="B76" s="605" t="s">
        <v>268</v>
      </c>
      <c r="C76" s="582">
        <f>'EGRE FONDO COMUN'!H51</f>
        <v>2000</v>
      </c>
      <c r="D76" s="582">
        <f>'Egr. FODES LIBRE DISPONIBILIDAD'!H45</f>
        <v>2000</v>
      </c>
      <c r="E76" s="582"/>
      <c r="F76" s="582"/>
      <c r="G76" s="582"/>
      <c r="H76" s="583"/>
      <c r="I76" s="582"/>
      <c r="J76" s="583">
        <f t="shared" si="8"/>
        <v>4000</v>
      </c>
      <c r="K76" s="603"/>
    </row>
    <row r="77" spans="1:11" s="589" customFormat="1" x14ac:dyDescent="0.2">
      <c r="A77" s="604">
        <v>54305</v>
      </c>
      <c r="B77" s="605" t="s">
        <v>65</v>
      </c>
      <c r="C77" s="582">
        <f>'EGRE FONDO COMUN'!H52</f>
        <v>2000</v>
      </c>
      <c r="D77" s="582">
        <f>'Egr. FODES LIBRE DISPONIBILIDAD'!H46</f>
        <v>2000</v>
      </c>
      <c r="E77" s="582"/>
      <c r="F77" s="582"/>
      <c r="G77" s="582"/>
      <c r="H77" s="583"/>
      <c r="I77" s="582"/>
      <c r="J77" s="583">
        <f t="shared" si="8"/>
        <v>4000</v>
      </c>
      <c r="K77" s="603"/>
    </row>
    <row r="78" spans="1:11" ht="25.5" x14ac:dyDescent="0.2">
      <c r="A78" s="82">
        <v>54307</v>
      </c>
      <c r="B78" s="76" t="s">
        <v>269</v>
      </c>
      <c r="C78" s="94"/>
      <c r="D78" s="74"/>
      <c r="E78" s="74"/>
      <c r="F78" s="74"/>
      <c r="G78" s="74"/>
      <c r="H78" s="26"/>
      <c r="I78" s="74"/>
      <c r="J78" s="26">
        <f t="shared" si="8"/>
        <v>0</v>
      </c>
      <c r="K78" s="180"/>
    </row>
    <row r="79" spans="1:11" ht="25.5" x14ac:dyDescent="0.2">
      <c r="A79" s="79">
        <v>54308</v>
      </c>
      <c r="B79" s="78" t="s">
        <v>515</v>
      </c>
      <c r="C79" s="94"/>
      <c r="D79" s="74"/>
      <c r="E79" s="74"/>
      <c r="F79" s="74"/>
      <c r="G79" s="74"/>
      <c r="H79" s="26"/>
      <c r="I79" s="74"/>
      <c r="J79" s="26">
        <f t="shared" si="8"/>
        <v>0</v>
      </c>
      <c r="K79" s="180"/>
    </row>
    <row r="80" spans="1:11" x14ac:dyDescent="0.2">
      <c r="A80" s="79">
        <v>54310</v>
      </c>
      <c r="B80" s="78" t="s">
        <v>146</v>
      </c>
      <c r="C80" s="94"/>
      <c r="D80" s="74"/>
      <c r="E80" s="74"/>
      <c r="F80" s="74"/>
      <c r="G80" s="74"/>
      <c r="H80" s="26"/>
      <c r="I80" s="74"/>
      <c r="J80" s="26">
        <f t="shared" si="8"/>
        <v>0</v>
      </c>
      <c r="K80" s="180"/>
    </row>
    <row r="81" spans="1:11" x14ac:dyDescent="0.2">
      <c r="A81" s="79">
        <v>54311</v>
      </c>
      <c r="B81" s="78" t="s">
        <v>270</v>
      </c>
      <c r="C81" s="94"/>
      <c r="D81" s="174"/>
      <c r="E81" s="74"/>
      <c r="F81" s="74"/>
      <c r="G81" s="74"/>
      <c r="H81" s="26"/>
      <c r="I81" s="74"/>
      <c r="J81" s="26">
        <f t="shared" si="8"/>
        <v>0</v>
      </c>
      <c r="K81" s="180"/>
    </row>
    <row r="82" spans="1:11" s="589" customFormat="1" ht="25.5" x14ac:dyDescent="0.2">
      <c r="A82" s="671">
        <v>54313</v>
      </c>
      <c r="B82" s="672" t="s">
        <v>271</v>
      </c>
      <c r="C82" s="582">
        <f>'EGRE FONDO COMUN'!H57</f>
        <v>1000</v>
      </c>
      <c r="D82" s="582">
        <f>'Egr. FODES LIBRE DISPONIBILIDAD'!H47</f>
        <v>3500</v>
      </c>
      <c r="E82" s="582"/>
      <c r="F82" s="582"/>
      <c r="G82" s="582"/>
      <c r="H82" s="583"/>
      <c r="I82" s="582"/>
      <c r="J82" s="583">
        <f t="shared" si="8"/>
        <v>4500</v>
      </c>
      <c r="K82" s="603"/>
    </row>
    <row r="83" spans="1:11" s="589" customFormat="1" x14ac:dyDescent="0.2">
      <c r="A83" s="671">
        <v>54314</v>
      </c>
      <c r="B83" s="672" t="s">
        <v>71</v>
      </c>
      <c r="C83" s="582">
        <f>'EGRE FONDO COMUN'!H58</f>
        <v>17000</v>
      </c>
      <c r="D83" s="582">
        <f>'Egr. FODES LIBRE DISPONIBILIDAD'!H48</f>
        <v>2000</v>
      </c>
      <c r="E83" s="582"/>
      <c r="F83" s="582"/>
      <c r="G83" s="582"/>
      <c r="H83" s="582"/>
      <c r="I83" s="582"/>
      <c r="J83" s="583">
        <f t="shared" si="8"/>
        <v>19000</v>
      </c>
      <c r="K83" s="603"/>
    </row>
    <row r="84" spans="1:11" s="589" customFormat="1" ht="25.5" x14ac:dyDescent="0.2">
      <c r="A84" s="671">
        <v>54316</v>
      </c>
      <c r="B84" s="672" t="s">
        <v>159</v>
      </c>
      <c r="C84" s="582">
        <f>'EGRE FONDO COMUN'!H59</f>
        <v>2000</v>
      </c>
      <c r="D84" s="582">
        <f>'Egr. FODES LIBRE DISPONIBILIDAD'!H49</f>
        <v>1500</v>
      </c>
      <c r="E84" s="582"/>
      <c r="F84" s="582"/>
      <c r="G84" s="582"/>
      <c r="H84" s="583"/>
      <c r="I84" s="582"/>
      <c r="J84" s="583">
        <f t="shared" si="8"/>
        <v>3500</v>
      </c>
      <c r="K84" s="603"/>
    </row>
    <row r="85" spans="1:11" s="589" customFormat="1" ht="25.5" x14ac:dyDescent="0.2">
      <c r="A85" s="671">
        <v>54317</v>
      </c>
      <c r="B85" s="672" t="s">
        <v>272</v>
      </c>
      <c r="C85" s="582">
        <f>'EGRE FONDO COMUN'!H60</f>
        <v>4000</v>
      </c>
      <c r="D85" s="582">
        <f>'Egr. FODES LIBRE DISPONIBILIDAD'!H50</f>
        <v>4000</v>
      </c>
      <c r="E85" s="582"/>
      <c r="F85" s="582"/>
      <c r="G85" s="582"/>
      <c r="H85" s="583"/>
      <c r="I85" s="582"/>
      <c r="J85" s="583">
        <f t="shared" si="8"/>
        <v>8000</v>
      </c>
      <c r="K85" s="603"/>
    </row>
    <row r="86" spans="1:11" s="589" customFormat="1" ht="25.5" x14ac:dyDescent="0.2">
      <c r="A86" s="671">
        <v>54399</v>
      </c>
      <c r="B86" s="672" t="s">
        <v>273</v>
      </c>
      <c r="C86" s="582">
        <f>'EGRE FONDO COMUN'!H61</f>
        <v>14000</v>
      </c>
      <c r="D86" s="582">
        <f>'Egr. FODES LIBRE DISPONIBILIDAD'!H51</f>
        <v>11000</v>
      </c>
      <c r="E86" s="582">
        <f>DONACIONES!H13</f>
        <v>717.76</v>
      </c>
      <c r="F86" s="582">
        <f>'FONDOS FAM'!H16+'FONDOS FAM'!H23+'FONDOS FAM'!H30+'FONDOS FAM'!H36+'FONDOS FAM'!H46+'FONDOS FAM'!H51+'FONDOS FAM'!H53</f>
        <v>123895.82</v>
      </c>
      <c r="G86" s="582"/>
      <c r="H86" s="583"/>
      <c r="I86" s="582"/>
      <c r="J86" s="583">
        <f t="shared" si="8"/>
        <v>149613.58000000002</v>
      </c>
      <c r="K86" s="603"/>
    </row>
    <row r="87" spans="1:11" x14ac:dyDescent="0.2">
      <c r="A87" s="79"/>
      <c r="B87" s="78"/>
      <c r="C87" s="94"/>
      <c r="D87" s="74"/>
      <c r="E87" s="74"/>
      <c r="F87" s="74"/>
      <c r="G87" s="74"/>
      <c r="H87" s="74"/>
      <c r="I87" s="74"/>
      <c r="J87" s="74"/>
    </row>
    <row r="88" spans="1:11" x14ac:dyDescent="0.2">
      <c r="A88" s="218">
        <v>544</v>
      </c>
      <c r="B88" s="219" t="s">
        <v>274</v>
      </c>
      <c r="C88" s="279">
        <f>SUM(C89:C92)</f>
        <v>1590</v>
      </c>
      <c r="D88" s="214">
        <f>SUM(D89:D92)</f>
        <v>0</v>
      </c>
      <c r="E88" s="214"/>
      <c r="F88" s="279">
        <f>SUM(F89:F92)</f>
        <v>0</v>
      </c>
      <c r="G88" s="214">
        <f>SUM(G89:G91)</f>
        <v>0</v>
      </c>
      <c r="H88" s="214">
        <f>SUM(H89:H91)</f>
        <v>0</v>
      </c>
      <c r="I88" s="214">
        <f>SUM(I89:I91)</f>
        <v>0</v>
      </c>
      <c r="J88" s="214">
        <f>SUM(J89:J92)</f>
        <v>1590</v>
      </c>
      <c r="K88" s="181"/>
    </row>
    <row r="89" spans="1:11" s="589" customFormat="1" x14ac:dyDescent="0.2">
      <c r="A89" s="604">
        <v>54401</v>
      </c>
      <c r="B89" s="605" t="s">
        <v>201</v>
      </c>
      <c r="C89" s="582">
        <f>'EGRE FONDO COMUN'!H62</f>
        <v>720</v>
      </c>
      <c r="D89" s="673"/>
      <c r="E89" s="673"/>
      <c r="F89" s="673"/>
      <c r="G89" s="673"/>
      <c r="H89" s="674"/>
      <c r="I89" s="582"/>
      <c r="J89" s="583">
        <f>SUM(C89:I89)</f>
        <v>720</v>
      </c>
      <c r="K89" s="603"/>
    </row>
    <row r="90" spans="1:11" x14ac:dyDescent="0.2">
      <c r="A90" s="79">
        <v>54402</v>
      </c>
      <c r="B90" s="78" t="s">
        <v>202</v>
      </c>
      <c r="C90" s="94"/>
      <c r="D90" s="74"/>
      <c r="E90" s="74"/>
      <c r="F90" s="74"/>
      <c r="G90" s="74"/>
      <c r="H90" s="26"/>
      <c r="I90" s="74"/>
      <c r="J90" s="26">
        <f>SUM(C90:I90)</f>
        <v>0</v>
      </c>
      <c r="K90" s="180"/>
    </row>
    <row r="91" spans="1:11" s="589" customFormat="1" ht="25.5" x14ac:dyDescent="0.2">
      <c r="A91" s="671">
        <v>54403</v>
      </c>
      <c r="B91" s="672" t="s">
        <v>275</v>
      </c>
      <c r="C91" s="582">
        <f>'EGRE FONDO COMUN'!H64</f>
        <v>870</v>
      </c>
      <c r="D91" s="582"/>
      <c r="E91" s="582"/>
      <c r="F91" s="582"/>
      <c r="G91" s="582"/>
      <c r="H91" s="583"/>
      <c r="I91" s="582"/>
      <c r="J91" s="583">
        <f>SUM(C91:I91)</f>
        <v>870</v>
      </c>
      <c r="K91" s="603"/>
    </row>
    <row r="92" spans="1:11" ht="25.5" x14ac:dyDescent="0.2">
      <c r="A92" s="79">
        <v>54404</v>
      </c>
      <c r="B92" s="78" t="s">
        <v>516</v>
      </c>
      <c r="C92" s="94"/>
      <c r="D92" s="74"/>
      <c r="E92" s="74"/>
      <c r="F92" s="74"/>
      <c r="G92" s="74"/>
      <c r="H92" s="26"/>
      <c r="I92" s="74"/>
      <c r="J92" s="26">
        <f>SUM(C92:I92)</f>
        <v>0</v>
      </c>
      <c r="K92" s="180"/>
    </row>
    <row r="93" spans="1:11" x14ac:dyDescent="0.2">
      <c r="A93" s="79"/>
      <c r="B93" s="78"/>
      <c r="C93" s="94"/>
      <c r="D93" s="74"/>
      <c r="E93" s="74"/>
      <c r="F93" s="74"/>
      <c r="G93" s="74"/>
      <c r="H93" s="74"/>
      <c r="I93" s="74"/>
      <c r="J93" s="74"/>
    </row>
    <row r="94" spans="1:11" ht="25.5" x14ac:dyDescent="0.2">
      <c r="A94" s="218">
        <v>545</v>
      </c>
      <c r="B94" s="219" t="s">
        <v>276</v>
      </c>
      <c r="C94" s="279">
        <f t="shared" ref="C94:J94" si="9">SUM(C95:C100)</f>
        <v>20520</v>
      </c>
      <c r="D94" s="214">
        <f t="shared" si="9"/>
        <v>14000</v>
      </c>
      <c r="E94" s="214"/>
      <c r="F94" s="214">
        <f t="shared" si="9"/>
        <v>0</v>
      </c>
      <c r="G94" s="214">
        <f t="shared" si="9"/>
        <v>0</v>
      </c>
      <c r="H94" s="214">
        <f t="shared" si="9"/>
        <v>0</v>
      </c>
      <c r="I94" s="214">
        <f t="shared" si="9"/>
        <v>0</v>
      </c>
      <c r="J94" s="214">
        <f t="shared" si="9"/>
        <v>34520</v>
      </c>
      <c r="K94" s="181"/>
    </row>
    <row r="95" spans="1:11" ht="25.5" x14ac:dyDescent="0.2">
      <c r="A95" s="79">
        <v>54502</v>
      </c>
      <c r="B95" s="78" t="s">
        <v>277</v>
      </c>
      <c r="C95" s="94"/>
      <c r="D95" s="74"/>
      <c r="E95" s="74"/>
      <c r="F95" s="74"/>
      <c r="G95" s="74"/>
      <c r="H95" s="26"/>
      <c r="I95" s="74"/>
      <c r="J95" s="26">
        <f t="shared" ref="J95:J100" si="10">SUM(C95:I95)</f>
        <v>0</v>
      </c>
      <c r="K95" s="180"/>
    </row>
    <row r="96" spans="1:11" s="589" customFormat="1" x14ac:dyDescent="0.2">
      <c r="A96" s="671">
        <v>54503</v>
      </c>
      <c r="B96" s="672" t="s">
        <v>67</v>
      </c>
      <c r="C96" s="582">
        <f>'EGRE FONDO COMUN'!H67</f>
        <v>1000</v>
      </c>
      <c r="D96" s="582">
        <f>'Egr. FODES LIBRE DISPONIBILIDAD'!H52</f>
        <v>0</v>
      </c>
      <c r="E96" s="582"/>
      <c r="F96" s="582"/>
      <c r="G96" s="582"/>
      <c r="H96" s="583"/>
      <c r="I96" s="582"/>
      <c r="J96" s="583">
        <f t="shared" si="10"/>
        <v>1000</v>
      </c>
      <c r="K96" s="603"/>
    </row>
    <row r="97" spans="1:11" s="589" customFormat="1" ht="25.5" x14ac:dyDescent="0.2">
      <c r="A97" s="671">
        <v>54504</v>
      </c>
      <c r="B97" s="672" t="s">
        <v>72</v>
      </c>
      <c r="C97" s="582">
        <f>'EGRE FONDO COMUN'!H68</f>
        <v>12000</v>
      </c>
      <c r="D97" s="582">
        <f>'Egr. FODES LIBRE DISPONIBILIDAD'!H53</f>
        <v>4000</v>
      </c>
      <c r="E97" s="582"/>
      <c r="F97" s="582"/>
      <c r="G97" s="582"/>
      <c r="H97" s="583"/>
      <c r="I97" s="582"/>
      <c r="J97" s="583">
        <f t="shared" si="10"/>
        <v>16000</v>
      </c>
      <c r="K97" s="603"/>
    </row>
    <row r="98" spans="1:11" s="589" customFormat="1" x14ac:dyDescent="0.2">
      <c r="A98" s="671">
        <v>54505</v>
      </c>
      <c r="B98" s="672" t="s">
        <v>278</v>
      </c>
      <c r="C98" s="582">
        <f>'EGRE FONDO COMUN'!H69</f>
        <v>1520</v>
      </c>
      <c r="D98" s="582"/>
      <c r="E98" s="582"/>
      <c r="F98" s="582"/>
      <c r="G98" s="582"/>
      <c r="H98" s="582"/>
      <c r="I98" s="582"/>
      <c r="J98" s="583">
        <f t="shared" si="10"/>
        <v>1520</v>
      </c>
      <c r="K98" s="603"/>
    </row>
    <row r="99" spans="1:11" x14ac:dyDescent="0.2">
      <c r="A99" s="79">
        <v>54507</v>
      </c>
      <c r="B99" s="78" t="s">
        <v>279</v>
      </c>
      <c r="C99" s="94">
        <f>'EGRE FONDO COMUN'!H70</f>
        <v>4000</v>
      </c>
      <c r="D99" s="174"/>
      <c r="E99" s="74"/>
      <c r="F99" s="74"/>
      <c r="G99" s="74"/>
      <c r="H99" s="74"/>
      <c r="I99" s="74"/>
      <c r="J99" s="26">
        <f t="shared" si="10"/>
        <v>4000</v>
      </c>
      <c r="K99" s="180"/>
    </row>
    <row r="100" spans="1:11" s="589" customFormat="1" ht="25.5" x14ac:dyDescent="0.2">
      <c r="A100" s="671">
        <v>54599</v>
      </c>
      <c r="B100" s="672" t="s">
        <v>276</v>
      </c>
      <c r="C100" s="582">
        <f>'EGRE FONDO COMUN'!H71</f>
        <v>2000</v>
      </c>
      <c r="D100" s="582">
        <f>'Egr. FODES LIBRE DISPONIBILIDAD'!H54</f>
        <v>10000</v>
      </c>
      <c r="E100" s="582"/>
      <c r="F100" s="582"/>
      <c r="G100" s="582"/>
      <c r="H100" s="583"/>
      <c r="I100" s="582"/>
      <c r="J100" s="583">
        <f t="shared" si="10"/>
        <v>12000</v>
      </c>
      <c r="K100" s="603"/>
    </row>
    <row r="101" spans="1:11" x14ac:dyDescent="0.2">
      <c r="A101" s="79"/>
      <c r="B101" s="78"/>
      <c r="C101" s="94"/>
      <c r="D101" s="74"/>
      <c r="E101" s="74"/>
      <c r="F101" s="74"/>
      <c r="G101" s="74"/>
      <c r="H101" s="26"/>
      <c r="I101" s="74"/>
      <c r="J101" s="26"/>
    </row>
    <row r="102" spans="1:11" x14ac:dyDescent="0.2">
      <c r="A102" s="218">
        <v>546</v>
      </c>
      <c r="B102" s="219" t="s">
        <v>280</v>
      </c>
      <c r="C102" s="279">
        <f t="shared" ref="C102:J102" si="11">SUM(C103:C105)</f>
        <v>3500</v>
      </c>
      <c r="D102" s="214">
        <f t="shared" si="11"/>
        <v>0</v>
      </c>
      <c r="E102" s="214"/>
      <c r="F102" s="214">
        <f t="shared" si="11"/>
        <v>125000</v>
      </c>
      <c r="G102" s="214">
        <f t="shared" si="11"/>
        <v>0</v>
      </c>
      <c r="H102" s="214">
        <f t="shared" si="11"/>
        <v>0</v>
      </c>
      <c r="I102" s="214">
        <f t="shared" si="11"/>
        <v>0</v>
      </c>
      <c r="J102" s="214">
        <f t="shared" si="11"/>
        <v>128500</v>
      </c>
      <c r="K102" s="181"/>
    </row>
    <row r="103" spans="1:11" x14ac:dyDescent="0.2">
      <c r="A103" s="79">
        <v>54602</v>
      </c>
      <c r="B103" s="78" t="s">
        <v>163</v>
      </c>
      <c r="C103" s="94"/>
      <c r="D103" s="74"/>
      <c r="E103" s="74"/>
      <c r="F103" s="74"/>
      <c r="G103" s="74"/>
      <c r="H103" s="74"/>
      <c r="I103" s="74"/>
      <c r="J103" s="26">
        <f>SUM(C103:I103)</f>
        <v>0</v>
      </c>
      <c r="K103" s="180"/>
    </row>
    <row r="104" spans="1:11" x14ac:dyDescent="0.2">
      <c r="A104" s="79">
        <v>54603</v>
      </c>
      <c r="B104" s="78" t="s">
        <v>281</v>
      </c>
      <c r="C104" s="94"/>
      <c r="D104" s="74"/>
      <c r="E104" s="74"/>
      <c r="F104" s="74"/>
      <c r="G104" s="74"/>
      <c r="H104" s="74"/>
      <c r="I104" s="74"/>
      <c r="J104" s="26">
        <f>SUM(C104:I104)</f>
        <v>0</v>
      </c>
      <c r="K104" s="180"/>
    </row>
    <row r="105" spans="1:11" x14ac:dyDescent="0.2">
      <c r="A105" s="79">
        <v>54699</v>
      </c>
      <c r="B105" s="78" t="s">
        <v>23</v>
      </c>
      <c r="C105" s="94">
        <f>'EGRE FONDO COMUN'!H73</f>
        <v>3500</v>
      </c>
      <c r="D105" s="74"/>
      <c r="E105" s="74"/>
      <c r="F105" s="74">
        <f>FAM!P4</f>
        <v>125000</v>
      </c>
      <c r="G105" s="74"/>
      <c r="H105" s="26"/>
      <c r="I105" s="74"/>
      <c r="J105" s="26">
        <f>SUM(C105:I105)</f>
        <v>128500</v>
      </c>
      <c r="K105" s="180"/>
    </row>
    <row r="106" spans="1:11" x14ac:dyDescent="0.2">
      <c r="A106" s="79"/>
      <c r="B106" s="78"/>
      <c r="C106" s="94"/>
      <c r="D106" s="74"/>
      <c r="E106" s="74"/>
      <c r="F106" s="74"/>
      <c r="G106" s="74"/>
      <c r="H106" s="26"/>
      <c r="I106" s="74"/>
      <c r="J106" s="26"/>
    </row>
    <row r="107" spans="1:11" ht="25.5" x14ac:dyDescent="0.2">
      <c r="A107" s="227">
        <v>55</v>
      </c>
      <c r="B107" s="228" t="s">
        <v>308</v>
      </c>
      <c r="C107" s="279">
        <f t="shared" ref="C107:J107" si="12">+C110+C115</f>
        <v>4100</v>
      </c>
      <c r="D107" s="226">
        <f t="shared" si="12"/>
        <v>700</v>
      </c>
      <c r="E107" s="226"/>
      <c r="F107" s="226"/>
      <c r="G107" s="226">
        <f t="shared" si="12"/>
        <v>0</v>
      </c>
      <c r="H107" s="226">
        <f t="shared" si="12"/>
        <v>0</v>
      </c>
      <c r="I107" s="226">
        <f>+I110+I115</f>
        <v>1377.52</v>
      </c>
      <c r="J107" s="226">
        <f t="shared" si="12"/>
        <v>6177.52</v>
      </c>
      <c r="K107" s="182"/>
    </row>
    <row r="108" spans="1:11" ht="12" customHeight="1" x14ac:dyDescent="0.2">
      <c r="A108" s="227"/>
      <c r="B108" s="228"/>
      <c r="C108" s="279"/>
      <c r="D108" s="226"/>
      <c r="E108" s="226"/>
      <c r="F108" s="226"/>
      <c r="G108" s="226"/>
      <c r="H108" s="226"/>
      <c r="I108" s="226"/>
      <c r="J108" s="226"/>
      <c r="K108" s="182"/>
    </row>
    <row r="109" spans="1:11" x14ac:dyDescent="0.2">
      <c r="A109" s="227"/>
      <c r="B109" s="228"/>
      <c r="C109" s="279"/>
      <c r="D109" s="226"/>
      <c r="E109" s="226"/>
      <c r="F109" s="226"/>
      <c r="G109" s="226"/>
      <c r="H109" s="226"/>
      <c r="I109" s="226"/>
      <c r="J109" s="226"/>
      <c r="K109" s="182"/>
    </row>
    <row r="110" spans="1:11" ht="24" customHeight="1" x14ac:dyDescent="0.2">
      <c r="A110" s="218">
        <v>556</v>
      </c>
      <c r="B110" s="219" t="s">
        <v>295</v>
      </c>
      <c r="C110" s="279">
        <f>SUM(C111:C114)</f>
        <v>4100</v>
      </c>
      <c r="D110" s="214">
        <f>SUM(D111:D113)</f>
        <v>600</v>
      </c>
      <c r="E110" s="214"/>
      <c r="F110" s="214"/>
      <c r="G110" s="214">
        <f>SUM(G111:G113)</f>
        <v>0</v>
      </c>
      <c r="H110" s="214">
        <f>SUM(H111:H113)</f>
        <v>0</v>
      </c>
      <c r="I110" s="214">
        <f>SUM(I111:I113)</f>
        <v>1377.52</v>
      </c>
      <c r="J110" s="214">
        <f>SUM(J111:J114)</f>
        <v>6077.52</v>
      </c>
      <c r="K110" s="181"/>
    </row>
    <row r="111" spans="1:11" s="589" customFormat="1" ht="25.5" customHeight="1" x14ac:dyDescent="0.2">
      <c r="A111" s="671">
        <v>55601</v>
      </c>
      <c r="B111" s="672" t="s">
        <v>304</v>
      </c>
      <c r="C111" s="582">
        <f>'EGRE FONDO COMUN'!H74</f>
        <v>1000</v>
      </c>
      <c r="D111" s="582">
        <f>'Egr. FODES LIBRE DISPONIBILIDAD'!H55</f>
        <v>0</v>
      </c>
      <c r="E111" s="675"/>
      <c r="F111" s="675"/>
      <c r="G111" s="582"/>
      <c r="H111" s="583"/>
      <c r="I111" s="582"/>
      <c r="J111" s="583">
        <f>SUM(C111:I111)</f>
        <v>1000</v>
      </c>
      <c r="K111" s="603"/>
    </row>
    <row r="112" spans="1:11" s="589" customFormat="1" ht="24" customHeight="1" x14ac:dyDescent="0.2">
      <c r="A112" s="671">
        <v>55602</v>
      </c>
      <c r="B112" s="672" t="s">
        <v>205</v>
      </c>
      <c r="C112" s="582">
        <f>'EGRE FONDO COMUN'!H75</f>
        <v>3000</v>
      </c>
      <c r="D112" s="582">
        <f>'Egr. FODES LIBRE DISPONIBILIDAD'!H56</f>
        <v>500</v>
      </c>
      <c r="E112" s="675"/>
      <c r="F112" s="675"/>
      <c r="G112" s="582"/>
      <c r="H112" s="583"/>
      <c r="I112" s="582"/>
      <c r="J112" s="583">
        <f>SUM(C112:I112)</f>
        <v>3500</v>
      </c>
    </row>
    <row r="113" spans="1:11" s="589" customFormat="1" ht="25.5" x14ac:dyDescent="0.2">
      <c r="A113" s="671">
        <v>55603</v>
      </c>
      <c r="B113" s="672" t="s">
        <v>147</v>
      </c>
      <c r="C113" s="582">
        <f>'EGRE FONDO COMUN'!H76</f>
        <v>100</v>
      </c>
      <c r="D113" s="582">
        <f>'Egr. FODES LIBRE DISPONIBILIDAD'!H57</f>
        <v>100</v>
      </c>
      <c r="E113" s="582"/>
      <c r="F113" s="582"/>
      <c r="G113" s="582"/>
      <c r="H113" s="583"/>
      <c r="I113" s="582">
        <f>ISNA!H13</f>
        <v>1377.52</v>
      </c>
      <c r="J113" s="583">
        <f>SUM(C113:I113)</f>
        <v>1577.52</v>
      </c>
    </row>
    <row r="114" spans="1:11" x14ac:dyDescent="0.2">
      <c r="A114" s="79"/>
      <c r="B114" s="78"/>
      <c r="C114" s="94"/>
      <c r="D114" s="74"/>
      <c r="E114" s="74"/>
      <c r="F114" s="74"/>
      <c r="G114" s="94"/>
      <c r="H114" s="26"/>
      <c r="I114" s="74"/>
      <c r="J114" s="26"/>
    </row>
    <row r="115" spans="1:11" ht="25.5" x14ac:dyDescent="0.2">
      <c r="A115" s="218">
        <v>557</v>
      </c>
      <c r="B115" s="219" t="s">
        <v>305</v>
      </c>
      <c r="C115" s="279">
        <f>SUM(C116:C116)</f>
        <v>0</v>
      </c>
      <c r="D115" s="214">
        <f t="shared" ref="D115:J115" si="13">+D116</f>
        <v>100</v>
      </c>
      <c r="E115" s="214"/>
      <c r="F115" s="214"/>
      <c r="G115" s="214">
        <f t="shared" si="13"/>
        <v>0</v>
      </c>
      <c r="H115" s="214">
        <f t="shared" si="13"/>
        <v>0</v>
      </c>
      <c r="I115" s="214">
        <f t="shared" si="13"/>
        <v>0</v>
      </c>
      <c r="J115" s="214">
        <f t="shared" si="13"/>
        <v>100</v>
      </c>
    </row>
    <row r="116" spans="1:11" s="589" customFormat="1" x14ac:dyDescent="0.2">
      <c r="A116" s="671">
        <v>55703</v>
      </c>
      <c r="B116" s="676" t="s">
        <v>148</v>
      </c>
      <c r="C116" s="582">
        <f>'EGRE FONDO COMUN'!H77</f>
        <v>0</v>
      </c>
      <c r="D116" s="582">
        <f>'Egr. FODES LIBRE DISPONIBILIDAD'!H58</f>
        <v>100</v>
      </c>
      <c r="E116" s="582"/>
      <c r="F116" s="582"/>
      <c r="G116" s="582"/>
      <c r="H116" s="583"/>
      <c r="I116" s="582"/>
      <c r="J116" s="583">
        <f>SUM(C116:I116)</f>
        <v>100</v>
      </c>
    </row>
    <row r="117" spans="1:11" x14ac:dyDescent="0.2">
      <c r="A117" s="79"/>
      <c r="B117" s="78"/>
      <c r="C117" s="94"/>
      <c r="D117" s="74"/>
      <c r="E117" s="74"/>
      <c r="F117" s="74"/>
      <c r="G117" s="94"/>
      <c r="H117" s="26"/>
      <c r="I117" s="74"/>
      <c r="J117" s="26"/>
    </row>
    <row r="118" spans="1:11" x14ac:dyDescent="0.2">
      <c r="A118" s="170">
        <v>56</v>
      </c>
      <c r="B118" s="171" t="s">
        <v>241</v>
      </c>
      <c r="C118" s="279">
        <f>+C119+C122</f>
        <v>10500</v>
      </c>
      <c r="D118" s="169">
        <f t="shared" ref="D118:J118" si="14">+D119+D122</f>
        <v>2400</v>
      </c>
      <c r="E118" s="169"/>
      <c r="F118" s="169"/>
      <c r="G118" s="169">
        <f t="shared" si="14"/>
        <v>0</v>
      </c>
      <c r="H118" s="169">
        <f t="shared" si="14"/>
        <v>0</v>
      </c>
      <c r="I118" s="169">
        <f t="shared" si="14"/>
        <v>4000</v>
      </c>
      <c r="J118" s="169">
        <f t="shared" si="14"/>
        <v>77900</v>
      </c>
      <c r="K118" s="166"/>
    </row>
    <row r="119" spans="1:11" ht="25.5" x14ac:dyDescent="0.2">
      <c r="A119" s="218">
        <v>562</v>
      </c>
      <c r="B119" s="219" t="s">
        <v>298</v>
      </c>
      <c r="C119" s="279">
        <f>+C120</f>
        <v>0</v>
      </c>
      <c r="D119" s="214">
        <f t="shared" ref="D119:J119" si="15">+D120</f>
        <v>1900</v>
      </c>
      <c r="E119" s="214"/>
      <c r="F119" s="214"/>
      <c r="G119" s="214">
        <f t="shared" si="15"/>
        <v>0</v>
      </c>
      <c r="H119" s="214">
        <f t="shared" si="15"/>
        <v>0</v>
      </c>
      <c r="I119" s="214">
        <f>+I120</f>
        <v>0</v>
      </c>
      <c r="J119" s="214">
        <f t="shared" si="15"/>
        <v>1900</v>
      </c>
    </row>
    <row r="120" spans="1:11" s="589" customFormat="1" ht="25.5" x14ac:dyDescent="0.2">
      <c r="A120" s="671">
        <v>56201</v>
      </c>
      <c r="B120" s="672" t="s">
        <v>601</v>
      </c>
      <c r="C120" s="582"/>
      <c r="D120" s="582">
        <f>'Egr. FODES LIBRE DISPONIBILIDAD'!H63</f>
        <v>1900</v>
      </c>
      <c r="E120" s="582"/>
      <c r="F120" s="582"/>
      <c r="G120" s="582"/>
      <c r="H120" s="583"/>
      <c r="I120" s="582"/>
      <c r="J120" s="583">
        <f>SUM(C120:I120)</f>
        <v>1900</v>
      </c>
    </row>
    <row r="121" spans="1:11" x14ac:dyDescent="0.2">
      <c r="A121" s="79"/>
      <c r="B121" s="78"/>
      <c r="C121" s="94"/>
      <c r="D121" s="74"/>
      <c r="E121" s="74"/>
      <c r="F121" s="74"/>
      <c r="G121" s="94"/>
      <c r="H121" s="26"/>
      <c r="I121" s="74"/>
      <c r="J121" s="26"/>
    </row>
    <row r="122" spans="1:11" ht="25.5" x14ac:dyDescent="0.2">
      <c r="A122" s="218">
        <v>563</v>
      </c>
      <c r="B122" s="219" t="s">
        <v>296</v>
      </c>
      <c r="C122" s="279">
        <f>+C124+C125+C126+C123</f>
        <v>10500</v>
      </c>
      <c r="D122" s="214">
        <f>+D124+D125+D126+D123</f>
        <v>500</v>
      </c>
      <c r="E122" s="214"/>
      <c r="F122" s="214">
        <f>+F124+F125+F126+F123</f>
        <v>61000</v>
      </c>
      <c r="G122" s="214">
        <f>+G124</f>
        <v>0</v>
      </c>
      <c r="H122" s="214">
        <f>+H124</f>
        <v>0</v>
      </c>
      <c r="I122" s="214">
        <f>SUM(I124:I125)</f>
        <v>4000</v>
      </c>
      <c r="J122" s="214">
        <f>SUM(C122:I122)</f>
        <v>76000</v>
      </c>
    </row>
    <row r="123" spans="1:11" s="589" customFormat="1" ht="33" customHeight="1" x14ac:dyDescent="0.2">
      <c r="A123" s="671">
        <v>56301</v>
      </c>
      <c r="B123" s="672" t="s">
        <v>602</v>
      </c>
      <c r="C123" s="582">
        <f>'EGRE FONDO COMUN'!H79</f>
        <v>7000</v>
      </c>
      <c r="D123" s="582">
        <f>'Egr. FODES LIBRE DISPONIBILIDAD'!H64</f>
        <v>500</v>
      </c>
      <c r="E123" s="582"/>
      <c r="F123" s="582"/>
      <c r="G123" s="624"/>
      <c r="H123" s="624"/>
      <c r="I123" s="624"/>
      <c r="J123" s="583">
        <f>SUM(C123:I123)</f>
        <v>7500</v>
      </c>
    </row>
    <row r="124" spans="1:11" s="589" customFormat="1" ht="25.5" x14ac:dyDescent="0.2">
      <c r="A124" s="604">
        <v>56303</v>
      </c>
      <c r="B124" s="605" t="s">
        <v>282</v>
      </c>
      <c r="C124" s="582">
        <f>'EGRE FONDO COMUN'!H80</f>
        <v>2000</v>
      </c>
      <c r="D124" s="582"/>
      <c r="E124" s="582"/>
      <c r="F124" s="582"/>
      <c r="G124" s="582"/>
      <c r="H124" s="583"/>
      <c r="I124" s="582"/>
      <c r="J124" s="583">
        <f>SUM(C124:I124)</f>
        <v>2000</v>
      </c>
    </row>
    <row r="125" spans="1:11" s="589" customFormat="1" ht="15" customHeight="1" x14ac:dyDescent="0.2">
      <c r="A125" s="671">
        <v>56304</v>
      </c>
      <c r="B125" s="672" t="s">
        <v>326</v>
      </c>
      <c r="C125" s="582">
        <f>'EGRE FONDO COMUN'!H81</f>
        <v>1500</v>
      </c>
      <c r="D125" s="582"/>
      <c r="E125" s="582"/>
      <c r="F125" s="582"/>
      <c r="G125" s="582"/>
      <c r="H125" s="583"/>
      <c r="I125" s="582">
        <f>ISNA!H14</f>
        <v>4000</v>
      </c>
      <c r="J125" s="583">
        <f>SUM(C125:I125)</f>
        <v>5500</v>
      </c>
    </row>
    <row r="126" spans="1:11" ht="44.25" customHeight="1" x14ac:dyDescent="0.2">
      <c r="A126" s="79">
        <v>56305</v>
      </c>
      <c r="B126" s="78" t="s">
        <v>676</v>
      </c>
      <c r="C126" s="94"/>
      <c r="D126" s="74"/>
      <c r="E126" s="74"/>
      <c r="F126" s="74">
        <f>'FONDOS FAM'!H54</f>
        <v>61000</v>
      </c>
      <c r="G126" s="94"/>
      <c r="H126" s="26"/>
      <c r="I126" s="74"/>
      <c r="J126" s="26">
        <f>SUM(C126:I126)</f>
        <v>61000</v>
      </c>
    </row>
    <row r="127" spans="1:11" x14ac:dyDescent="0.2">
      <c r="A127" s="79"/>
      <c r="B127" s="78"/>
      <c r="C127" s="94"/>
      <c r="D127" s="74"/>
      <c r="E127" s="74"/>
      <c r="F127" s="74"/>
      <c r="G127" s="94"/>
      <c r="H127" s="26"/>
      <c r="I127" s="74"/>
      <c r="J127" s="26"/>
    </row>
    <row r="128" spans="1:11" ht="25.5" x14ac:dyDescent="0.2">
      <c r="A128" s="227">
        <v>61</v>
      </c>
      <c r="B128" s="228" t="s">
        <v>283</v>
      </c>
      <c r="C128" s="279">
        <f>+C129+C137+C141</f>
        <v>10950.81</v>
      </c>
      <c r="D128" s="226">
        <f>+D129+D137+D141</f>
        <v>11288.3</v>
      </c>
      <c r="E128" s="226"/>
      <c r="F128" s="226"/>
      <c r="G128" s="226">
        <f>+G129+G137+G141</f>
        <v>0</v>
      </c>
      <c r="H128" s="226">
        <f>+H129+H137+H141</f>
        <v>0</v>
      </c>
      <c r="I128" s="226">
        <f>+I129+I137+I141</f>
        <v>0</v>
      </c>
      <c r="J128" s="226">
        <f>+J129+J137+J141</f>
        <v>22239.11</v>
      </c>
      <c r="K128" s="166"/>
    </row>
    <row r="129" spans="1:11" x14ac:dyDescent="0.2">
      <c r="A129" s="218">
        <v>611</v>
      </c>
      <c r="B129" s="219" t="s">
        <v>284</v>
      </c>
      <c r="C129" s="279">
        <f>SUM(C130:C135)</f>
        <v>10950.81</v>
      </c>
      <c r="D129" s="214">
        <f>SUM(D130:D135)</f>
        <v>11288.3</v>
      </c>
      <c r="E129" s="214"/>
      <c r="F129" s="214"/>
      <c r="G129" s="214">
        <f>SUM(G130:G135)</f>
        <v>0</v>
      </c>
      <c r="H129" s="214">
        <f>SUM(H130:H135)</f>
        <v>0</v>
      </c>
      <c r="I129" s="214">
        <f>SUM(I130:I135)</f>
        <v>0</v>
      </c>
      <c r="J129" s="214">
        <f>SUM(J130:J135)</f>
        <v>22239.11</v>
      </c>
    </row>
    <row r="130" spans="1:11" s="589" customFormat="1" x14ac:dyDescent="0.2">
      <c r="A130" s="671">
        <v>61101</v>
      </c>
      <c r="B130" s="672" t="s">
        <v>150</v>
      </c>
      <c r="C130" s="582">
        <f>'EGRE FONDO COMUN'!H82</f>
        <v>2500</v>
      </c>
      <c r="D130" s="582">
        <f>'Egr. FODES LIBRE DISPONIBILIDAD'!H67</f>
        <v>3288.3</v>
      </c>
      <c r="E130" s="582"/>
      <c r="F130" s="582"/>
      <c r="G130" s="582"/>
      <c r="H130" s="583"/>
      <c r="I130" s="582"/>
      <c r="J130" s="583">
        <f>SUM(C130:I130)</f>
        <v>5788.3</v>
      </c>
    </row>
    <row r="131" spans="1:11" x14ac:dyDescent="0.2">
      <c r="A131" s="79">
        <v>61102</v>
      </c>
      <c r="B131" s="78" t="s">
        <v>306</v>
      </c>
      <c r="C131" s="94">
        <f>'EGRE FONDO COMUN'!H83</f>
        <v>2000</v>
      </c>
      <c r="D131" s="174">
        <f>'Egr. FODES LIBRE DISPONIBILIDAD'!H68</f>
        <v>2000</v>
      </c>
      <c r="E131" s="287"/>
      <c r="F131" s="287"/>
      <c r="G131" s="74"/>
      <c r="H131" s="26"/>
      <c r="I131" s="74"/>
      <c r="J131" s="26">
        <f>SUM(C131:I131)</f>
        <v>4000</v>
      </c>
    </row>
    <row r="132" spans="1:11" x14ac:dyDescent="0.2">
      <c r="A132" s="79">
        <v>61104</v>
      </c>
      <c r="B132" s="78" t="s">
        <v>285</v>
      </c>
      <c r="C132" s="94">
        <f>'EGRE FONDO COMUN'!H84</f>
        <v>5000</v>
      </c>
      <c r="D132" s="174">
        <f>'Egr. FODES LIBRE DISPONIBILIDAD'!H69</f>
        <v>4500</v>
      </c>
      <c r="E132" s="74"/>
      <c r="F132" s="74"/>
      <c r="G132" s="74"/>
      <c r="H132" s="26"/>
      <c r="I132" s="74"/>
      <c r="J132" s="26">
        <f>SUM(C132:I132)</f>
        <v>9500</v>
      </c>
    </row>
    <row r="133" spans="1:11" x14ac:dyDescent="0.2">
      <c r="A133" s="79">
        <v>61105</v>
      </c>
      <c r="B133" s="78" t="s">
        <v>609</v>
      </c>
      <c r="C133" s="94"/>
      <c r="D133" s="74"/>
      <c r="E133" s="74"/>
      <c r="F133" s="74"/>
      <c r="G133" s="74"/>
      <c r="H133" s="26"/>
      <c r="I133" s="74"/>
      <c r="J133" s="26">
        <f t="shared" ref="J133:J134" si="16">SUM(C133:I133)</f>
        <v>0</v>
      </c>
      <c r="K133" s="176"/>
    </row>
    <row r="134" spans="1:11" ht="25.5" x14ac:dyDescent="0.2">
      <c r="A134" s="79">
        <v>61109</v>
      </c>
      <c r="B134" s="78" t="s">
        <v>538</v>
      </c>
      <c r="C134" s="94"/>
      <c r="D134" s="74"/>
      <c r="E134" s="74"/>
      <c r="F134" s="74"/>
      <c r="G134" s="74"/>
      <c r="H134" s="26"/>
      <c r="I134" s="74"/>
      <c r="J134" s="26">
        <f t="shared" si="16"/>
        <v>0</v>
      </c>
    </row>
    <row r="135" spans="1:11" ht="38.25" x14ac:dyDescent="0.2">
      <c r="A135" s="79">
        <v>61199</v>
      </c>
      <c r="B135" s="78" t="s">
        <v>603</v>
      </c>
      <c r="C135" s="94">
        <f>'EGRE FONDO COMUN'!H85</f>
        <v>1450.81</v>
      </c>
      <c r="D135" s="174">
        <f>'Egr. FODES LIBRE DISPONIBILIDAD'!H70</f>
        <v>1500</v>
      </c>
      <c r="E135" s="74"/>
      <c r="F135" s="74"/>
      <c r="G135" s="74"/>
      <c r="H135" s="26"/>
      <c r="I135" s="74"/>
      <c r="J135" s="26">
        <f>SUM(C135:I135)</f>
        <v>2950.81</v>
      </c>
    </row>
    <row r="136" spans="1:11" x14ac:dyDescent="0.2">
      <c r="A136" s="79"/>
      <c r="B136" s="78"/>
      <c r="C136" s="94"/>
      <c r="D136" s="74"/>
      <c r="E136" s="74"/>
      <c r="F136" s="74"/>
      <c r="G136" s="74"/>
      <c r="H136" s="26"/>
      <c r="I136" s="74"/>
      <c r="J136" s="26"/>
    </row>
    <row r="137" spans="1:11" x14ac:dyDescent="0.2">
      <c r="A137" s="218">
        <v>615</v>
      </c>
      <c r="B137" s="219" t="s">
        <v>286</v>
      </c>
      <c r="C137" s="214">
        <f t="shared" ref="C137:H137" si="17">SUM(C138:C140)</f>
        <v>0</v>
      </c>
      <c r="D137" s="214">
        <f>D140</f>
        <v>0</v>
      </c>
      <c r="E137" s="214"/>
      <c r="F137" s="214"/>
      <c r="G137" s="214">
        <f t="shared" si="17"/>
        <v>0</v>
      </c>
      <c r="H137" s="214">
        <f t="shared" si="17"/>
        <v>0</v>
      </c>
      <c r="I137" s="214">
        <f>SUM(I138:I140)</f>
        <v>0</v>
      </c>
      <c r="J137" s="214">
        <f>SUM(D137:I137)</f>
        <v>0</v>
      </c>
    </row>
    <row r="138" spans="1:11" x14ac:dyDescent="0.2">
      <c r="A138" s="79">
        <v>61502</v>
      </c>
      <c r="B138" s="78" t="s">
        <v>287</v>
      </c>
      <c r="C138" s="94"/>
      <c r="D138" s="74"/>
      <c r="E138" s="74"/>
      <c r="F138" s="74"/>
      <c r="G138" s="74"/>
      <c r="H138" s="26"/>
      <c r="I138" s="74"/>
      <c r="J138" s="26">
        <f t="shared" ref="J138:J143" si="18">SUM(C138:I138)</f>
        <v>0</v>
      </c>
    </row>
    <row r="139" spans="1:11" ht="25.5" x14ac:dyDescent="0.2">
      <c r="A139" s="79">
        <v>61503</v>
      </c>
      <c r="B139" s="78" t="s">
        <v>288</v>
      </c>
      <c r="C139" s="94"/>
      <c r="D139" s="74"/>
      <c r="E139" s="74"/>
      <c r="F139" s="74"/>
      <c r="G139" s="74"/>
      <c r="H139" s="26"/>
      <c r="I139" s="74"/>
      <c r="J139" s="26">
        <f t="shared" si="18"/>
        <v>0</v>
      </c>
    </row>
    <row r="140" spans="1:11" ht="25.5" x14ac:dyDescent="0.2">
      <c r="A140" s="198">
        <v>61599</v>
      </c>
      <c r="B140" s="197" t="s">
        <v>289</v>
      </c>
      <c r="C140" s="94"/>
      <c r="D140" s="74"/>
      <c r="E140" s="74"/>
      <c r="F140" s="74"/>
      <c r="G140" s="74"/>
      <c r="H140" s="26"/>
      <c r="I140" s="74"/>
      <c r="J140" s="26">
        <f t="shared" si="18"/>
        <v>0</v>
      </c>
    </row>
    <row r="141" spans="1:11" x14ac:dyDescent="0.2">
      <c r="A141" s="218">
        <v>616</v>
      </c>
      <c r="B141" s="219" t="s">
        <v>290</v>
      </c>
      <c r="C141" s="320">
        <f t="shared" ref="C141:I141" si="19">SUM(C142:C149)</f>
        <v>0</v>
      </c>
      <c r="D141" s="320">
        <f t="shared" si="19"/>
        <v>0</v>
      </c>
      <c r="E141" s="320"/>
      <c r="F141" s="320"/>
      <c r="G141" s="320">
        <f t="shared" si="19"/>
        <v>0</v>
      </c>
      <c r="H141" s="320">
        <f t="shared" si="19"/>
        <v>0</v>
      </c>
      <c r="I141" s="320">
        <f t="shared" si="19"/>
        <v>0</v>
      </c>
      <c r="J141" s="321">
        <f t="shared" si="18"/>
        <v>0</v>
      </c>
    </row>
    <row r="142" spans="1:11" x14ac:dyDescent="0.2">
      <c r="A142" s="79">
        <v>61601</v>
      </c>
      <c r="B142" s="78" t="s">
        <v>674</v>
      </c>
      <c r="C142" s="94"/>
      <c r="D142" s="74"/>
      <c r="E142" s="74"/>
      <c r="F142" s="74"/>
      <c r="G142" s="74"/>
      <c r="H142" s="26"/>
      <c r="I142" s="74"/>
      <c r="J142" s="26">
        <f t="shared" si="18"/>
        <v>0</v>
      </c>
    </row>
    <row r="143" spans="1:11" x14ac:dyDescent="0.2">
      <c r="A143" s="79">
        <v>61601</v>
      </c>
      <c r="B143" s="78" t="s">
        <v>517</v>
      </c>
      <c r="C143" s="94"/>
      <c r="D143" s="74"/>
      <c r="E143" s="74"/>
      <c r="F143" s="74"/>
      <c r="G143" s="74"/>
      <c r="H143" s="26"/>
      <c r="I143" s="74"/>
      <c r="J143" s="26">
        <f t="shared" si="18"/>
        <v>0</v>
      </c>
    </row>
    <row r="144" spans="1:11" x14ac:dyDescent="0.2">
      <c r="A144" s="79"/>
      <c r="B144" s="78"/>
      <c r="C144" s="94"/>
      <c r="D144" s="74"/>
      <c r="E144" s="74"/>
      <c r="F144" s="74"/>
      <c r="G144" s="74"/>
      <c r="H144" s="26"/>
      <c r="I144" s="74"/>
      <c r="J144" s="26"/>
    </row>
    <row r="145" spans="1:14" x14ac:dyDescent="0.2">
      <c r="A145" s="79"/>
      <c r="B145" s="78"/>
      <c r="C145" s="94"/>
      <c r="D145" s="74"/>
      <c r="E145" s="74"/>
      <c r="F145" s="74"/>
      <c r="G145" s="74"/>
      <c r="H145" s="26"/>
      <c r="I145" s="74"/>
      <c r="J145" s="26"/>
    </row>
    <row r="146" spans="1:14" ht="25.5" x14ac:dyDescent="0.2">
      <c r="A146" s="79">
        <v>61602</v>
      </c>
      <c r="B146" s="78" t="s">
        <v>219</v>
      </c>
      <c r="C146" s="94"/>
      <c r="D146" s="74"/>
      <c r="E146" s="74"/>
      <c r="F146" s="74"/>
      <c r="G146" s="74"/>
      <c r="H146" s="26"/>
      <c r="I146" s="74"/>
      <c r="J146" s="26">
        <f>SUM(C146:I146)</f>
        <v>0</v>
      </c>
    </row>
    <row r="147" spans="1:14" x14ac:dyDescent="0.2">
      <c r="A147" s="79">
        <v>61603</v>
      </c>
      <c r="B147" s="78" t="s">
        <v>294</v>
      </c>
      <c r="C147" s="94"/>
      <c r="D147" s="74"/>
      <c r="E147" s="74"/>
      <c r="F147" s="74"/>
      <c r="G147" s="74"/>
      <c r="H147" s="26"/>
      <c r="I147" s="74"/>
      <c r="J147" s="26">
        <f>SUM(C147:I147)</f>
        <v>0</v>
      </c>
      <c r="K147" s="166"/>
    </row>
    <row r="148" spans="1:14" ht="25.5" x14ac:dyDescent="0.2">
      <c r="A148" s="79">
        <v>61607</v>
      </c>
      <c r="B148" s="78" t="s">
        <v>291</v>
      </c>
      <c r="C148" s="94"/>
      <c r="D148" s="74"/>
      <c r="E148" s="74"/>
      <c r="F148" s="74"/>
      <c r="G148" s="74"/>
      <c r="H148" s="26"/>
      <c r="I148" s="74"/>
      <c r="J148" s="26">
        <f>SUM(C148:I148)</f>
        <v>0</v>
      </c>
    </row>
    <row r="149" spans="1:14" ht="25.5" x14ac:dyDescent="0.2">
      <c r="A149" s="79">
        <v>61608</v>
      </c>
      <c r="B149" s="78" t="s">
        <v>292</v>
      </c>
      <c r="C149" s="94"/>
      <c r="D149" s="74"/>
      <c r="E149" s="74"/>
      <c r="F149" s="74"/>
      <c r="G149" s="74"/>
      <c r="H149" s="26"/>
      <c r="I149" s="74"/>
      <c r="J149" s="26">
        <f>SUM(C149:I149)</f>
        <v>0</v>
      </c>
    </row>
    <row r="150" spans="1:14" x14ac:dyDescent="0.2">
      <c r="A150" s="79">
        <v>61201</v>
      </c>
      <c r="B150" s="78" t="s">
        <v>321</v>
      </c>
      <c r="C150" s="74"/>
      <c r="D150" s="74"/>
      <c r="E150" s="74"/>
      <c r="F150" s="74"/>
      <c r="G150" s="74"/>
      <c r="H150" s="26"/>
      <c r="I150" s="74"/>
      <c r="J150" s="26">
        <f>SUM(G150:I150)</f>
        <v>0</v>
      </c>
    </row>
    <row r="151" spans="1:14" x14ac:dyDescent="0.2">
      <c r="A151" s="79"/>
      <c r="B151" s="78"/>
      <c r="C151" s="74"/>
      <c r="D151" s="74"/>
      <c r="E151" s="74"/>
      <c r="F151" s="74"/>
      <c r="G151" s="74"/>
      <c r="H151" s="26"/>
      <c r="I151" s="74"/>
      <c r="J151" s="26"/>
    </row>
    <row r="152" spans="1:14" x14ac:dyDescent="0.2">
      <c r="A152" s="227">
        <v>62</v>
      </c>
      <c r="B152" s="228" t="s">
        <v>242</v>
      </c>
      <c r="C152" s="226">
        <f>+C153</f>
        <v>0</v>
      </c>
      <c r="D152" s="226">
        <f t="shared" ref="D152:J153" si="20">+D153</f>
        <v>0</v>
      </c>
      <c r="E152" s="226"/>
      <c r="F152" s="226"/>
      <c r="G152" s="226">
        <f t="shared" si="20"/>
        <v>0</v>
      </c>
      <c r="H152" s="226">
        <f t="shared" si="20"/>
        <v>0</v>
      </c>
      <c r="I152" s="226">
        <f>+I153</f>
        <v>0</v>
      </c>
      <c r="J152" s="226">
        <f>+J153</f>
        <v>0</v>
      </c>
    </row>
    <row r="153" spans="1:14" ht="25.5" x14ac:dyDescent="0.2">
      <c r="A153" s="218">
        <v>623</v>
      </c>
      <c r="B153" s="219" t="s">
        <v>297</v>
      </c>
      <c r="C153" s="214">
        <f>+C154</f>
        <v>0</v>
      </c>
      <c r="D153" s="214">
        <f t="shared" si="20"/>
        <v>0</v>
      </c>
      <c r="E153" s="214"/>
      <c r="F153" s="214"/>
      <c r="G153" s="214">
        <f t="shared" si="20"/>
        <v>0</v>
      </c>
      <c r="H153" s="214">
        <f t="shared" si="20"/>
        <v>0</v>
      </c>
      <c r="I153" s="214">
        <f>+I154</f>
        <v>0</v>
      </c>
      <c r="J153" s="214">
        <f t="shared" si="20"/>
        <v>0</v>
      </c>
    </row>
    <row r="154" spans="1:14" ht="25.5" x14ac:dyDescent="0.2">
      <c r="A154" s="79">
        <v>62303</v>
      </c>
      <c r="B154" s="78" t="s">
        <v>293</v>
      </c>
      <c r="C154" s="74"/>
      <c r="D154" s="74"/>
      <c r="E154" s="74"/>
      <c r="F154" s="74"/>
      <c r="G154" s="74"/>
      <c r="H154" s="26"/>
      <c r="I154" s="74"/>
      <c r="J154" s="26">
        <f>SUM(C154:I154)</f>
        <v>0</v>
      </c>
    </row>
    <row r="155" spans="1:14" x14ac:dyDescent="0.2">
      <c r="A155" s="79"/>
      <c r="B155" s="76"/>
      <c r="C155" s="74"/>
      <c r="D155" s="74"/>
      <c r="E155" s="74"/>
      <c r="F155" s="74"/>
      <c r="G155" s="74"/>
      <c r="H155" s="26"/>
      <c r="I155" s="74"/>
      <c r="J155" s="26"/>
    </row>
    <row r="156" spans="1:14" ht="15" x14ac:dyDescent="0.2">
      <c r="A156" s="227">
        <v>72</v>
      </c>
      <c r="B156" s="229" t="s">
        <v>245</v>
      </c>
      <c r="C156" s="226">
        <f>+C157</f>
        <v>0</v>
      </c>
      <c r="D156" s="306"/>
      <c r="E156" s="226"/>
      <c r="F156" s="226"/>
      <c r="G156" s="226">
        <f t="shared" ref="G156:H156" si="21">+G157</f>
        <v>1265.92</v>
      </c>
      <c r="H156" s="226">
        <f t="shared" si="21"/>
        <v>0</v>
      </c>
      <c r="I156" s="226">
        <f>+I157</f>
        <v>0</v>
      </c>
      <c r="J156" s="226">
        <f>+J157</f>
        <v>1265.92</v>
      </c>
      <c r="N156" s="154"/>
    </row>
    <row r="157" spans="1:14" ht="21" customHeight="1" x14ac:dyDescent="0.2">
      <c r="A157" s="218">
        <v>721</v>
      </c>
      <c r="B157" s="390" t="s">
        <v>504</v>
      </c>
      <c r="C157" s="214">
        <f>SUM(C158:C159)</f>
        <v>0</v>
      </c>
      <c r="D157" s="214"/>
      <c r="E157" s="214"/>
      <c r="F157" s="214"/>
      <c r="G157" s="214">
        <f t="shared" ref="G157:H157" si="22">SUM(G158:G159)</f>
        <v>1265.92</v>
      </c>
      <c r="H157" s="214">
        <f t="shared" si="22"/>
        <v>0</v>
      </c>
      <c r="I157" s="214">
        <f>SUM(I158:I159)</f>
        <v>0</v>
      </c>
      <c r="J157" s="214">
        <f>SUM(J158:J159)</f>
        <v>1265.92</v>
      </c>
      <c r="N157" s="154"/>
    </row>
    <row r="158" spans="1:14" ht="28.5" x14ac:dyDescent="0.2">
      <c r="A158" s="79">
        <v>72101</v>
      </c>
      <c r="B158" s="337" t="s">
        <v>513</v>
      </c>
      <c r="C158" s="74"/>
      <c r="D158" s="74"/>
      <c r="E158" s="74"/>
      <c r="F158" s="74"/>
      <c r="G158" s="174">
        <f>FISDL!H11</f>
        <v>1265.92</v>
      </c>
      <c r="H158" s="26"/>
      <c r="I158" s="74"/>
      <c r="J158" s="26">
        <f>SUM(C158:I158)</f>
        <v>1265.92</v>
      </c>
      <c r="N158" s="155"/>
    </row>
    <row r="159" spans="1:14" ht="13.5" thickBot="1" x14ac:dyDescent="0.25">
      <c r="A159" s="79"/>
      <c r="B159" s="78"/>
      <c r="C159" s="74"/>
      <c r="D159" s="74"/>
      <c r="E159" s="74"/>
      <c r="F159" s="74"/>
      <c r="G159" s="74"/>
      <c r="H159" s="26"/>
      <c r="I159" s="74"/>
      <c r="J159" s="26">
        <f>SUM(C159:I159)</f>
        <v>0</v>
      </c>
    </row>
    <row r="160" spans="1:14" s="60" customFormat="1" ht="24.95" customHeight="1" thickBot="1" x14ac:dyDescent="0.25">
      <c r="A160" s="339"/>
      <c r="B160" s="340" t="s">
        <v>117</v>
      </c>
      <c r="C160" s="362">
        <f>+C9+C39+C107+C118+C128+C152+C156</f>
        <v>661525.23625000007</v>
      </c>
      <c r="D160" s="362">
        <f>D156+D128+D118+D107+D39+D9</f>
        <v>728922.06875000009</v>
      </c>
      <c r="E160" s="362">
        <f>SUM(E39:E159)</f>
        <v>1717.76</v>
      </c>
      <c r="F160" s="362">
        <f>F156+F128+F118+F107+F40+F9+F122+F102+F72+F65</f>
        <v>610535.81995999999</v>
      </c>
      <c r="G160" s="362">
        <f>+G9+G39+G107+G118+G128+G152+G156</f>
        <v>1265.92</v>
      </c>
      <c r="H160" s="362">
        <f>+H9+H39+H107+H118+H128+H152+H156</f>
        <v>23582</v>
      </c>
      <c r="I160" s="362">
        <f>+I9+I39+I107+I118+I128+I152+I156</f>
        <v>13090.15</v>
      </c>
      <c r="J160" s="362">
        <f>J156+J141+J137+J128+J118+J107+J39+J9</f>
        <v>2040638.9549600002</v>
      </c>
      <c r="K160" s="168"/>
    </row>
    <row r="161" spans="1:11" s="60" customFormat="1" ht="11.25" customHeight="1" x14ac:dyDescent="0.2">
      <c r="A161" s="385"/>
      <c r="B161" s="388"/>
      <c r="C161" s="386"/>
      <c r="D161" s="389"/>
      <c r="E161" s="386"/>
      <c r="F161" s="386"/>
      <c r="G161" s="386"/>
      <c r="H161" s="386"/>
      <c r="I161" s="386"/>
      <c r="J161" s="389"/>
      <c r="K161" s="168"/>
    </row>
    <row r="162" spans="1:11" x14ac:dyDescent="0.2">
      <c r="A162" s="963" t="s">
        <v>658</v>
      </c>
      <c r="B162" s="963"/>
      <c r="C162" s="963"/>
      <c r="D162" s="963"/>
      <c r="E162" s="963"/>
      <c r="F162" s="963"/>
      <c r="G162" s="963"/>
      <c r="K162" s="166"/>
    </row>
    <row r="163" spans="1:11" x14ac:dyDescent="0.2">
      <c r="A163" s="963" t="s">
        <v>659</v>
      </c>
      <c r="B163" s="963"/>
      <c r="C163" s="963"/>
      <c r="D163" s="963"/>
      <c r="E163" s="963"/>
      <c r="F163" s="963"/>
      <c r="G163" s="963"/>
      <c r="K163" s="175"/>
    </row>
    <row r="164" spans="1:11" ht="27.75" customHeight="1" x14ac:dyDescent="0.2">
      <c r="A164" s="963" t="s">
        <v>953</v>
      </c>
      <c r="B164" s="963"/>
      <c r="C164" s="963"/>
      <c r="D164" s="963"/>
      <c r="E164" s="963"/>
      <c r="F164" s="963"/>
      <c r="G164" s="963"/>
      <c r="K164" s="166"/>
    </row>
    <row r="165" spans="1:11" x14ac:dyDescent="0.2">
      <c r="A165" s="953"/>
      <c r="B165" s="953"/>
      <c r="C165" s="953"/>
      <c r="D165" s="953"/>
      <c r="E165" s="953"/>
      <c r="F165" s="953"/>
      <c r="G165" s="953"/>
      <c r="H165" s="953"/>
    </row>
  </sheetData>
  <mergeCells count="16">
    <mergeCell ref="C6:D6"/>
    <mergeCell ref="A165:H165"/>
    <mergeCell ref="A1:J1"/>
    <mergeCell ref="A2:J2"/>
    <mergeCell ref="A3:J3"/>
    <mergeCell ref="A4:J4"/>
    <mergeCell ref="A5:J5"/>
    <mergeCell ref="I6:I8"/>
    <mergeCell ref="J6:J8"/>
    <mergeCell ref="A162:G162"/>
    <mergeCell ref="A163:G163"/>
    <mergeCell ref="A164:G164"/>
    <mergeCell ref="A6:A8"/>
    <mergeCell ref="B6:B8"/>
    <mergeCell ref="G6:G8"/>
    <mergeCell ref="H6:H8"/>
  </mergeCells>
  <printOptions horizontalCentered="1"/>
  <pageMargins left="0.25" right="0.25" top="0.75" bottom="0.75" header="0.3" footer="0.3"/>
  <pageSetup paperSize="41" scale="62" fitToHeight="0" orientation="portrait" r:id="rId1"/>
  <headerFooter alignWithMargins="0"/>
  <ignoredErrors>
    <ignoredError sqref="J10" 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C67A0-7AE8-4DA8-841E-5B12B0E36412}">
  <sheetPr>
    <tabColor theme="8"/>
  </sheetPr>
  <dimension ref="A1:I200"/>
  <sheetViews>
    <sheetView tabSelected="1" view="pageBreakPreview" topLeftCell="A133" zoomScale="82" zoomScaleNormal="84" zoomScaleSheetLayoutView="82" workbookViewId="0">
      <selection activeCell="D111" sqref="D111"/>
    </sheetView>
  </sheetViews>
  <sheetFormatPr baseColWidth="10" defaultColWidth="11.42578125" defaultRowHeight="15" x14ac:dyDescent="0.2"/>
  <cols>
    <col min="1" max="1" width="24" style="754" customWidth="1"/>
    <col min="2" max="2" width="11" style="754" customWidth="1"/>
    <col min="3" max="3" width="37.5703125" style="754" customWidth="1"/>
    <col min="4" max="4" width="28.42578125" style="754" customWidth="1"/>
    <col min="5" max="5" width="18" style="754" customWidth="1"/>
    <col min="6" max="6" width="20.42578125" style="754" customWidth="1"/>
    <col min="7" max="7" width="21.140625" style="754" customWidth="1"/>
    <col min="8" max="8" width="20" style="754" customWidth="1"/>
    <col min="9" max="9" width="22.28515625" style="845" customWidth="1"/>
    <col min="10" max="16384" width="11.42578125" style="754"/>
  </cols>
  <sheetData>
    <row r="1" spans="1:9" ht="12.75" x14ac:dyDescent="0.2">
      <c r="A1" s="976" t="s">
        <v>1165</v>
      </c>
      <c r="B1" s="977"/>
      <c r="C1" s="977"/>
      <c r="D1" s="977"/>
      <c r="E1" s="977"/>
      <c r="F1" s="977"/>
      <c r="G1" s="977"/>
      <c r="H1" s="977"/>
      <c r="I1" s="978"/>
    </row>
    <row r="2" spans="1:9" ht="13.5" thickBot="1" x14ac:dyDescent="0.25">
      <c r="A2" s="979"/>
      <c r="B2" s="980"/>
      <c r="C2" s="980"/>
      <c r="D2" s="980"/>
      <c r="E2" s="980"/>
      <c r="F2" s="980"/>
      <c r="G2" s="980"/>
      <c r="H2" s="980"/>
      <c r="I2" s="981"/>
    </row>
    <row r="3" spans="1:9" ht="12.75" customHeight="1" x14ac:dyDescent="0.2">
      <c r="A3" s="976" t="s">
        <v>971</v>
      </c>
      <c r="B3" s="977"/>
      <c r="C3" s="977"/>
      <c r="D3" s="977"/>
      <c r="E3" s="977"/>
      <c r="F3" s="977"/>
      <c r="G3" s="977"/>
      <c r="H3" s="977"/>
      <c r="I3" s="978"/>
    </row>
    <row r="4" spans="1:9" ht="26.25" customHeight="1" x14ac:dyDescent="0.2">
      <c r="A4" s="979"/>
      <c r="B4" s="980"/>
      <c r="C4" s="980"/>
      <c r="D4" s="980"/>
      <c r="E4" s="980"/>
      <c r="F4" s="980"/>
      <c r="G4" s="980"/>
      <c r="H4" s="980"/>
      <c r="I4" s="981"/>
    </row>
    <row r="5" spans="1:9" ht="30" customHeight="1" thickBot="1" x14ac:dyDescent="0.25">
      <c r="A5" s="1005" t="s">
        <v>972</v>
      </c>
      <c r="B5" s="1005"/>
      <c r="C5" s="1005"/>
      <c r="D5" s="1005"/>
      <c r="E5" s="1006"/>
      <c r="F5" s="1006"/>
      <c r="G5" s="816" t="s">
        <v>1147</v>
      </c>
      <c r="H5" s="1002" t="s">
        <v>1151</v>
      </c>
      <c r="I5" s="1000" t="s">
        <v>1149</v>
      </c>
    </row>
    <row r="6" spans="1:9" ht="31.5" customHeight="1" thickBot="1" x14ac:dyDescent="0.25">
      <c r="A6" s="756" t="s">
        <v>973</v>
      </c>
      <c r="B6" s="757" t="s">
        <v>974</v>
      </c>
      <c r="C6" s="756" t="s">
        <v>975</v>
      </c>
      <c r="D6" s="756" t="s">
        <v>976</v>
      </c>
      <c r="E6" s="758" t="s">
        <v>977</v>
      </c>
      <c r="F6" s="807" t="s">
        <v>978</v>
      </c>
      <c r="G6" s="808" t="s">
        <v>1148</v>
      </c>
      <c r="H6" s="1003"/>
      <c r="I6" s="1001"/>
    </row>
    <row r="7" spans="1:9" ht="86.25" customHeight="1" x14ac:dyDescent="0.2">
      <c r="A7" s="760" t="s">
        <v>979</v>
      </c>
      <c r="B7" s="761" t="s">
        <v>980</v>
      </c>
      <c r="C7" s="762" t="s">
        <v>981</v>
      </c>
      <c r="D7" s="762" t="s">
        <v>982</v>
      </c>
      <c r="E7" s="762" t="s">
        <v>983</v>
      </c>
      <c r="F7" s="809">
        <v>525</v>
      </c>
      <c r="G7" s="999" t="s">
        <v>1150</v>
      </c>
      <c r="H7" s="1004">
        <v>6249.59</v>
      </c>
      <c r="I7" s="988">
        <f>H7-F12</f>
        <v>-4815.41</v>
      </c>
    </row>
    <row r="8" spans="1:9" ht="97.5" customHeight="1" x14ac:dyDescent="0.2">
      <c r="A8" s="760" t="s">
        <v>984</v>
      </c>
      <c r="B8" s="761" t="s">
        <v>985</v>
      </c>
      <c r="C8" s="762" t="s">
        <v>986</v>
      </c>
      <c r="D8" s="762" t="s">
        <v>982</v>
      </c>
      <c r="E8" s="762" t="s">
        <v>983</v>
      </c>
      <c r="F8" s="809">
        <v>3332.5</v>
      </c>
      <c r="G8" s="995"/>
      <c r="H8" s="997"/>
      <c r="I8" s="989"/>
    </row>
    <row r="9" spans="1:9" ht="96.75" customHeight="1" x14ac:dyDescent="0.2">
      <c r="A9" s="760" t="s">
        <v>984</v>
      </c>
      <c r="B9" s="764" t="s">
        <v>987</v>
      </c>
      <c r="C9" s="762" t="s">
        <v>988</v>
      </c>
      <c r="D9" s="762" t="s">
        <v>982</v>
      </c>
      <c r="E9" s="762" t="s">
        <v>983</v>
      </c>
      <c r="F9" s="810">
        <v>3332.5</v>
      </c>
      <c r="G9" s="995"/>
      <c r="H9" s="997"/>
      <c r="I9" s="989"/>
    </row>
    <row r="10" spans="1:9" ht="118.5" customHeight="1" x14ac:dyDescent="0.2">
      <c r="A10" s="760" t="s">
        <v>984</v>
      </c>
      <c r="B10" s="764" t="s">
        <v>989</v>
      </c>
      <c r="C10" s="762" t="s">
        <v>990</v>
      </c>
      <c r="D10" s="762" t="s">
        <v>982</v>
      </c>
      <c r="E10" s="762" t="s">
        <v>983</v>
      </c>
      <c r="F10" s="810">
        <v>1937.5</v>
      </c>
      <c r="G10" s="995"/>
      <c r="H10" s="997"/>
      <c r="I10" s="989"/>
    </row>
    <row r="11" spans="1:9" ht="118.5" customHeight="1" x14ac:dyDescent="0.2">
      <c r="A11" s="760" t="s">
        <v>984</v>
      </c>
      <c r="B11" s="764" t="s">
        <v>991</v>
      </c>
      <c r="C11" s="762" t="s">
        <v>990</v>
      </c>
      <c r="D11" s="762" t="s">
        <v>982</v>
      </c>
      <c r="E11" s="762" t="s">
        <v>983</v>
      </c>
      <c r="F11" s="811">
        <v>1937.5</v>
      </c>
      <c r="G11" s="995"/>
      <c r="H11" s="997"/>
      <c r="I11" s="990"/>
    </row>
    <row r="12" spans="1:9" ht="15.75" x14ac:dyDescent="0.25">
      <c r="F12" s="812">
        <f>SUM(F7:F11)</f>
        <v>11065</v>
      </c>
      <c r="G12" s="813"/>
      <c r="H12" s="815">
        <f>SUM(H7)</f>
        <v>6249.59</v>
      </c>
      <c r="I12" s="823">
        <f>H12-F12</f>
        <v>-4815.41</v>
      </c>
    </row>
    <row r="13" spans="1:9" ht="15.75" thickBot="1" x14ac:dyDescent="0.25">
      <c r="F13" s="766"/>
    </row>
    <row r="14" spans="1:9" ht="39" customHeight="1" thickBot="1" x14ac:dyDescent="0.25">
      <c r="A14" s="985" t="s">
        <v>992</v>
      </c>
      <c r="B14" s="985"/>
      <c r="C14" s="985"/>
      <c r="D14" s="985"/>
      <c r="E14" s="986"/>
      <c r="F14" s="986"/>
      <c r="G14" s="808" t="s">
        <v>1148</v>
      </c>
      <c r="H14" s="808" t="s">
        <v>1151</v>
      </c>
      <c r="I14" s="846" t="s">
        <v>1149</v>
      </c>
    </row>
    <row r="15" spans="1:9" ht="39" thickBot="1" x14ac:dyDescent="0.25">
      <c r="A15" s="756" t="s">
        <v>973</v>
      </c>
      <c r="B15" s="757" t="s">
        <v>974</v>
      </c>
      <c r="C15" s="756" t="s">
        <v>975</v>
      </c>
      <c r="D15" s="756" t="s">
        <v>976</v>
      </c>
      <c r="E15" s="758" t="s">
        <v>977</v>
      </c>
      <c r="F15" s="759" t="s">
        <v>978</v>
      </c>
      <c r="G15" s="995" t="s">
        <v>1152</v>
      </c>
      <c r="H15" s="997">
        <v>2986.74</v>
      </c>
      <c r="I15" s="988">
        <f>H15-F18</f>
        <v>-1973.2600000000002</v>
      </c>
    </row>
    <row r="16" spans="1:9" ht="115.5" x14ac:dyDescent="0.2">
      <c r="A16" s="760" t="s">
        <v>984</v>
      </c>
      <c r="B16" s="761" t="s">
        <v>993</v>
      </c>
      <c r="C16" s="762" t="s">
        <v>994</v>
      </c>
      <c r="D16" s="762" t="s">
        <v>995</v>
      </c>
      <c r="E16" s="762" t="s">
        <v>983</v>
      </c>
      <c r="F16" s="763">
        <v>2480</v>
      </c>
      <c r="G16" s="995"/>
      <c r="H16" s="997"/>
      <c r="I16" s="989"/>
    </row>
    <row r="17" spans="1:9" ht="115.5" x14ac:dyDescent="0.2">
      <c r="A17" s="760" t="s">
        <v>984</v>
      </c>
      <c r="B17" s="761" t="s">
        <v>996</v>
      </c>
      <c r="C17" s="762" t="s">
        <v>997</v>
      </c>
      <c r="D17" s="762" t="s">
        <v>995</v>
      </c>
      <c r="E17" s="762" t="s">
        <v>983</v>
      </c>
      <c r="F17" s="763">
        <v>2480</v>
      </c>
      <c r="G17" s="996"/>
      <c r="H17" s="998"/>
      <c r="I17" s="990"/>
    </row>
    <row r="18" spans="1:9" ht="12.75" customHeight="1" x14ac:dyDescent="0.2">
      <c r="F18" s="814">
        <f>SUM(F16:F17)</f>
        <v>4960</v>
      </c>
      <c r="G18" s="817"/>
      <c r="H18" s="818">
        <f>SUM(H15)</f>
        <v>2986.74</v>
      </c>
      <c r="I18" s="822">
        <f>H18-F18</f>
        <v>-1973.2600000000002</v>
      </c>
    </row>
    <row r="19" spans="1:9" ht="15.75" thickBot="1" x14ac:dyDescent="0.25">
      <c r="F19" s="766"/>
    </row>
    <row r="20" spans="1:9" ht="31.5" customHeight="1" thickBot="1" x14ac:dyDescent="0.25">
      <c r="A20" s="991" t="s">
        <v>1009</v>
      </c>
      <c r="B20" s="992"/>
      <c r="C20" s="992"/>
      <c r="D20" s="992"/>
      <c r="E20" s="993"/>
      <c r="F20" s="994"/>
    </row>
    <row r="21" spans="1:9" ht="39" thickBot="1" x14ac:dyDescent="0.25">
      <c r="A21" s="756" t="s">
        <v>973</v>
      </c>
      <c r="B21" s="757" t="s">
        <v>974</v>
      </c>
      <c r="C21" s="756" t="s">
        <v>975</v>
      </c>
      <c r="D21" s="756" t="s">
        <v>976</v>
      </c>
      <c r="E21" s="758" t="s">
        <v>977</v>
      </c>
      <c r="F21" s="759" t="s">
        <v>978</v>
      </c>
      <c r="G21" s="819" t="s">
        <v>1148</v>
      </c>
      <c r="H21" s="819" t="s">
        <v>1151</v>
      </c>
      <c r="I21" s="847" t="s">
        <v>1149</v>
      </c>
    </row>
    <row r="22" spans="1:9" ht="82.5" x14ac:dyDescent="0.2">
      <c r="A22" s="767" t="s">
        <v>1010</v>
      </c>
      <c r="B22" s="768" t="s">
        <v>1011</v>
      </c>
      <c r="C22" s="767" t="s">
        <v>1012</v>
      </c>
      <c r="D22" s="777" t="s">
        <v>1013</v>
      </c>
      <c r="E22" s="762" t="s">
        <v>983</v>
      </c>
      <c r="F22" s="770">
        <v>13168.51</v>
      </c>
      <c r="G22" s="820" t="s">
        <v>1153</v>
      </c>
      <c r="H22" s="821">
        <v>13155.49</v>
      </c>
      <c r="I22" s="822">
        <f>H22-F22</f>
        <v>-13.020000000000437</v>
      </c>
    </row>
    <row r="23" spans="1:9" ht="15.75" x14ac:dyDescent="0.25">
      <c r="F23" s="823">
        <f>SUM(F22)</f>
        <v>13168.51</v>
      </c>
      <c r="G23" s="824"/>
      <c r="H23" s="825">
        <f>SUM(H22)</f>
        <v>13155.49</v>
      </c>
      <c r="I23" s="823">
        <f>H23-F23</f>
        <v>-13.020000000000437</v>
      </c>
    </row>
    <row r="24" spans="1:9" x14ac:dyDescent="0.2">
      <c r="F24" s="766"/>
    </row>
    <row r="25" spans="1:9" ht="15.75" thickBot="1" x14ac:dyDescent="0.25">
      <c r="F25" s="766"/>
    </row>
    <row r="26" spans="1:9" ht="26.25" customHeight="1" thickBot="1" x14ac:dyDescent="0.25">
      <c r="A26" s="991" t="s">
        <v>1014</v>
      </c>
      <c r="B26" s="992"/>
      <c r="C26" s="992"/>
      <c r="D26" s="992"/>
      <c r="E26" s="993"/>
      <c r="F26" s="994"/>
    </row>
    <row r="27" spans="1:9" ht="39" thickBot="1" x14ac:dyDescent="0.25">
      <c r="A27" s="756" t="s">
        <v>973</v>
      </c>
      <c r="B27" s="757" t="s">
        <v>974</v>
      </c>
      <c r="C27" s="756" t="s">
        <v>975</v>
      </c>
      <c r="D27" s="756" t="s">
        <v>976</v>
      </c>
      <c r="E27" s="758" t="s">
        <v>977</v>
      </c>
      <c r="F27" s="759" t="s">
        <v>978</v>
      </c>
      <c r="G27" s="819" t="s">
        <v>1148</v>
      </c>
      <c r="H27" s="819" t="s">
        <v>1151</v>
      </c>
      <c r="I27" s="847" t="s">
        <v>1149</v>
      </c>
    </row>
    <row r="28" spans="1:9" ht="115.5" x14ac:dyDescent="0.2">
      <c r="A28" s="767" t="s">
        <v>1015</v>
      </c>
      <c r="B28" s="768" t="s">
        <v>1016</v>
      </c>
      <c r="C28" s="767" t="s">
        <v>1017</v>
      </c>
      <c r="D28" s="777" t="s">
        <v>1018</v>
      </c>
      <c r="E28" s="762" t="s">
        <v>938</v>
      </c>
      <c r="F28" s="770">
        <v>14294.5</v>
      </c>
      <c r="G28" s="820" t="s">
        <v>1154</v>
      </c>
      <c r="H28" s="821">
        <v>16348.09</v>
      </c>
      <c r="I28" s="822">
        <f>H28-F28</f>
        <v>2053.59</v>
      </c>
    </row>
    <row r="29" spans="1:9" ht="15.75" x14ac:dyDescent="0.25">
      <c r="F29" s="766">
        <f>SUM(F28)</f>
        <v>14294.5</v>
      </c>
      <c r="G29" s="824"/>
      <c r="H29" s="825">
        <f>SUM(H28)</f>
        <v>16348.09</v>
      </c>
      <c r="I29" s="823">
        <f>H29-F29</f>
        <v>2053.59</v>
      </c>
    </row>
    <row r="30" spans="1:9" x14ac:dyDescent="0.2">
      <c r="F30" s="766"/>
    </row>
    <row r="31" spans="1:9" ht="15.75" thickBot="1" x14ac:dyDescent="0.25">
      <c r="F31" s="766"/>
    </row>
    <row r="32" spans="1:9" ht="44.25" customHeight="1" thickBot="1" x14ac:dyDescent="0.25">
      <c r="A32" s="984" t="s">
        <v>1156</v>
      </c>
      <c r="B32" s="985"/>
      <c r="C32" s="985"/>
      <c r="D32" s="985"/>
      <c r="E32" s="986"/>
      <c r="F32" s="987"/>
      <c r="G32" s="819" t="s">
        <v>1148</v>
      </c>
      <c r="H32" s="819" t="s">
        <v>1151</v>
      </c>
      <c r="I32" s="847" t="s">
        <v>1149</v>
      </c>
    </row>
    <row r="33" spans="1:9" ht="16.5" thickBot="1" x14ac:dyDescent="0.25">
      <c r="F33" s="766"/>
      <c r="G33" s="759" t="s">
        <v>1157</v>
      </c>
      <c r="H33" s="759">
        <v>19320.259999999998</v>
      </c>
      <c r="I33" s="835">
        <f>H33</f>
        <v>19320.259999999998</v>
      </c>
    </row>
    <row r="34" spans="1:9" ht="15.75" thickBot="1" x14ac:dyDescent="0.25">
      <c r="F34" s="766"/>
    </row>
    <row r="35" spans="1:9" ht="32.25" thickBot="1" x14ac:dyDescent="0.25">
      <c r="A35" s="984" t="s">
        <v>1158</v>
      </c>
      <c r="B35" s="985"/>
      <c r="C35" s="985"/>
      <c r="D35" s="985"/>
      <c r="E35" s="986"/>
      <c r="F35" s="987"/>
      <c r="G35" s="819" t="s">
        <v>1148</v>
      </c>
      <c r="H35" s="819" t="s">
        <v>1151</v>
      </c>
      <c r="I35" s="847" t="s">
        <v>1149</v>
      </c>
    </row>
    <row r="36" spans="1:9" ht="16.5" thickBot="1" x14ac:dyDescent="0.25">
      <c r="F36" s="766"/>
      <c r="G36" s="759" t="s">
        <v>1159</v>
      </c>
      <c r="H36" s="759">
        <v>8174.98</v>
      </c>
      <c r="I36" s="835">
        <f>H36</f>
        <v>8174.98</v>
      </c>
    </row>
    <row r="37" spans="1:9" ht="16.5" thickBot="1" x14ac:dyDescent="0.25">
      <c r="F37" s="766"/>
      <c r="G37" s="826"/>
      <c r="H37" s="826"/>
      <c r="I37" s="848"/>
    </row>
    <row r="38" spans="1:9" ht="32.25" thickBot="1" x14ac:dyDescent="0.25">
      <c r="A38" s="984" t="s">
        <v>1160</v>
      </c>
      <c r="B38" s="985"/>
      <c r="C38" s="985"/>
      <c r="D38" s="985"/>
      <c r="E38" s="986"/>
      <c r="F38" s="987"/>
      <c r="G38" s="819" t="s">
        <v>1148</v>
      </c>
      <c r="H38" s="819" t="s">
        <v>1151</v>
      </c>
      <c r="I38" s="847" t="s">
        <v>1149</v>
      </c>
    </row>
    <row r="39" spans="1:9" ht="16.5" thickBot="1" x14ac:dyDescent="0.25">
      <c r="F39" s="766"/>
      <c r="G39" s="759" t="s">
        <v>1161</v>
      </c>
      <c r="H39" s="759">
        <v>400.59</v>
      </c>
      <c r="I39" s="835">
        <f>H39</f>
        <v>400.59</v>
      </c>
    </row>
    <row r="40" spans="1:9" ht="26.25" customHeight="1" thickBot="1" x14ac:dyDescent="0.25">
      <c r="F40" s="766"/>
      <c r="G40" s="826"/>
      <c r="H40" s="826"/>
      <c r="I40" s="848"/>
    </row>
    <row r="41" spans="1:9" ht="32.25" thickBot="1" x14ac:dyDescent="0.25">
      <c r="A41" s="984" t="s">
        <v>1162</v>
      </c>
      <c r="B41" s="985"/>
      <c r="C41" s="985"/>
      <c r="D41" s="985"/>
      <c r="E41" s="986"/>
      <c r="F41" s="987"/>
      <c r="G41" s="819" t="s">
        <v>1148</v>
      </c>
      <c r="H41" s="819" t="s">
        <v>1151</v>
      </c>
      <c r="I41" s="847" t="s">
        <v>1149</v>
      </c>
    </row>
    <row r="42" spans="1:9" ht="16.5" thickBot="1" x14ac:dyDescent="0.25">
      <c r="F42" s="766"/>
      <c r="G42" s="759" t="s">
        <v>1163</v>
      </c>
      <c r="H42" s="759">
        <v>434.27</v>
      </c>
      <c r="I42" s="835">
        <f>H42</f>
        <v>434.27</v>
      </c>
    </row>
    <row r="43" spans="1:9" ht="15.75" thickBot="1" x14ac:dyDescent="0.25">
      <c r="F43" s="766"/>
    </row>
    <row r="44" spans="1:9" ht="12.75" customHeight="1" x14ac:dyDescent="0.2">
      <c r="A44" s="967" t="s">
        <v>1164</v>
      </c>
      <c r="B44" s="968"/>
      <c r="C44" s="968"/>
      <c r="D44" s="968"/>
      <c r="E44" s="968"/>
      <c r="F44" s="968"/>
      <c r="G44" s="968"/>
      <c r="H44" s="968"/>
      <c r="I44" s="982">
        <f>I12+I18+I23+I29+I33+I36+I39+I42</f>
        <v>23582</v>
      </c>
    </row>
    <row r="45" spans="1:9" ht="13.5" customHeight="1" thickBot="1" x14ac:dyDescent="0.25">
      <c r="A45" s="969"/>
      <c r="B45" s="970"/>
      <c r="C45" s="970"/>
      <c r="D45" s="970"/>
      <c r="E45" s="970"/>
      <c r="F45" s="970"/>
      <c r="G45" s="970"/>
      <c r="H45" s="970"/>
      <c r="I45" s="983"/>
    </row>
    <row r="46" spans="1:9" ht="13.5" customHeight="1" x14ac:dyDescent="0.25">
      <c r="A46" s="827"/>
      <c r="B46" s="827"/>
      <c r="C46" s="827"/>
      <c r="D46" s="827"/>
      <c r="E46" s="827"/>
      <c r="F46" s="827"/>
      <c r="G46" s="827"/>
      <c r="H46" s="827"/>
      <c r="I46" s="849"/>
    </row>
    <row r="47" spans="1:9" ht="13.5" customHeight="1" x14ac:dyDescent="0.25">
      <c r="A47" s="827"/>
      <c r="B47" s="827"/>
      <c r="C47" s="827"/>
      <c r="D47" s="827"/>
      <c r="E47" s="827"/>
      <c r="F47" s="827"/>
      <c r="G47" s="827"/>
      <c r="H47" s="827"/>
      <c r="I47" s="849"/>
    </row>
    <row r="48" spans="1:9" ht="15.75" thickBot="1" x14ac:dyDescent="0.25">
      <c r="F48" s="766"/>
    </row>
    <row r="49" spans="1:9" ht="33.75" customHeight="1" thickBot="1" x14ac:dyDescent="0.25">
      <c r="A49" s="984" t="s">
        <v>998</v>
      </c>
      <c r="B49" s="985"/>
      <c r="C49" s="985"/>
      <c r="D49" s="985"/>
      <c r="E49" s="986"/>
      <c r="F49" s="987"/>
      <c r="G49" s="828" t="s">
        <v>1147</v>
      </c>
      <c r="H49" s="1007" t="s">
        <v>1151</v>
      </c>
      <c r="I49" s="1008" t="s">
        <v>1149</v>
      </c>
    </row>
    <row r="50" spans="1:9" ht="39" thickBot="1" x14ac:dyDescent="0.25">
      <c r="A50" s="756" t="s">
        <v>973</v>
      </c>
      <c r="B50" s="757" t="s">
        <v>974</v>
      </c>
      <c r="C50" s="756" t="s">
        <v>975</v>
      </c>
      <c r="D50" s="756" t="s">
        <v>976</v>
      </c>
      <c r="E50" s="758" t="s">
        <v>977</v>
      </c>
      <c r="F50" s="759" t="s">
        <v>978</v>
      </c>
      <c r="G50" s="819" t="s">
        <v>1148</v>
      </c>
      <c r="H50" s="1002"/>
      <c r="I50" s="1000"/>
    </row>
    <row r="51" spans="1:9" ht="81.75" customHeight="1" x14ac:dyDescent="0.2">
      <c r="A51" s="767" t="s">
        <v>999</v>
      </c>
      <c r="B51" s="768" t="s">
        <v>1000</v>
      </c>
      <c r="C51" s="767" t="s">
        <v>1001</v>
      </c>
      <c r="D51" s="767" t="s">
        <v>1002</v>
      </c>
      <c r="E51" s="769" t="s">
        <v>1003</v>
      </c>
      <c r="F51" s="770">
        <v>15648.75</v>
      </c>
      <c r="G51" s="1009" t="s">
        <v>1166</v>
      </c>
      <c r="H51" s="1010">
        <v>20492.38</v>
      </c>
      <c r="I51" s="1011">
        <f>H51-F54</f>
        <v>4671.130000000001</v>
      </c>
    </row>
    <row r="52" spans="1:9" ht="81.75" customHeight="1" x14ac:dyDescent="0.2">
      <c r="A52" s="767" t="s">
        <v>1004</v>
      </c>
      <c r="B52" s="768"/>
      <c r="C52" s="767" t="s">
        <v>1005</v>
      </c>
      <c r="D52" s="767" t="s">
        <v>1002</v>
      </c>
      <c r="E52" s="771" t="s">
        <v>1003</v>
      </c>
      <c r="F52" s="770">
        <v>135</v>
      </c>
      <c r="G52" s="1009"/>
      <c r="H52" s="1010"/>
      <c r="I52" s="1012"/>
    </row>
    <row r="53" spans="1:9" ht="81.75" customHeight="1" x14ac:dyDescent="0.2">
      <c r="A53" s="772" t="s">
        <v>1006</v>
      </c>
      <c r="B53" s="773" t="s">
        <v>1007</v>
      </c>
      <c r="C53" s="772" t="s">
        <v>1008</v>
      </c>
      <c r="D53" s="767" t="s">
        <v>1002</v>
      </c>
      <c r="E53" s="771" t="s">
        <v>1003</v>
      </c>
      <c r="F53" s="774">
        <v>37.5</v>
      </c>
      <c r="G53" s="1009"/>
      <c r="H53" s="1010"/>
      <c r="I53" s="1012"/>
    </row>
    <row r="54" spans="1:9" ht="15.75" x14ac:dyDescent="0.25">
      <c r="F54" s="830">
        <f>SUM(F51:F53)</f>
        <v>15821.25</v>
      </c>
      <c r="G54" s="813"/>
      <c r="H54" s="815">
        <f t="shared" ref="H54:I54" si="0">SUM(H51)</f>
        <v>20492.38</v>
      </c>
      <c r="I54" s="825">
        <f t="shared" si="0"/>
        <v>4671.130000000001</v>
      </c>
    </row>
    <row r="56" spans="1:9" ht="24.75" customHeight="1" thickBot="1" x14ac:dyDescent="0.25"/>
    <row r="57" spans="1:9" ht="19.5" customHeight="1" thickBot="1" x14ac:dyDescent="0.25">
      <c r="A57" s="984" t="s">
        <v>1099</v>
      </c>
      <c r="B57" s="985"/>
      <c r="C57" s="985"/>
      <c r="D57" s="985"/>
      <c r="E57" s="986"/>
      <c r="F57" s="986"/>
      <c r="G57" s="831" t="s">
        <v>1147</v>
      </c>
      <c r="H57" s="1015" t="s">
        <v>1151</v>
      </c>
      <c r="I57" s="1017" t="s">
        <v>1149</v>
      </c>
    </row>
    <row r="58" spans="1:9" ht="39" thickBot="1" x14ac:dyDescent="0.25">
      <c r="A58" s="756" t="s">
        <v>973</v>
      </c>
      <c r="B58" s="757" t="s">
        <v>1100</v>
      </c>
      <c r="C58" s="756" t="s">
        <v>975</v>
      </c>
      <c r="D58" s="756" t="s">
        <v>976</v>
      </c>
      <c r="E58" s="758" t="s">
        <v>977</v>
      </c>
      <c r="F58" s="807" t="s">
        <v>978</v>
      </c>
      <c r="G58" s="832" t="s">
        <v>1148</v>
      </c>
      <c r="H58" s="1016"/>
      <c r="I58" s="1018"/>
    </row>
    <row r="59" spans="1:9" ht="66" x14ac:dyDescent="0.2">
      <c r="A59" s="767" t="s">
        <v>1101</v>
      </c>
      <c r="B59" s="768" t="s">
        <v>1102</v>
      </c>
      <c r="C59" s="767" t="s">
        <v>1103</v>
      </c>
      <c r="D59" s="767" t="s">
        <v>1104</v>
      </c>
      <c r="E59" s="769" t="s">
        <v>1105</v>
      </c>
      <c r="F59" s="770">
        <v>148.65989999999999</v>
      </c>
      <c r="G59" s="1019" t="s">
        <v>1167</v>
      </c>
      <c r="H59" s="1013">
        <v>19692.32</v>
      </c>
      <c r="I59" s="1011">
        <f>H59-F61</f>
        <v>19256.160100000001</v>
      </c>
    </row>
    <row r="60" spans="1:9" ht="99" x14ac:dyDescent="0.2">
      <c r="A60" s="767" t="s">
        <v>1106</v>
      </c>
      <c r="B60" s="761" t="s">
        <v>1107</v>
      </c>
      <c r="C60" s="767" t="s">
        <v>1103</v>
      </c>
      <c r="D60" s="767" t="s">
        <v>1104</v>
      </c>
      <c r="E60" s="769" t="s">
        <v>1105</v>
      </c>
      <c r="F60" s="833">
        <f>115+126.25+46.25</f>
        <v>287.5</v>
      </c>
      <c r="G60" s="1020"/>
      <c r="H60" s="1014"/>
      <c r="I60" s="1012"/>
    </row>
    <row r="61" spans="1:9" ht="15.75" x14ac:dyDescent="0.25">
      <c r="F61" s="830">
        <f>+F59+F60</f>
        <v>436.15989999999999</v>
      </c>
      <c r="G61" s="813"/>
      <c r="H61" s="815">
        <f t="shared" ref="H61:I61" si="1">SUM(H59)</f>
        <v>19692.32</v>
      </c>
      <c r="I61" s="825">
        <f t="shared" si="1"/>
        <v>19256.160100000001</v>
      </c>
    </row>
    <row r="63" spans="1:9" ht="15.75" thickBot="1" x14ac:dyDescent="0.25"/>
    <row r="64" spans="1:9" ht="36" customHeight="1" thickBot="1" x14ac:dyDescent="0.25">
      <c r="A64" s="984" t="s">
        <v>1108</v>
      </c>
      <c r="B64" s="985"/>
      <c r="C64" s="985"/>
      <c r="D64" s="985"/>
      <c r="E64" s="986"/>
      <c r="F64" s="987"/>
      <c r="G64" s="831" t="s">
        <v>1147</v>
      </c>
      <c r="H64" s="1015" t="s">
        <v>1151</v>
      </c>
      <c r="I64" s="1017" t="s">
        <v>1149</v>
      </c>
    </row>
    <row r="65" spans="1:9" ht="39" thickBot="1" x14ac:dyDescent="0.25">
      <c r="A65" s="775" t="s">
        <v>973</v>
      </c>
      <c r="B65" s="778" t="s">
        <v>974</v>
      </c>
      <c r="C65" s="776" t="s">
        <v>975</v>
      </c>
      <c r="D65" s="776" t="s">
        <v>976</v>
      </c>
      <c r="E65" s="755" t="s">
        <v>977</v>
      </c>
      <c r="F65" s="779" t="s">
        <v>978</v>
      </c>
      <c r="G65" s="832" t="s">
        <v>1148</v>
      </c>
      <c r="H65" s="1016"/>
      <c r="I65" s="1018"/>
    </row>
    <row r="66" spans="1:9" ht="38.25" x14ac:dyDescent="0.2">
      <c r="A66" s="772" t="s">
        <v>1015</v>
      </c>
      <c r="B66" s="773" t="s">
        <v>1109</v>
      </c>
      <c r="C66" s="772" t="s">
        <v>1110</v>
      </c>
      <c r="D66" s="801" t="s">
        <v>1111</v>
      </c>
      <c r="E66" s="782" t="s">
        <v>1112</v>
      </c>
      <c r="F66" s="783">
        <v>276.02999999999997</v>
      </c>
      <c r="G66" s="1021" t="s">
        <v>1168</v>
      </c>
      <c r="H66" s="1023">
        <v>5613.28</v>
      </c>
      <c r="I66" s="1011">
        <f>H66-F73</f>
        <v>431.48999999999978</v>
      </c>
    </row>
    <row r="67" spans="1:9" ht="38.25" x14ac:dyDescent="0.2">
      <c r="A67" s="762" t="s">
        <v>1086</v>
      </c>
      <c r="B67" s="761" t="s">
        <v>1113</v>
      </c>
      <c r="C67" s="772" t="s">
        <v>1114</v>
      </c>
      <c r="D67" s="802" t="s">
        <v>1111</v>
      </c>
      <c r="E67" s="790" t="s">
        <v>1112</v>
      </c>
      <c r="F67" s="763">
        <v>1500</v>
      </c>
      <c r="G67" s="1022"/>
      <c r="H67" s="1024"/>
      <c r="I67" s="1012"/>
    </row>
    <row r="68" spans="1:9" ht="49.5" x14ac:dyDescent="0.2">
      <c r="A68" s="762" t="s">
        <v>1115</v>
      </c>
      <c r="B68" s="761" t="s">
        <v>1116</v>
      </c>
      <c r="C68" s="772" t="s">
        <v>1117</v>
      </c>
      <c r="D68" s="785" t="s">
        <v>1111</v>
      </c>
      <c r="E68" s="790" t="s">
        <v>1112</v>
      </c>
      <c r="F68" s="763">
        <v>170</v>
      </c>
      <c r="G68" s="1022"/>
      <c r="H68" s="1024"/>
      <c r="I68" s="1012"/>
    </row>
    <row r="69" spans="1:9" ht="49.5" x14ac:dyDescent="0.2">
      <c r="A69" s="803" t="s">
        <v>1068</v>
      </c>
      <c r="B69" s="764" t="s">
        <v>1118</v>
      </c>
      <c r="C69" s="785" t="s">
        <v>1119</v>
      </c>
      <c r="D69" s="804" t="s">
        <v>1111</v>
      </c>
      <c r="E69" s="790" t="s">
        <v>1112</v>
      </c>
      <c r="F69" s="765">
        <v>87.6</v>
      </c>
      <c r="G69" s="1022"/>
      <c r="H69" s="1024"/>
      <c r="I69" s="1012"/>
    </row>
    <row r="70" spans="1:9" ht="50.25" thickBot="1" x14ac:dyDescent="0.25">
      <c r="A70" s="762" t="s">
        <v>1120</v>
      </c>
      <c r="B70" s="764" t="s">
        <v>1121</v>
      </c>
      <c r="C70" s="785" t="s">
        <v>1122</v>
      </c>
      <c r="D70" s="804" t="s">
        <v>1111</v>
      </c>
      <c r="E70" s="790" t="s">
        <v>1112</v>
      </c>
      <c r="F70" s="765">
        <v>2028.16</v>
      </c>
      <c r="G70" s="1022"/>
      <c r="H70" s="1024"/>
      <c r="I70" s="1012"/>
    </row>
    <row r="71" spans="1:9" ht="49.5" x14ac:dyDescent="0.2">
      <c r="A71" s="796" t="s">
        <v>1077</v>
      </c>
      <c r="B71" s="764" t="s">
        <v>1123</v>
      </c>
      <c r="C71" s="785" t="s">
        <v>1124</v>
      </c>
      <c r="D71" s="785" t="s">
        <v>1111</v>
      </c>
      <c r="E71" s="790" t="s">
        <v>1112</v>
      </c>
      <c r="F71" s="765">
        <v>270</v>
      </c>
      <c r="G71" s="1022"/>
      <c r="H71" s="1024"/>
      <c r="I71" s="1012"/>
    </row>
    <row r="72" spans="1:9" ht="38.25" x14ac:dyDescent="0.2">
      <c r="A72" s="803" t="s">
        <v>1125</v>
      </c>
      <c r="B72" s="764" t="s">
        <v>1126</v>
      </c>
      <c r="C72" s="785" t="s">
        <v>1127</v>
      </c>
      <c r="D72" s="772" t="s">
        <v>1111</v>
      </c>
      <c r="E72" s="790" t="s">
        <v>1112</v>
      </c>
      <c r="F72" s="834">
        <v>850</v>
      </c>
      <c r="G72" s="1022"/>
      <c r="H72" s="1024"/>
      <c r="I72" s="1025"/>
    </row>
    <row r="73" spans="1:9" ht="15.75" x14ac:dyDescent="0.25">
      <c r="F73" s="830">
        <f>SUM(F66:F72)</f>
        <v>5181.79</v>
      </c>
      <c r="G73" s="813"/>
      <c r="H73" s="823">
        <f>SUM(H66)</f>
        <v>5613.28</v>
      </c>
      <c r="I73" s="823">
        <f>SUM(I66)</f>
        <v>431.48999999999978</v>
      </c>
    </row>
    <row r="74" spans="1:9" x14ac:dyDescent="0.2">
      <c r="F74" s="766"/>
    </row>
    <row r="75" spans="1:9" ht="15.75" thickBot="1" x14ac:dyDescent="0.25"/>
    <row r="76" spans="1:9" ht="15.75" thickBot="1" x14ac:dyDescent="0.25">
      <c r="A76" s="984" t="s">
        <v>1128</v>
      </c>
      <c r="B76" s="985"/>
      <c r="C76" s="985"/>
      <c r="D76" s="985"/>
      <c r="E76" s="986"/>
      <c r="F76" s="987"/>
    </row>
    <row r="77" spans="1:9" ht="39" thickBot="1" x14ac:dyDescent="0.25">
      <c r="A77" s="775" t="s">
        <v>973</v>
      </c>
      <c r="B77" s="778" t="s">
        <v>974</v>
      </c>
      <c r="C77" s="776" t="s">
        <v>975</v>
      </c>
      <c r="D77" s="776" t="s">
        <v>976</v>
      </c>
      <c r="E77" s="755" t="s">
        <v>977</v>
      </c>
      <c r="F77" s="779" t="s">
        <v>978</v>
      </c>
      <c r="G77" s="819" t="s">
        <v>1148</v>
      </c>
      <c r="H77" s="819" t="s">
        <v>1151</v>
      </c>
      <c r="I77" s="847" t="s">
        <v>1149</v>
      </c>
    </row>
    <row r="78" spans="1:9" ht="66" x14ac:dyDescent="0.2">
      <c r="A78" s="762" t="s">
        <v>1115</v>
      </c>
      <c r="B78" s="761" t="s">
        <v>1129</v>
      </c>
      <c r="C78" s="762" t="s">
        <v>1130</v>
      </c>
      <c r="D78" s="805" t="s">
        <v>1131</v>
      </c>
      <c r="E78" s="769" t="s">
        <v>1132</v>
      </c>
      <c r="F78" s="763">
        <v>300</v>
      </c>
      <c r="G78" s="820" t="s">
        <v>1169</v>
      </c>
      <c r="H78" s="821">
        <v>15062.74</v>
      </c>
      <c r="I78" s="822">
        <f>H78-F79</f>
        <v>14762.74</v>
      </c>
    </row>
    <row r="79" spans="1:9" ht="15.75" x14ac:dyDescent="0.25">
      <c r="F79" s="830">
        <f>SUM(F78)</f>
        <v>300</v>
      </c>
      <c r="G79" s="824"/>
      <c r="H79" s="825">
        <f>SUM(H78)</f>
        <v>15062.74</v>
      </c>
      <c r="I79" s="823">
        <f>H79-F79</f>
        <v>14762.74</v>
      </c>
    </row>
    <row r="81" spans="1:9" ht="15.75" thickBot="1" x14ac:dyDescent="0.25"/>
    <row r="82" spans="1:9" ht="32.25" thickBot="1" x14ac:dyDescent="0.25">
      <c r="A82" s="984" t="s">
        <v>1170</v>
      </c>
      <c r="B82" s="985"/>
      <c r="C82" s="985"/>
      <c r="D82" s="985"/>
      <c r="E82" s="986"/>
      <c r="F82" s="987"/>
      <c r="G82" s="819" t="s">
        <v>1148</v>
      </c>
      <c r="H82" s="819" t="s">
        <v>1151</v>
      </c>
      <c r="I82" s="847" t="s">
        <v>1149</v>
      </c>
    </row>
    <row r="83" spans="1:9" ht="16.5" thickBot="1" x14ac:dyDescent="0.25">
      <c r="F83" s="766"/>
      <c r="G83" s="759" t="s">
        <v>1171</v>
      </c>
      <c r="H83" s="759">
        <v>19995.2</v>
      </c>
      <c r="I83" s="835">
        <f>H83</f>
        <v>19995.2</v>
      </c>
    </row>
    <row r="84" spans="1:9" ht="26.25" customHeight="1" thickBot="1" x14ac:dyDescent="0.25">
      <c r="F84" s="766"/>
      <c r="G84" s="826"/>
      <c r="H84" s="826"/>
      <c r="I84" s="848"/>
    </row>
    <row r="85" spans="1:9" ht="32.25" thickBot="1" x14ac:dyDescent="0.25">
      <c r="A85" s="984" t="s">
        <v>1172</v>
      </c>
      <c r="B85" s="985"/>
      <c r="C85" s="985"/>
      <c r="D85" s="985"/>
      <c r="E85" s="986"/>
      <c r="F85" s="987"/>
      <c r="G85" s="819" t="s">
        <v>1148</v>
      </c>
      <c r="H85" s="819" t="s">
        <v>1151</v>
      </c>
      <c r="I85" s="847" t="s">
        <v>1149</v>
      </c>
    </row>
    <row r="86" spans="1:9" ht="16.5" thickBot="1" x14ac:dyDescent="0.25">
      <c r="F86" s="766"/>
      <c r="G86" s="759" t="s">
        <v>1173</v>
      </c>
      <c r="H86" s="759">
        <v>4347.33</v>
      </c>
      <c r="I86" s="835">
        <f>H86</f>
        <v>4347.33</v>
      </c>
    </row>
    <row r="87" spans="1:9" ht="15.75" thickBot="1" x14ac:dyDescent="0.25"/>
    <row r="88" spans="1:9" ht="32.25" thickBot="1" x14ac:dyDescent="0.25">
      <c r="A88" s="984" t="s">
        <v>1174</v>
      </c>
      <c r="B88" s="985"/>
      <c r="C88" s="985"/>
      <c r="D88" s="985"/>
      <c r="E88" s="986"/>
      <c r="F88" s="987"/>
      <c r="G88" s="819" t="s">
        <v>1148</v>
      </c>
      <c r="H88" s="819" t="s">
        <v>1151</v>
      </c>
      <c r="I88" s="847" t="s">
        <v>1149</v>
      </c>
    </row>
    <row r="89" spans="1:9" ht="16.5" thickBot="1" x14ac:dyDescent="0.25">
      <c r="F89" s="766"/>
      <c r="G89" s="759" t="s">
        <v>1175</v>
      </c>
      <c r="H89" s="759">
        <v>67071.77</v>
      </c>
      <c r="I89" s="835">
        <f>H89</f>
        <v>67071.77</v>
      </c>
    </row>
    <row r="91" spans="1:9" ht="15.75" thickBot="1" x14ac:dyDescent="0.25"/>
    <row r="92" spans="1:9" ht="12.75" x14ac:dyDescent="0.2">
      <c r="A92" s="967" t="s">
        <v>1176</v>
      </c>
      <c r="B92" s="968"/>
      <c r="C92" s="968"/>
      <c r="D92" s="968"/>
      <c r="E92" s="968"/>
      <c r="F92" s="968"/>
      <c r="G92" s="968"/>
      <c r="H92" s="968"/>
      <c r="I92" s="1026">
        <f>I54+I61+I73+I79+I83+I86+I89</f>
        <v>130535.82010000001</v>
      </c>
    </row>
    <row r="93" spans="1:9" ht="13.5" thickBot="1" x14ac:dyDescent="0.25">
      <c r="A93" s="969"/>
      <c r="B93" s="970"/>
      <c r="C93" s="970"/>
      <c r="D93" s="970"/>
      <c r="E93" s="970"/>
      <c r="F93" s="970"/>
      <c r="G93" s="970"/>
      <c r="H93" s="970"/>
      <c r="I93" s="1027"/>
    </row>
    <row r="96" spans="1:9" ht="15.75" thickBot="1" x14ac:dyDescent="0.25"/>
    <row r="97" spans="1:9" ht="30.75" customHeight="1" thickBot="1" x14ac:dyDescent="0.25">
      <c r="A97" s="991" t="s">
        <v>1139</v>
      </c>
      <c r="B97" s="992"/>
      <c r="C97" s="992"/>
      <c r="D97" s="992"/>
      <c r="E97" s="993"/>
      <c r="F97" s="994"/>
    </row>
    <row r="98" spans="1:9" ht="38.25" x14ac:dyDescent="0.2">
      <c r="A98" s="791" t="s">
        <v>973</v>
      </c>
      <c r="B98" s="792" t="s">
        <v>974</v>
      </c>
      <c r="C98" s="793" t="s">
        <v>975</v>
      </c>
      <c r="D98" s="793" t="s">
        <v>976</v>
      </c>
      <c r="E98" s="794" t="s">
        <v>977</v>
      </c>
      <c r="F98" s="795" t="s">
        <v>978</v>
      </c>
      <c r="G98" s="829" t="s">
        <v>1148</v>
      </c>
      <c r="H98" s="829" t="s">
        <v>1151</v>
      </c>
      <c r="I98" s="850" t="s">
        <v>1149</v>
      </c>
    </row>
    <row r="99" spans="1:9" ht="49.5" x14ac:dyDescent="0.2">
      <c r="A99" s="785" t="s">
        <v>1006</v>
      </c>
      <c r="B99" s="786" t="s">
        <v>1140</v>
      </c>
      <c r="C99" s="785" t="s">
        <v>1141</v>
      </c>
      <c r="D99" s="806" t="s">
        <v>1142</v>
      </c>
      <c r="E99" s="787" t="s">
        <v>1143</v>
      </c>
      <c r="F99" s="788">
        <v>66</v>
      </c>
      <c r="G99" s="1025" t="s">
        <v>1177</v>
      </c>
      <c r="H99" s="1030">
        <v>5641.83</v>
      </c>
      <c r="I99" s="1033">
        <f>H99-F103</f>
        <v>4435.83</v>
      </c>
    </row>
    <row r="100" spans="1:9" ht="51" x14ac:dyDescent="0.2">
      <c r="A100" s="785" t="s">
        <v>1144</v>
      </c>
      <c r="B100" s="786" t="s">
        <v>1145</v>
      </c>
      <c r="C100" s="785" t="s">
        <v>1146</v>
      </c>
      <c r="D100" s="806" t="s">
        <v>1142</v>
      </c>
      <c r="E100" s="787" t="s">
        <v>1143</v>
      </c>
      <c r="F100" s="788">
        <v>135</v>
      </c>
      <c r="G100" s="1028"/>
      <c r="H100" s="1031"/>
      <c r="I100" s="1034"/>
    </row>
    <row r="101" spans="1:9" ht="51" x14ac:dyDescent="0.2">
      <c r="A101" s="853" t="s">
        <v>1207</v>
      </c>
      <c r="B101" s="854" t="s">
        <v>1026</v>
      </c>
      <c r="C101" s="853" t="s">
        <v>1208</v>
      </c>
      <c r="D101" s="855" t="s">
        <v>1142</v>
      </c>
      <c r="E101" s="856" t="s">
        <v>1209</v>
      </c>
      <c r="F101" s="857">
        <v>545</v>
      </c>
      <c r="G101" s="1028"/>
      <c r="H101" s="1031"/>
      <c r="I101" s="1034"/>
    </row>
    <row r="102" spans="1:9" ht="82.5" x14ac:dyDescent="0.2">
      <c r="A102" s="858" t="s">
        <v>1210</v>
      </c>
      <c r="B102" s="859" t="s">
        <v>1026</v>
      </c>
      <c r="C102" s="858" t="s">
        <v>1211</v>
      </c>
      <c r="D102" s="855" t="s">
        <v>1142</v>
      </c>
      <c r="E102" s="856" t="s">
        <v>1209</v>
      </c>
      <c r="F102" s="860">
        <v>460</v>
      </c>
      <c r="G102" s="1029"/>
      <c r="H102" s="1032"/>
      <c r="I102" s="1029"/>
    </row>
    <row r="103" spans="1:9" ht="15.75" x14ac:dyDescent="0.25">
      <c r="F103" s="830">
        <f>SUM(F99:F102)</f>
        <v>1206</v>
      </c>
      <c r="G103" s="813"/>
      <c r="H103" s="815">
        <f t="shared" ref="H103:I103" si="2">SUM(H99)</f>
        <v>5641.83</v>
      </c>
      <c r="I103" s="825">
        <f t="shared" si="2"/>
        <v>4435.83</v>
      </c>
    </row>
    <row r="104" spans="1:9" ht="15.75" x14ac:dyDescent="0.25">
      <c r="F104" s="836"/>
      <c r="H104" s="837"/>
      <c r="I104" s="851"/>
    </row>
    <row r="105" spans="1:9" ht="15.75" thickBot="1" x14ac:dyDescent="0.25">
      <c r="F105" s="836"/>
    </row>
    <row r="106" spans="1:9" ht="15.75" thickBot="1" x14ac:dyDescent="0.25">
      <c r="A106" s="991" t="s">
        <v>1076</v>
      </c>
      <c r="B106" s="992"/>
      <c r="C106" s="992"/>
      <c r="D106" s="992"/>
      <c r="E106" s="993"/>
      <c r="F106" s="994"/>
    </row>
    <row r="107" spans="1:9" ht="39" thickBot="1" x14ac:dyDescent="0.25">
      <c r="A107" s="791" t="s">
        <v>973</v>
      </c>
      <c r="B107" s="792" t="s">
        <v>974</v>
      </c>
      <c r="C107" s="793" t="s">
        <v>975</v>
      </c>
      <c r="D107" s="793" t="s">
        <v>976</v>
      </c>
      <c r="E107" s="794" t="s">
        <v>977</v>
      </c>
      <c r="F107" s="795" t="s">
        <v>978</v>
      </c>
      <c r="G107" s="829" t="s">
        <v>1148</v>
      </c>
      <c r="H107" s="829" t="s">
        <v>1151</v>
      </c>
      <c r="I107" s="850" t="s">
        <v>1149</v>
      </c>
    </row>
    <row r="108" spans="1:9" ht="132" x14ac:dyDescent="0.2">
      <c r="A108" s="796" t="s">
        <v>1077</v>
      </c>
      <c r="B108" s="797" t="s">
        <v>1078</v>
      </c>
      <c r="C108" s="796" t="s">
        <v>1079</v>
      </c>
      <c r="D108" s="798" t="s">
        <v>1080</v>
      </c>
      <c r="E108" s="799" t="s">
        <v>1081</v>
      </c>
      <c r="F108" s="800">
        <v>270</v>
      </c>
      <c r="G108" s="1012" t="s">
        <v>1178</v>
      </c>
      <c r="H108" s="1035">
        <v>8427.74</v>
      </c>
      <c r="I108" s="1011">
        <f>H108-F116</f>
        <v>1245.119999999999</v>
      </c>
    </row>
    <row r="109" spans="1:9" ht="49.5" x14ac:dyDescent="0.2">
      <c r="A109" s="762" t="s">
        <v>1082</v>
      </c>
      <c r="B109" s="761" t="s">
        <v>1083</v>
      </c>
      <c r="C109" s="762" t="s">
        <v>1084</v>
      </c>
      <c r="D109" s="777" t="s">
        <v>1080</v>
      </c>
      <c r="E109" s="790" t="s">
        <v>1085</v>
      </c>
      <c r="F109" s="763">
        <v>722.06</v>
      </c>
      <c r="G109" s="1012"/>
      <c r="H109" s="1035"/>
      <c r="I109" s="1012"/>
    </row>
    <row r="110" spans="1:9" ht="33" x14ac:dyDescent="0.2">
      <c r="A110" s="762" t="s">
        <v>1086</v>
      </c>
      <c r="B110" s="761" t="s">
        <v>1087</v>
      </c>
      <c r="C110" s="762" t="s">
        <v>1088</v>
      </c>
      <c r="D110" s="777" t="s">
        <v>1080</v>
      </c>
      <c r="E110" s="790" t="s">
        <v>1081</v>
      </c>
      <c r="F110" s="763">
        <v>720</v>
      </c>
      <c r="G110" s="1012"/>
      <c r="H110" s="1035"/>
      <c r="I110" s="1012"/>
    </row>
    <row r="111" spans="1:9" ht="33" x14ac:dyDescent="0.2">
      <c r="A111" s="762" t="s">
        <v>1089</v>
      </c>
      <c r="B111" s="761" t="s">
        <v>1090</v>
      </c>
      <c r="C111" s="762" t="s">
        <v>1091</v>
      </c>
      <c r="D111" s="777" t="s">
        <v>1080</v>
      </c>
      <c r="E111" s="790" t="s">
        <v>1081</v>
      </c>
      <c r="F111" s="763">
        <f>55.03+92.19+92.19</f>
        <v>239.41</v>
      </c>
      <c r="G111" s="1012"/>
      <c r="H111" s="1035"/>
      <c r="I111" s="1012"/>
    </row>
    <row r="112" spans="1:9" ht="38.25" x14ac:dyDescent="0.2">
      <c r="A112" s="772" t="s">
        <v>1042</v>
      </c>
      <c r="B112" s="773" t="s">
        <v>1092</v>
      </c>
      <c r="C112" s="772" t="s">
        <v>1093</v>
      </c>
      <c r="D112" s="777" t="s">
        <v>1080</v>
      </c>
      <c r="E112" s="787" t="s">
        <v>1035</v>
      </c>
      <c r="F112" s="784">
        <v>137.5</v>
      </c>
      <c r="G112" s="1012"/>
      <c r="H112" s="1035"/>
      <c r="I112" s="1012"/>
    </row>
    <row r="113" spans="1:9" ht="204" x14ac:dyDescent="0.2">
      <c r="A113" s="772" t="s">
        <v>1094</v>
      </c>
      <c r="B113" s="773" t="s">
        <v>1095</v>
      </c>
      <c r="C113" s="772" t="s">
        <v>1096</v>
      </c>
      <c r="D113" s="777" t="s">
        <v>1080</v>
      </c>
      <c r="E113" s="787" t="s">
        <v>1081</v>
      </c>
      <c r="F113" s="784">
        <v>3281.65</v>
      </c>
      <c r="G113" s="1012"/>
      <c r="H113" s="1035"/>
      <c r="I113" s="1012"/>
    </row>
    <row r="114" spans="1:9" ht="38.25" x14ac:dyDescent="0.2">
      <c r="A114" s="772" t="s">
        <v>1039</v>
      </c>
      <c r="B114" s="773" t="s">
        <v>1097</v>
      </c>
      <c r="C114" s="772" t="s">
        <v>1098</v>
      </c>
      <c r="D114" s="777" t="s">
        <v>1080</v>
      </c>
      <c r="E114" s="787" t="s">
        <v>1035</v>
      </c>
      <c r="F114" s="784">
        <v>121</v>
      </c>
      <c r="G114" s="1012"/>
      <c r="H114" s="1035"/>
      <c r="I114" s="1012"/>
    </row>
    <row r="115" spans="1:9" ht="35.25" customHeight="1" x14ac:dyDescent="0.2">
      <c r="A115" s="772" t="s">
        <v>1203</v>
      </c>
      <c r="B115" s="773" t="s">
        <v>1204</v>
      </c>
      <c r="C115" s="772" t="s">
        <v>1205</v>
      </c>
      <c r="D115" s="777" t="s">
        <v>1080</v>
      </c>
      <c r="E115" s="787" t="s">
        <v>1206</v>
      </c>
      <c r="F115" s="784">
        <v>1691</v>
      </c>
      <c r="G115" s="1012"/>
      <c r="H115" s="1035"/>
      <c r="I115" s="1012"/>
    </row>
    <row r="116" spans="1:9" ht="15.75" x14ac:dyDescent="0.25">
      <c r="F116" s="830">
        <f>SUM(F108:F115)</f>
        <v>7182.6200000000008</v>
      </c>
      <c r="G116" s="813"/>
      <c r="H116" s="823">
        <f>SUM(H108)</f>
        <v>8427.74</v>
      </c>
      <c r="I116" s="823">
        <f>SUM(I108)</f>
        <v>1245.119999999999</v>
      </c>
    </row>
    <row r="117" spans="1:9" ht="15.75" x14ac:dyDescent="0.25">
      <c r="F117" s="766"/>
      <c r="H117" s="842"/>
      <c r="I117" s="842"/>
    </row>
    <row r="118" spans="1:9" ht="16.5" thickBot="1" x14ac:dyDescent="0.3">
      <c r="F118" s="766"/>
      <c r="H118" s="842"/>
      <c r="I118" s="842"/>
    </row>
    <row r="119" spans="1:9" ht="32.25" thickBot="1" x14ac:dyDescent="0.25">
      <c r="A119" s="984" t="s">
        <v>1189</v>
      </c>
      <c r="B119" s="985"/>
      <c r="C119" s="985"/>
      <c r="D119" s="985"/>
      <c r="E119" s="986"/>
      <c r="F119" s="987"/>
      <c r="G119" s="819" t="s">
        <v>1148</v>
      </c>
      <c r="H119" s="819" t="s">
        <v>1151</v>
      </c>
      <c r="I119" s="847" t="s">
        <v>1149</v>
      </c>
    </row>
    <row r="120" spans="1:9" ht="16.5" thickBot="1" x14ac:dyDescent="0.25">
      <c r="F120" s="766"/>
      <c r="G120" s="759" t="s">
        <v>1190</v>
      </c>
      <c r="H120" s="759">
        <v>21238.3</v>
      </c>
      <c r="I120" s="835">
        <f>H120</f>
        <v>21238.3</v>
      </c>
    </row>
    <row r="121" spans="1:9" ht="15.75" x14ac:dyDescent="0.25">
      <c r="F121" s="766"/>
      <c r="H121" s="842"/>
      <c r="I121" s="842"/>
    </row>
    <row r="122" spans="1:9" x14ac:dyDescent="0.2">
      <c r="F122" s="766"/>
    </row>
    <row r="123" spans="1:9" ht="15.75" thickBot="1" x14ac:dyDescent="0.25">
      <c r="F123" s="766"/>
    </row>
    <row r="124" spans="1:9" ht="12.75" x14ac:dyDescent="0.2">
      <c r="A124" s="967" t="s">
        <v>1179</v>
      </c>
      <c r="B124" s="968"/>
      <c r="C124" s="968"/>
      <c r="D124" s="968"/>
      <c r="E124" s="968"/>
      <c r="F124" s="968"/>
      <c r="G124" s="968"/>
      <c r="H124" s="968"/>
      <c r="I124" s="1026">
        <f>I116+I103+I120</f>
        <v>26919.25</v>
      </c>
    </row>
    <row r="125" spans="1:9" ht="13.5" thickBot="1" x14ac:dyDescent="0.25">
      <c r="A125" s="969"/>
      <c r="B125" s="970"/>
      <c r="C125" s="970"/>
      <c r="D125" s="970"/>
      <c r="E125" s="970"/>
      <c r="F125" s="970"/>
      <c r="G125" s="970"/>
      <c r="H125" s="970"/>
      <c r="I125" s="1027"/>
    </row>
    <row r="126" spans="1:9" x14ac:dyDescent="0.2">
      <c r="F126" s="766"/>
    </row>
    <row r="127" spans="1:9" x14ac:dyDescent="0.2">
      <c r="F127" s="766"/>
    </row>
    <row r="128" spans="1:9" ht="15.75" thickBot="1" x14ac:dyDescent="0.25"/>
    <row r="129" spans="1:9" ht="13.5" thickBot="1" x14ac:dyDescent="0.25">
      <c r="A129" s="984" t="s">
        <v>1133</v>
      </c>
      <c r="B129" s="985"/>
      <c r="C129" s="985"/>
      <c r="D129" s="985"/>
      <c r="E129" s="986"/>
      <c r="F129" s="987"/>
      <c r="G129" s="831" t="s">
        <v>1147</v>
      </c>
      <c r="H129" s="1015" t="s">
        <v>1151</v>
      </c>
      <c r="I129" s="1017" t="s">
        <v>1149</v>
      </c>
    </row>
    <row r="130" spans="1:9" ht="39" thickBot="1" x14ac:dyDescent="0.25">
      <c r="A130" s="756" t="s">
        <v>973</v>
      </c>
      <c r="B130" s="757" t="s">
        <v>1100</v>
      </c>
      <c r="C130" s="756" t="s">
        <v>975</v>
      </c>
      <c r="D130" s="756" t="s">
        <v>976</v>
      </c>
      <c r="E130" s="758" t="s">
        <v>977</v>
      </c>
      <c r="F130" s="759" t="s">
        <v>978</v>
      </c>
      <c r="G130" s="832" t="s">
        <v>1148</v>
      </c>
      <c r="H130" s="1016"/>
      <c r="I130" s="1018"/>
    </row>
    <row r="131" spans="1:9" ht="49.5" x14ac:dyDescent="0.2">
      <c r="A131" s="767" t="s">
        <v>1134</v>
      </c>
      <c r="B131" s="768"/>
      <c r="C131" s="767" t="s">
        <v>1135</v>
      </c>
      <c r="D131" s="767" t="s">
        <v>1136</v>
      </c>
      <c r="E131" s="769" t="s">
        <v>1132</v>
      </c>
      <c r="F131" s="770">
        <v>33.5</v>
      </c>
      <c r="G131" s="1039" t="s">
        <v>1180</v>
      </c>
      <c r="H131" s="1013">
        <v>351.26</v>
      </c>
      <c r="I131" s="1011">
        <f>H131-F133</f>
        <v>217.76</v>
      </c>
    </row>
    <row r="132" spans="1:9" ht="66" x14ac:dyDescent="0.2">
      <c r="A132" s="767" t="s">
        <v>1137</v>
      </c>
      <c r="B132" s="768"/>
      <c r="C132" s="767" t="s">
        <v>1138</v>
      </c>
      <c r="D132" s="767" t="s">
        <v>1136</v>
      </c>
      <c r="E132" s="769" t="s">
        <v>1132</v>
      </c>
      <c r="F132" s="770">
        <v>100</v>
      </c>
      <c r="G132" s="1040"/>
      <c r="H132" s="1014"/>
      <c r="I132" s="1012"/>
    </row>
    <row r="133" spans="1:9" ht="15.75" x14ac:dyDescent="0.25">
      <c r="F133" s="838">
        <f>+F131+F132</f>
        <v>133.5</v>
      </c>
      <c r="G133" s="839"/>
      <c r="H133" s="825">
        <f>SUM(H131)</f>
        <v>351.26</v>
      </c>
      <c r="I133" s="825">
        <f>SUM(I131)</f>
        <v>217.76</v>
      </c>
    </row>
    <row r="134" spans="1:9" ht="15.75" thickBot="1" x14ac:dyDescent="0.25"/>
    <row r="135" spans="1:9" ht="12.75" x14ac:dyDescent="0.2">
      <c r="A135" s="967" t="s">
        <v>1181</v>
      </c>
      <c r="B135" s="968"/>
      <c r="C135" s="968"/>
      <c r="D135" s="968"/>
      <c r="E135" s="968"/>
      <c r="F135" s="968"/>
      <c r="G135" s="968"/>
      <c r="H135" s="968"/>
      <c r="I135" s="1026">
        <f>SUM(I133)</f>
        <v>217.76</v>
      </c>
    </row>
    <row r="136" spans="1:9" ht="13.5" thickBot="1" x14ac:dyDescent="0.25">
      <c r="A136" s="969"/>
      <c r="B136" s="970"/>
      <c r="C136" s="970"/>
      <c r="D136" s="970"/>
      <c r="E136" s="970"/>
      <c r="F136" s="970"/>
      <c r="G136" s="970"/>
      <c r="H136" s="970"/>
      <c r="I136" s="1027"/>
    </row>
    <row r="140" spans="1:9" ht="15.75" thickBot="1" x14ac:dyDescent="0.25"/>
    <row r="141" spans="1:9" ht="20.25" customHeight="1" thickBot="1" x14ac:dyDescent="0.25">
      <c r="A141" s="984" t="s">
        <v>1019</v>
      </c>
      <c r="B141" s="985"/>
      <c r="C141" s="985"/>
      <c r="D141" s="985"/>
      <c r="E141" s="986"/>
      <c r="F141" s="987"/>
      <c r="G141" s="831" t="s">
        <v>1147</v>
      </c>
      <c r="H141" s="1015" t="s">
        <v>1151</v>
      </c>
      <c r="I141" s="1017" t="s">
        <v>1149</v>
      </c>
    </row>
    <row r="142" spans="1:9" ht="39" thickBot="1" x14ac:dyDescent="0.25">
      <c r="A142" s="775" t="s">
        <v>973</v>
      </c>
      <c r="B142" s="778" t="s">
        <v>974</v>
      </c>
      <c r="C142" s="776" t="s">
        <v>975</v>
      </c>
      <c r="D142" s="776" t="s">
        <v>976</v>
      </c>
      <c r="E142" s="755" t="s">
        <v>977</v>
      </c>
      <c r="F142" s="779" t="s">
        <v>978</v>
      </c>
      <c r="G142" s="840" t="s">
        <v>1148</v>
      </c>
      <c r="H142" s="1038"/>
      <c r="I142" s="1018"/>
    </row>
    <row r="143" spans="1:9" ht="51.75" customHeight="1" x14ac:dyDescent="0.2">
      <c r="A143" s="780" t="s">
        <v>1020</v>
      </c>
      <c r="B143" s="781" t="s">
        <v>1021</v>
      </c>
      <c r="C143" s="782" t="s">
        <v>1022</v>
      </c>
      <c r="D143" s="780" t="s">
        <v>1023</v>
      </c>
      <c r="E143" s="782" t="s">
        <v>1024</v>
      </c>
      <c r="F143" s="783">
        <v>313</v>
      </c>
      <c r="G143" s="1012" t="s">
        <v>1186</v>
      </c>
      <c r="H143" s="1012">
        <v>31158.82</v>
      </c>
      <c r="I143" s="1011">
        <f>H143-F162</f>
        <v>25895.72</v>
      </c>
    </row>
    <row r="144" spans="1:9" ht="35.25" customHeight="1" x14ac:dyDescent="0.2">
      <c r="A144" s="772" t="s">
        <v>1025</v>
      </c>
      <c r="B144" s="773" t="s">
        <v>1026</v>
      </c>
      <c r="C144" s="772" t="s">
        <v>1027</v>
      </c>
      <c r="D144" s="772" t="s">
        <v>1023</v>
      </c>
      <c r="E144" s="760" t="s">
        <v>1028</v>
      </c>
      <c r="F144" s="784">
        <v>300</v>
      </c>
      <c r="G144" s="1012"/>
      <c r="H144" s="1012"/>
      <c r="I144" s="1012"/>
    </row>
    <row r="145" spans="1:9" ht="41.25" customHeight="1" x14ac:dyDescent="0.2">
      <c r="A145" s="772" t="s">
        <v>1029</v>
      </c>
      <c r="B145" s="773" t="s">
        <v>1030</v>
      </c>
      <c r="C145" s="772" t="s">
        <v>1031</v>
      </c>
      <c r="D145" s="772" t="s">
        <v>1023</v>
      </c>
      <c r="E145" s="760" t="s">
        <v>1032</v>
      </c>
      <c r="F145" s="784">
        <v>450</v>
      </c>
      <c r="G145" s="1012"/>
      <c r="H145" s="1012"/>
      <c r="I145" s="1012"/>
    </row>
    <row r="146" spans="1:9" ht="42.75" customHeight="1" x14ac:dyDescent="0.2">
      <c r="A146" s="772" t="s">
        <v>1033</v>
      </c>
      <c r="B146" s="773" t="s">
        <v>1030</v>
      </c>
      <c r="C146" s="772" t="s">
        <v>1034</v>
      </c>
      <c r="D146" s="772" t="s">
        <v>1023</v>
      </c>
      <c r="E146" s="760" t="s">
        <v>1035</v>
      </c>
      <c r="F146" s="784">
        <v>112</v>
      </c>
      <c r="G146" s="1012"/>
      <c r="H146" s="1012"/>
      <c r="I146" s="1012"/>
    </row>
    <row r="147" spans="1:9" ht="41.25" customHeight="1" x14ac:dyDescent="0.2">
      <c r="A147" s="785" t="s">
        <v>1036</v>
      </c>
      <c r="B147" s="786" t="s">
        <v>1037</v>
      </c>
      <c r="C147" s="785" t="s">
        <v>1038</v>
      </c>
      <c r="D147" s="772" t="s">
        <v>1023</v>
      </c>
      <c r="E147" s="787" t="s">
        <v>1035</v>
      </c>
      <c r="F147" s="788">
        <v>200</v>
      </c>
      <c r="G147" s="1012"/>
      <c r="H147" s="1012"/>
      <c r="I147" s="1012"/>
    </row>
    <row r="148" spans="1:9" ht="93" customHeight="1" x14ac:dyDescent="0.2">
      <c r="A148" s="772" t="s">
        <v>1039</v>
      </c>
      <c r="B148" s="786" t="s">
        <v>1040</v>
      </c>
      <c r="C148" s="772" t="s">
        <v>1041</v>
      </c>
      <c r="D148" s="772" t="s">
        <v>1023</v>
      </c>
      <c r="E148" s="787" t="s">
        <v>1035</v>
      </c>
      <c r="F148" s="784">
        <v>165</v>
      </c>
      <c r="G148" s="1012"/>
      <c r="H148" s="1012"/>
      <c r="I148" s="1012"/>
    </row>
    <row r="149" spans="1:9" ht="93" customHeight="1" x14ac:dyDescent="0.2">
      <c r="A149" s="772" t="s">
        <v>1042</v>
      </c>
      <c r="B149" s="773" t="s">
        <v>1030</v>
      </c>
      <c r="C149" s="772" t="s">
        <v>1043</v>
      </c>
      <c r="D149" s="772" t="s">
        <v>1023</v>
      </c>
      <c r="E149" s="787" t="s">
        <v>1035</v>
      </c>
      <c r="F149" s="784">
        <v>165</v>
      </c>
      <c r="G149" s="1012"/>
      <c r="H149" s="1012"/>
      <c r="I149" s="1012"/>
    </row>
    <row r="150" spans="1:9" ht="93" customHeight="1" x14ac:dyDescent="0.2">
      <c r="A150" s="772" t="s">
        <v>1044</v>
      </c>
      <c r="B150" s="773" t="s">
        <v>1045</v>
      </c>
      <c r="C150" s="772" t="s">
        <v>1046</v>
      </c>
      <c r="D150" s="772" t="s">
        <v>1023</v>
      </c>
      <c r="E150" s="787" t="s">
        <v>1035</v>
      </c>
      <c r="F150" s="784">
        <v>1000</v>
      </c>
      <c r="G150" s="1012"/>
      <c r="H150" s="1012"/>
      <c r="I150" s="1012"/>
    </row>
    <row r="151" spans="1:9" ht="93" customHeight="1" x14ac:dyDescent="0.2">
      <c r="A151" s="772" t="s">
        <v>1047</v>
      </c>
      <c r="B151" s="773" t="s">
        <v>1048</v>
      </c>
      <c r="C151" s="772" t="s">
        <v>1049</v>
      </c>
      <c r="D151" s="772" t="s">
        <v>1023</v>
      </c>
      <c r="E151" s="789" t="s">
        <v>1032</v>
      </c>
      <c r="F151" s="784">
        <v>27.9</v>
      </c>
      <c r="G151" s="1012"/>
      <c r="H151" s="1012"/>
      <c r="I151" s="1012"/>
    </row>
    <row r="152" spans="1:9" ht="93" customHeight="1" x14ac:dyDescent="0.2">
      <c r="A152" s="772" t="s">
        <v>1044</v>
      </c>
      <c r="B152" s="773" t="s">
        <v>1050</v>
      </c>
      <c r="C152" s="772" t="s">
        <v>1051</v>
      </c>
      <c r="D152" s="772" t="s">
        <v>1023</v>
      </c>
      <c r="E152" s="789" t="s">
        <v>1035</v>
      </c>
      <c r="F152" s="784">
        <v>500</v>
      </c>
      <c r="G152" s="1012"/>
      <c r="H152" s="1012"/>
      <c r="I152" s="1012"/>
    </row>
    <row r="153" spans="1:9" ht="93" customHeight="1" x14ac:dyDescent="0.2">
      <c r="A153" s="772" t="s">
        <v>1044</v>
      </c>
      <c r="B153" s="773" t="s">
        <v>1052</v>
      </c>
      <c r="C153" s="772" t="s">
        <v>1053</v>
      </c>
      <c r="D153" s="772" t="s">
        <v>1023</v>
      </c>
      <c r="E153" s="789" t="s">
        <v>1035</v>
      </c>
      <c r="F153" s="784">
        <v>500</v>
      </c>
      <c r="G153" s="1012"/>
      <c r="H153" s="1012"/>
      <c r="I153" s="1012"/>
    </row>
    <row r="154" spans="1:9" ht="93" customHeight="1" x14ac:dyDescent="0.2">
      <c r="A154" s="772" t="s">
        <v>1054</v>
      </c>
      <c r="B154" s="773" t="s">
        <v>1055</v>
      </c>
      <c r="C154" s="772" t="s">
        <v>1056</v>
      </c>
      <c r="D154" s="772" t="s">
        <v>1023</v>
      </c>
      <c r="E154" s="789" t="s">
        <v>1028</v>
      </c>
      <c r="F154" s="784">
        <v>124</v>
      </c>
      <c r="G154" s="1012"/>
      <c r="H154" s="1012"/>
      <c r="I154" s="1012"/>
    </row>
    <row r="155" spans="1:9" ht="93" customHeight="1" x14ac:dyDescent="0.2">
      <c r="A155" s="772" t="s">
        <v>1057</v>
      </c>
      <c r="B155" s="773" t="s">
        <v>1058</v>
      </c>
      <c r="C155" s="772" t="s">
        <v>1059</v>
      </c>
      <c r="D155" s="772" t="s">
        <v>1023</v>
      </c>
      <c r="E155" s="789" t="s">
        <v>1032</v>
      </c>
      <c r="F155" s="784">
        <v>365</v>
      </c>
      <c r="G155" s="1012"/>
      <c r="H155" s="1012"/>
      <c r="I155" s="1012"/>
    </row>
    <row r="156" spans="1:9" ht="93" customHeight="1" x14ac:dyDescent="0.2">
      <c r="A156" s="772" t="s">
        <v>1060</v>
      </c>
      <c r="B156" s="773" t="s">
        <v>1061</v>
      </c>
      <c r="C156" s="772" t="s">
        <v>1062</v>
      </c>
      <c r="D156" s="772" t="s">
        <v>1023</v>
      </c>
      <c r="E156" s="789" t="s">
        <v>1028</v>
      </c>
      <c r="F156" s="784">
        <v>91</v>
      </c>
      <c r="G156" s="1012"/>
      <c r="H156" s="1012"/>
      <c r="I156" s="1012"/>
    </row>
    <row r="157" spans="1:9" ht="93" customHeight="1" x14ac:dyDescent="0.2">
      <c r="A157" s="772" t="s">
        <v>1063</v>
      </c>
      <c r="B157" s="773" t="s">
        <v>1064</v>
      </c>
      <c r="C157" s="772" t="s">
        <v>1065</v>
      </c>
      <c r="D157" s="772" t="s">
        <v>1023</v>
      </c>
      <c r="E157" s="789" t="s">
        <v>1032</v>
      </c>
      <c r="F157" s="784">
        <v>310.5</v>
      </c>
      <c r="G157" s="1012"/>
      <c r="H157" s="1012"/>
      <c r="I157" s="1012"/>
    </row>
    <row r="158" spans="1:9" ht="93" customHeight="1" x14ac:dyDescent="0.2">
      <c r="A158" s="772" t="s">
        <v>1054</v>
      </c>
      <c r="B158" s="773" t="s">
        <v>1066</v>
      </c>
      <c r="C158" s="772" t="s">
        <v>1067</v>
      </c>
      <c r="D158" s="772" t="s">
        <v>1023</v>
      </c>
      <c r="E158" s="789" t="s">
        <v>1032</v>
      </c>
      <c r="F158" s="784">
        <v>80.25</v>
      </c>
      <c r="G158" s="1012"/>
      <c r="H158" s="1012"/>
      <c r="I158" s="1012"/>
    </row>
    <row r="159" spans="1:9" ht="93" customHeight="1" x14ac:dyDescent="0.2">
      <c r="A159" s="772" t="s">
        <v>1068</v>
      </c>
      <c r="B159" s="773" t="s">
        <v>1069</v>
      </c>
      <c r="C159" s="772" t="s">
        <v>1070</v>
      </c>
      <c r="D159" s="772" t="s">
        <v>1023</v>
      </c>
      <c r="E159" s="789" t="s">
        <v>1032</v>
      </c>
      <c r="F159" s="784">
        <v>48.2</v>
      </c>
      <c r="G159" s="1012"/>
      <c r="H159" s="1012"/>
      <c r="I159" s="1012"/>
    </row>
    <row r="160" spans="1:9" ht="93" customHeight="1" x14ac:dyDescent="0.2">
      <c r="A160" s="772" t="s">
        <v>1063</v>
      </c>
      <c r="B160" s="773" t="s">
        <v>1071</v>
      </c>
      <c r="C160" s="772" t="s">
        <v>1072</v>
      </c>
      <c r="D160" s="772" t="s">
        <v>1023</v>
      </c>
      <c r="E160" s="789" t="s">
        <v>1032</v>
      </c>
      <c r="F160" s="784">
        <v>11.25</v>
      </c>
      <c r="G160" s="1012"/>
      <c r="H160" s="1012"/>
      <c r="I160" s="1012"/>
    </row>
    <row r="161" spans="1:9" ht="93" customHeight="1" x14ac:dyDescent="0.2">
      <c r="A161" s="772" t="s">
        <v>1073</v>
      </c>
      <c r="B161" s="773" t="s">
        <v>1074</v>
      </c>
      <c r="C161" s="772" t="s">
        <v>1075</v>
      </c>
      <c r="D161" s="772" t="s">
        <v>1023</v>
      </c>
      <c r="E161" s="789" t="s">
        <v>1035</v>
      </c>
      <c r="F161" s="784">
        <v>500</v>
      </c>
      <c r="G161" s="1012"/>
      <c r="H161" s="1012"/>
      <c r="I161" s="1012"/>
    </row>
    <row r="162" spans="1:9" ht="18" x14ac:dyDescent="0.25">
      <c r="F162" s="841">
        <f>SUM(F143:F161)</f>
        <v>5263.0999999999995</v>
      </c>
      <c r="G162" s="841"/>
      <c r="H162" s="841">
        <f>SUM(H143)</f>
        <v>31158.82</v>
      </c>
      <c r="I162" s="852">
        <f>SUM(I143)</f>
        <v>25895.72</v>
      </c>
    </row>
    <row r="163" spans="1:9" x14ac:dyDescent="0.2">
      <c r="F163" s="766"/>
    </row>
    <row r="165" spans="1:9" ht="15.75" thickBot="1" x14ac:dyDescent="0.25"/>
    <row r="166" spans="1:9" ht="24.75" customHeight="1" thickBot="1" x14ac:dyDescent="0.25">
      <c r="A166" s="984" t="s">
        <v>1187</v>
      </c>
      <c r="B166" s="985"/>
      <c r="C166" s="985"/>
      <c r="D166" s="985"/>
      <c r="E166" s="986"/>
      <c r="F166" s="987"/>
      <c r="G166" s="819" t="s">
        <v>1148</v>
      </c>
      <c r="H166" s="819" t="s">
        <v>1151</v>
      </c>
      <c r="I166" s="847" t="s">
        <v>1149</v>
      </c>
    </row>
    <row r="167" spans="1:9" ht="27.75" customHeight="1" thickBot="1" x14ac:dyDescent="0.25">
      <c r="F167" s="766"/>
      <c r="G167" s="759" t="s">
        <v>1188</v>
      </c>
      <c r="H167" s="759">
        <v>14096.26</v>
      </c>
      <c r="I167" s="835">
        <f>H167</f>
        <v>14096.26</v>
      </c>
    </row>
    <row r="168" spans="1:9" ht="34.5" customHeight="1" thickBot="1" x14ac:dyDescent="0.25"/>
    <row r="169" spans="1:9" ht="32.25" customHeight="1" thickBot="1" x14ac:dyDescent="0.25">
      <c r="A169" s="984" t="s">
        <v>1191</v>
      </c>
      <c r="B169" s="985"/>
      <c r="C169" s="985"/>
      <c r="D169" s="985"/>
      <c r="E169" s="986"/>
      <c r="F169" s="987"/>
      <c r="G169" s="819" t="s">
        <v>1148</v>
      </c>
      <c r="H169" s="819" t="s">
        <v>1151</v>
      </c>
      <c r="I169" s="847" t="s">
        <v>1149</v>
      </c>
    </row>
    <row r="170" spans="1:9" ht="24" customHeight="1" thickBot="1" x14ac:dyDescent="0.25">
      <c r="F170" s="766"/>
      <c r="G170" s="843">
        <v>5400096087</v>
      </c>
      <c r="H170" s="759">
        <v>34.11</v>
      </c>
      <c r="I170" s="835">
        <f>H170</f>
        <v>34.11</v>
      </c>
    </row>
    <row r="171" spans="1:9" ht="21.75" customHeight="1" thickBot="1" x14ac:dyDescent="0.25"/>
    <row r="172" spans="1:9" ht="52.5" customHeight="1" thickBot="1" x14ac:dyDescent="0.25">
      <c r="A172" s="984" t="s">
        <v>1192</v>
      </c>
      <c r="B172" s="985"/>
      <c r="C172" s="985"/>
      <c r="D172" s="985"/>
      <c r="E172" s="986"/>
      <c r="F172" s="987"/>
      <c r="G172" s="819" t="s">
        <v>1148</v>
      </c>
      <c r="H172" s="819" t="s">
        <v>1151</v>
      </c>
      <c r="I172" s="847" t="s">
        <v>1149</v>
      </c>
    </row>
    <row r="173" spans="1:9" ht="16.5" thickBot="1" x14ac:dyDescent="0.25">
      <c r="F173" s="766"/>
      <c r="G173" s="843" t="s">
        <v>1193</v>
      </c>
      <c r="H173" s="759">
        <v>2193.33</v>
      </c>
      <c r="I173" s="835">
        <f>H173</f>
        <v>2193.33</v>
      </c>
    </row>
    <row r="174" spans="1:9" x14ac:dyDescent="0.2">
      <c r="F174" s="766"/>
      <c r="I174" s="838"/>
    </row>
    <row r="175" spans="1:9" ht="15.75" thickBot="1" x14ac:dyDescent="0.25">
      <c r="F175" s="766"/>
      <c r="I175" s="838"/>
    </row>
    <row r="176" spans="1:9" ht="12.75" x14ac:dyDescent="0.2">
      <c r="A176" s="967" t="s">
        <v>1194</v>
      </c>
      <c r="B176" s="968"/>
      <c r="C176" s="968"/>
      <c r="D176" s="968"/>
      <c r="E176" s="968"/>
      <c r="F176" s="968"/>
      <c r="G176" s="968"/>
      <c r="H176" s="968"/>
      <c r="I176" s="1036">
        <f>I162+I167+I170+I173</f>
        <v>42219.420000000006</v>
      </c>
    </row>
    <row r="177" spans="1:9" ht="13.5" thickBot="1" x14ac:dyDescent="0.25">
      <c r="A177" s="969"/>
      <c r="B177" s="970"/>
      <c r="C177" s="970"/>
      <c r="D177" s="970"/>
      <c r="E177" s="970"/>
      <c r="F177" s="970"/>
      <c r="G177" s="970"/>
      <c r="H177" s="970"/>
      <c r="I177" s="1037"/>
    </row>
    <row r="178" spans="1:9" x14ac:dyDescent="0.2">
      <c r="F178" s="766"/>
      <c r="I178" s="838"/>
    </row>
    <row r="179" spans="1:9" ht="15.75" thickBot="1" x14ac:dyDescent="0.25">
      <c r="F179" s="766"/>
      <c r="I179" s="838"/>
    </row>
    <row r="180" spans="1:9" ht="32.25" thickBot="1" x14ac:dyDescent="0.25">
      <c r="A180" s="984" t="s">
        <v>1195</v>
      </c>
      <c r="B180" s="985"/>
      <c r="C180" s="985"/>
      <c r="D180" s="985"/>
      <c r="E180" s="986"/>
      <c r="F180" s="987"/>
      <c r="G180" s="819" t="s">
        <v>1148</v>
      </c>
      <c r="H180" s="819" t="s">
        <v>1151</v>
      </c>
      <c r="I180" s="847" t="s">
        <v>1149</v>
      </c>
    </row>
    <row r="181" spans="1:9" ht="16.5" thickBot="1" x14ac:dyDescent="0.25">
      <c r="F181" s="766"/>
      <c r="G181" s="843" t="s">
        <v>1196</v>
      </c>
      <c r="H181" s="759">
        <v>1362.52</v>
      </c>
      <c r="I181" s="835">
        <f>H181</f>
        <v>1362.52</v>
      </c>
    </row>
    <row r="182" spans="1:9" x14ac:dyDescent="0.2">
      <c r="F182" s="766"/>
      <c r="I182" s="838"/>
    </row>
    <row r="183" spans="1:9" ht="15.75" thickBot="1" x14ac:dyDescent="0.25">
      <c r="F183" s="766"/>
      <c r="I183" s="838"/>
    </row>
    <row r="184" spans="1:9" ht="12.75" x14ac:dyDescent="0.2">
      <c r="A184" s="967" t="s">
        <v>1199</v>
      </c>
      <c r="B184" s="968"/>
      <c r="C184" s="968"/>
      <c r="D184" s="968"/>
      <c r="E184" s="968"/>
      <c r="F184" s="968"/>
      <c r="G184" s="968"/>
      <c r="H184" s="968"/>
      <c r="I184" s="971">
        <f>I181</f>
        <v>1362.52</v>
      </c>
    </row>
    <row r="185" spans="1:9" ht="13.5" thickBot="1" x14ac:dyDescent="0.25">
      <c r="A185" s="969"/>
      <c r="B185" s="970"/>
      <c r="C185" s="970"/>
      <c r="D185" s="970"/>
      <c r="E185" s="970"/>
      <c r="F185" s="970"/>
      <c r="G185" s="970"/>
      <c r="H185" s="970"/>
      <c r="I185" s="972"/>
    </row>
    <row r="186" spans="1:9" x14ac:dyDescent="0.2">
      <c r="F186" s="766"/>
      <c r="I186" s="838"/>
    </row>
    <row r="187" spans="1:9" ht="15.75" thickBot="1" x14ac:dyDescent="0.25">
      <c r="F187" s="766"/>
      <c r="I187" s="838"/>
    </row>
    <row r="188" spans="1:9" ht="32.25" thickBot="1" x14ac:dyDescent="0.25">
      <c r="A188" s="984" t="s">
        <v>1197</v>
      </c>
      <c r="B188" s="985"/>
      <c r="C188" s="985"/>
      <c r="D188" s="985"/>
      <c r="E188" s="986"/>
      <c r="F188" s="987"/>
      <c r="G188" s="819" t="s">
        <v>1148</v>
      </c>
      <c r="H188" s="819" t="s">
        <v>1151</v>
      </c>
      <c r="I188" s="847" t="s">
        <v>1149</v>
      </c>
    </row>
    <row r="189" spans="1:9" ht="16.5" thickBot="1" x14ac:dyDescent="0.25">
      <c r="F189" s="766"/>
      <c r="G189" s="843" t="s">
        <v>1198</v>
      </c>
      <c r="H189" s="759">
        <v>1265.92</v>
      </c>
      <c r="I189" s="835">
        <f>H189</f>
        <v>1265.92</v>
      </c>
    </row>
    <row r="190" spans="1:9" x14ac:dyDescent="0.2">
      <c r="F190" s="766"/>
      <c r="I190" s="838"/>
    </row>
    <row r="191" spans="1:9" x14ac:dyDescent="0.2">
      <c r="F191" s="766"/>
      <c r="I191" s="838"/>
    </row>
    <row r="192" spans="1:9" ht="15.75" thickBot="1" x14ac:dyDescent="0.25">
      <c r="F192" s="766"/>
      <c r="I192" s="838"/>
    </row>
    <row r="193" spans="1:9" ht="12.75" x14ac:dyDescent="0.2">
      <c r="A193" s="967" t="s">
        <v>1201</v>
      </c>
      <c r="B193" s="968"/>
      <c r="C193" s="968"/>
      <c r="D193" s="968"/>
      <c r="E193" s="968"/>
      <c r="F193" s="968"/>
      <c r="G193" s="968"/>
      <c r="H193" s="968"/>
      <c r="I193" s="971">
        <f>I189</f>
        <v>1265.92</v>
      </c>
    </row>
    <row r="194" spans="1:9" ht="13.5" thickBot="1" x14ac:dyDescent="0.25">
      <c r="A194" s="969"/>
      <c r="B194" s="970"/>
      <c r="C194" s="970"/>
      <c r="D194" s="970"/>
      <c r="E194" s="970"/>
      <c r="F194" s="970"/>
      <c r="G194" s="970"/>
      <c r="H194" s="970"/>
      <c r="I194" s="972"/>
    </row>
    <row r="195" spans="1:9" x14ac:dyDescent="0.2">
      <c r="F195" s="766"/>
      <c r="I195" s="838"/>
    </row>
    <row r="196" spans="1:9" ht="15.75" thickBot="1" x14ac:dyDescent="0.25">
      <c r="F196" s="766"/>
      <c r="I196" s="838"/>
    </row>
    <row r="197" spans="1:9" ht="33" customHeight="1" thickBot="1" x14ac:dyDescent="0.5">
      <c r="A197" s="973" t="s">
        <v>1200</v>
      </c>
      <c r="B197" s="974"/>
      <c r="C197" s="974"/>
      <c r="D197" s="974"/>
      <c r="E197" s="974"/>
      <c r="F197" s="974"/>
      <c r="G197" s="974"/>
      <c r="H197" s="975"/>
      <c r="I197" s="844">
        <f>SUM(I44+I92+I124+I135+I176+I184+I193)</f>
        <v>226102.69010000004</v>
      </c>
    </row>
    <row r="198" spans="1:9" x14ac:dyDescent="0.2">
      <c r="F198" s="766"/>
    </row>
    <row r="200" spans="1:9" x14ac:dyDescent="0.2">
      <c r="F200" s="766"/>
    </row>
  </sheetData>
  <mergeCells count="81">
    <mergeCell ref="A169:F169"/>
    <mergeCell ref="A119:F119"/>
    <mergeCell ref="A172:F172"/>
    <mergeCell ref="A176:H177"/>
    <mergeCell ref="I176:I177"/>
    <mergeCell ref="G143:G161"/>
    <mergeCell ref="H143:H161"/>
    <mergeCell ref="I143:I161"/>
    <mergeCell ref="A166:F166"/>
    <mergeCell ref="A124:H125"/>
    <mergeCell ref="I124:I125"/>
    <mergeCell ref="A135:H136"/>
    <mergeCell ref="I135:I136"/>
    <mergeCell ref="H141:H142"/>
    <mergeCell ref="I141:I142"/>
    <mergeCell ref="G131:G132"/>
    <mergeCell ref="G99:G102"/>
    <mergeCell ref="H99:H102"/>
    <mergeCell ref="I99:I102"/>
    <mergeCell ref="G108:G115"/>
    <mergeCell ref="H108:H115"/>
    <mergeCell ref="I108:I115"/>
    <mergeCell ref="H131:H132"/>
    <mergeCell ref="I131:I132"/>
    <mergeCell ref="H57:H58"/>
    <mergeCell ref="I57:I58"/>
    <mergeCell ref="G59:G60"/>
    <mergeCell ref="H59:H60"/>
    <mergeCell ref="I59:I60"/>
    <mergeCell ref="I64:I65"/>
    <mergeCell ref="G66:G72"/>
    <mergeCell ref="H66:H72"/>
    <mergeCell ref="I66:I72"/>
    <mergeCell ref="H129:H130"/>
    <mergeCell ref="I129:I130"/>
    <mergeCell ref="A92:H93"/>
    <mergeCell ref="H64:H65"/>
    <mergeCell ref="I92:I93"/>
    <mergeCell ref="H49:H50"/>
    <mergeCell ref="I49:I50"/>
    <mergeCell ref="G51:G53"/>
    <mergeCell ref="H51:H53"/>
    <mergeCell ref="I51:I53"/>
    <mergeCell ref="A57:F57"/>
    <mergeCell ref="A64:F64"/>
    <mergeCell ref="A76:F76"/>
    <mergeCell ref="A129:F129"/>
    <mergeCell ref="A5:F5"/>
    <mergeCell ref="A14:F14"/>
    <mergeCell ref="A49:F49"/>
    <mergeCell ref="A82:F82"/>
    <mergeCell ref="A85:F85"/>
    <mergeCell ref="A88:F88"/>
    <mergeCell ref="A1:I2"/>
    <mergeCell ref="A32:F32"/>
    <mergeCell ref="A35:F35"/>
    <mergeCell ref="A20:F20"/>
    <mergeCell ref="A26:F26"/>
    <mergeCell ref="G15:G17"/>
    <mergeCell ref="H15:H17"/>
    <mergeCell ref="G7:G11"/>
    <mergeCell ref="I7:I11"/>
    <mergeCell ref="I5:I6"/>
    <mergeCell ref="H5:H6"/>
    <mergeCell ref="H7:H11"/>
    <mergeCell ref="A193:H194"/>
    <mergeCell ref="I193:I194"/>
    <mergeCell ref="A197:H197"/>
    <mergeCell ref="A3:I4"/>
    <mergeCell ref="I44:I45"/>
    <mergeCell ref="A41:F41"/>
    <mergeCell ref="A44:H45"/>
    <mergeCell ref="A180:F180"/>
    <mergeCell ref="A188:F188"/>
    <mergeCell ref="A184:H185"/>
    <mergeCell ref="I184:I185"/>
    <mergeCell ref="A38:F38"/>
    <mergeCell ref="I15:I17"/>
    <mergeCell ref="A97:F97"/>
    <mergeCell ref="A141:F141"/>
    <mergeCell ref="A106:F106"/>
  </mergeCells>
  <pageMargins left="0.70866141732283472" right="0.70866141732283472" top="0.74803149606299213" bottom="0.74803149606299213" header="0.31496062992125984" footer="0.31496062992125984"/>
  <pageSetup scale="37" orientation="portrait" r:id="rId1"/>
  <rowBreaks count="4" manualBreakCount="4">
    <brk id="46" max="16383" man="1"/>
    <brk id="103" max="16383" man="1"/>
    <brk id="151" max="16383" man="1"/>
    <brk id="199"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tabColor theme="8"/>
  </sheetPr>
  <dimension ref="A1:AH91"/>
  <sheetViews>
    <sheetView view="pageBreakPreview" topLeftCell="A79" zoomScale="78" zoomScaleNormal="100" zoomScaleSheetLayoutView="78" workbookViewId="0">
      <pane ySplit="3375" activePane="bottomLeft"/>
      <selection activeCell="H87" sqref="H87"/>
      <selection pane="bottomLeft" activeCell="G13" sqref="G13"/>
    </sheetView>
  </sheetViews>
  <sheetFormatPr baseColWidth="10" defaultColWidth="11.42578125" defaultRowHeight="12.75" x14ac:dyDescent="0.2"/>
  <cols>
    <col min="1" max="1" width="4.5703125" style="30" customWidth="1"/>
    <col min="2" max="2" width="4.42578125" style="30" customWidth="1"/>
    <col min="3" max="4" width="4.5703125" style="30" customWidth="1"/>
    <col min="5" max="5" width="6.140625" style="30" customWidth="1"/>
    <col min="6" max="6" width="8.42578125" style="30" customWidth="1"/>
    <col min="7" max="7" width="45.5703125" style="24" customWidth="1"/>
    <col min="8" max="8" width="32.42578125" style="278" customWidth="1"/>
    <col min="9" max="9" width="27.5703125" style="24" customWidth="1"/>
    <col min="10" max="10" width="23.42578125" style="25" customWidth="1"/>
    <col min="11" max="15" width="20.7109375" style="25" customWidth="1"/>
    <col min="16" max="18" width="24.28515625" style="25" customWidth="1"/>
    <col min="19" max="19" width="17.28515625" style="25" customWidth="1"/>
    <col min="20" max="20" width="20" style="25" customWidth="1"/>
    <col min="21" max="21" width="16.5703125" style="25" customWidth="1"/>
    <col min="22" max="22" width="16.140625" style="25" customWidth="1"/>
    <col min="23" max="23" width="15.85546875" style="25" customWidth="1"/>
    <col min="24" max="25" width="15.7109375" style="25" customWidth="1"/>
    <col min="26" max="26" width="13.42578125" style="25" customWidth="1"/>
    <col min="27" max="27" width="14.85546875" style="25" customWidth="1"/>
    <col min="28" max="28" width="13.85546875" style="25" customWidth="1"/>
    <col min="29" max="29" width="16.7109375" style="25" customWidth="1"/>
    <col min="30" max="32" width="16.28515625" style="25" customWidth="1"/>
    <col min="33" max="33" width="19.140625" style="736" customWidth="1"/>
    <col min="34" max="34" width="20.5703125" style="25" customWidth="1"/>
    <col min="35" max="16384" width="11.42578125" style="25"/>
  </cols>
  <sheetData>
    <row r="1" spans="1:34" ht="20.25" x14ac:dyDescent="0.2">
      <c r="A1" s="1046"/>
      <c r="B1" s="1046"/>
      <c r="C1" s="1046"/>
      <c r="D1" s="1046"/>
      <c r="E1" s="1046"/>
      <c r="F1" s="1046"/>
      <c r="G1" s="1046"/>
      <c r="H1" s="1046"/>
      <c r="I1" s="1047"/>
      <c r="J1" s="1048"/>
      <c r="K1" s="1048"/>
      <c r="L1" s="724"/>
      <c r="M1" s="724"/>
      <c r="N1" s="724"/>
      <c r="O1" s="724"/>
    </row>
    <row r="2" spans="1:34" ht="18" x14ac:dyDescent="0.2">
      <c r="A2" s="1045" t="s">
        <v>329</v>
      </c>
      <c r="B2" s="1045"/>
      <c r="C2" s="1045"/>
      <c r="D2" s="1045"/>
      <c r="E2" s="1045"/>
      <c r="F2" s="1045"/>
      <c r="G2" s="1045"/>
      <c r="H2" s="1045"/>
      <c r="I2" s="1045"/>
      <c r="J2" s="96"/>
      <c r="K2" s="96"/>
      <c r="L2" s="96"/>
      <c r="M2" s="96"/>
      <c r="N2" s="96"/>
      <c r="O2" s="96"/>
    </row>
    <row r="3" spans="1:34" ht="15.75" x14ac:dyDescent="0.2">
      <c r="A3" s="939" t="s">
        <v>154</v>
      </c>
      <c r="B3" s="1049"/>
      <c r="C3" s="1049"/>
      <c r="D3" s="1049"/>
      <c r="E3" s="1049"/>
      <c r="F3" s="1049"/>
      <c r="G3" s="1049"/>
      <c r="H3" s="1049"/>
      <c r="K3" s="38"/>
      <c r="L3" s="38"/>
      <c r="M3" s="38"/>
      <c r="N3" s="38"/>
      <c r="O3" s="38"/>
      <c r="P3" s="38"/>
      <c r="Q3" s="38"/>
      <c r="R3" s="38"/>
      <c r="S3" s="38"/>
    </row>
    <row r="4" spans="1:34" ht="15.75" x14ac:dyDescent="0.2">
      <c r="A4" s="939" t="s">
        <v>856</v>
      </c>
      <c r="B4" s="1049"/>
      <c r="C4" s="1049"/>
      <c r="D4" s="1049"/>
      <c r="E4" s="1049"/>
      <c r="F4" s="1049"/>
      <c r="G4" s="1049"/>
      <c r="H4" s="1049"/>
      <c r="K4" s="38"/>
      <c r="L4" s="38"/>
      <c r="M4" s="38"/>
      <c r="N4" s="38"/>
      <c r="O4" s="38"/>
      <c r="P4" s="38"/>
      <c r="Q4" s="38"/>
      <c r="R4" s="38"/>
      <c r="S4" s="38"/>
    </row>
    <row r="5" spans="1:34" ht="15" x14ac:dyDescent="0.2">
      <c r="A5" s="1050" t="s">
        <v>7</v>
      </c>
      <c r="B5" s="1051"/>
      <c r="C5" s="1051"/>
      <c r="D5" s="1051"/>
      <c r="E5" s="1051"/>
      <c r="F5" s="1051"/>
      <c r="G5" s="1051"/>
      <c r="H5" s="1051"/>
      <c r="K5" s="38"/>
      <c r="L5" s="38"/>
      <c r="M5" s="38"/>
      <c r="N5" s="38"/>
      <c r="O5" s="38"/>
      <c r="S5" s="38"/>
    </row>
    <row r="6" spans="1:34" ht="15.75" x14ac:dyDescent="0.2">
      <c r="A6" s="1056" t="s">
        <v>9</v>
      </c>
      <c r="B6" s="1056"/>
      <c r="C6" s="1056"/>
      <c r="D6" s="1056"/>
      <c r="E6" s="1056"/>
      <c r="F6" s="1056"/>
      <c r="G6" s="1056"/>
      <c r="H6" s="1056"/>
      <c r="K6" s="38"/>
      <c r="L6" s="38"/>
      <c r="M6" s="38"/>
      <c r="N6" s="38"/>
      <c r="O6" s="38"/>
      <c r="S6" s="38"/>
    </row>
    <row r="7" spans="1:34" ht="16.5" thickBot="1" x14ac:dyDescent="0.25">
      <c r="A7" s="940" t="s">
        <v>48</v>
      </c>
      <c r="B7" s="940"/>
      <c r="C7" s="940"/>
      <c r="D7" s="940"/>
      <c r="E7" s="940"/>
      <c r="F7" s="940"/>
      <c r="G7" s="940"/>
      <c r="H7" s="940"/>
      <c r="K7" s="38"/>
      <c r="L7" s="38"/>
      <c r="M7" s="38"/>
      <c r="N7" s="38"/>
      <c r="O7" s="38"/>
      <c r="P7" s="38"/>
      <c r="Q7" s="38"/>
      <c r="R7" s="38"/>
      <c r="S7" s="38"/>
    </row>
    <row r="8" spans="1:34" ht="13.5" customHeight="1" thickBot="1" x14ac:dyDescent="0.25">
      <c r="A8" s="1052" t="s">
        <v>0</v>
      </c>
      <c r="B8" s="1053"/>
      <c r="C8" s="1053"/>
      <c r="D8" s="1053"/>
      <c r="E8" s="1053"/>
      <c r="F8" s="1053"/>
      <c r="G8" s="1054" t="s">
        <v>130</v>
      </c>
      <c r="H8" s="1043" t="s">
        <v>131</v>
      </c>
      <c r="I8" s="1041" t="s">
        <v>915</v>
      </c>
      <c r="J8" s="1041" t="s">
        <v>916</v>
      </c>
      <c r="K8" s="1041" t="s">
        <v>920</v>
      </c>
      <c r="L8" s="1041" t="s">
        <v>921</v>
      </c>
      <c r="M8" s="1041" t="s">
        <v>922</v>
      </c>
      <c r="N8" s="1041" t="s">
        <v>923</v>
      </c>
      <c r="O8" s="1041" t="s">
        <v>924</v>
      </c>
      <c r="P8" s="1041" t="s">
        <v>933</v>
      </c>
      <c r="Q8" s="1041" t="s">
        <v>963</v>
      </c>
      <c r="R8" s="1041" t="s">
        <v>1202</v>
      </c>
      <c r="S8" s="1043" t="s">
        <v>934</v>
      </c>
      <c r="T8" s="1043" t="s">
        <v>935</v>
      </c>
      <c r="U8" s="1041" t="s">
        <v>938</v>
      </c>
      <c r="V8" s="1041" t="s">
        <v>939</v>
      </c>
      <c r="W8" s="1041" t="s">
        <v>940</v>
      </c>
      <c r="X8" s="1041" t="s">
        <v>941</v>
      </c>
      <c r="Y8" s="1041" t="s">
        <v>942</v>
      </c>
      <c r="Z8" s="1041" t="s">
        <v>947</v>
      </c>
      <c r="AA8" s="1041" t="s">
        <v>948</v>
      </c>
      <c r="AB8" s="1041" t="s">
        <v>951</v>
      </c>
      <c r="AC8" s="1041" t="s">
        <v>954</v>
      </c>
      <c r="AD8" s="1041" t="s">
        <v>959</v>
      </c>
      <c r="AE8" s="1041" t="s">
        <v>1213</v>
      </c>
      <c r="AF8" s="864"/>
      <c r="AG8" s="1057" t="s">
        <v>1212</v>
      </c>
      <c r="AH8" s="1057" t="s">
        <v>1221</v>
      </c>
    </row>
    <row r="9" spans="1:34" ht="96.75" customHeight="1" thickBot="1" x14ac:dyDescent="0.25">
      <c r="A9" s="230" t="s">
        <v>124</v>
      </c>
      <c r="B9" s="231" t="s">
        <v>133</v>
      </c>
      <c r="C9" s="231" t="s">
        <v>104</v>
      </c>
      <c r="D9" s="231" t="s">
        <v>126</v>
      </c>
      <c r="E9" s="232" t="s">
        <v>132</v>
      </c>
      <c r="F9" s="233" t="s">
        <v>89</v>
      </c>
      <c r="G9" s="1055"/>
      <c r="H9" s="1044"/>
      <c r="I9" s="1042"/>
      <c r="J9" s="1042"/>
      <c r="K9" s="1042"/>
      <c r="L9" s="1042"/>
      <c r="M9" s="1042"/>
      <c r="N9" s="1042"/>
      <c r="O9" s="1042"/>
      <c r="P9" s="1042"/>
      <c r="Q9" s="1042" t="s">
        <v>963</v>
      </c>
      <c r="R9" s="1042"/>
      <c r="S9" s="1044"/>
      <c r="T9" s="1044"/>
      <c r="U9" s="1042"/>
      <c r="V9" s="1042"/>
      <c r="W9" s="1042"/>
      <c r="X9" s="1042"/>
      <c r="Y9" s="1042"/>
      <c r="Z9" s="1042"/>
      <c r="AA9" s="1042"/>
      <c r="AB9" s="1042"/>
      <c r="AC9" s="1042"/>
      <c r="AD9" s="1042"/>
      <c r="AE9" s="1042"/>
      <c r="AF9" s="865"/>
      <c r="AG9" s="1058"/>
      <c r="AH9" s="1058"/>
    </row>
    <row r="10" spans="1:34" s="589" customFormat="1" ht="15.75" customHeight="1" x14ac:dyDescent="0.2">
      <c r="A10" s="585">
        <v>1</v>
      </c>
      <c r="B10" s="586" t="s">
        <v>44</v>
      </c>
      <c r="C10" s="586" t="s">
        <v>44</v>
      </c>
      <c r="D10" s="586" t="s">
        <v>45</v>
      </c>
      <c r="E10" s="587" t="s">
        <v>49</v>
      </c>
      <c r="F10" s="588">
        <v>51101</v>
      </c>
      <c r="G10" s="584" t="s">
        <v>31</v>
      </c>
      <c r="H10" s="576">
        <f>'ok-Planillas 2023'!E89</f>
        <v>223312.5</v>
      </c>
      <c r="I10" s="576"/>
      <c r="J10" s="576"/>
      <c r="K10" s="576"/>
      <c r="L10" s="576"/>
      <c r="M10" s="576"/>
      <c r="N10" s="576"/>
      <c r="O10" s="576"/>
      <c r="P10" s="576"/>
      <c r="Q10" s="576"/>
      <c r="R10" s="576"/>
      <c r="S10" s="576">
        <f t="shared" ref="S10:S24" si="0">SUM(I10:P10)</f>
        <v>0</v>
      </c>
      <c r="T10" s="737"/>
      <c r="U10" s="576"/>
      <c r="V10" s="576"/>
      <c r="W10" s="576"/>
      <c r="X10" s="576"/>
      <c r="Y10" s="576"/>
      <c r="Z10" s="576"/>
      <c r="AA10" s="576"/>
      <c r="AB10" s="576"/>
      <c r="AC10" s="576"/>
      <c r="AD10" s="576"/>
      <c r="AE10" s="576"/>
      <c r="AF10" s="576"/>
      <c r="AG10" s="737"/>
      <c r="AH10" s="737"/>
    </row>
    <row r="11" spans="1:34" s="589" customFormat="1" ht="15.75" customHeight="1" x14ac:dyDescent="0.2">
      <c r="A11" s="585">
        <v>1</v>
      </c>
      <c r="B11" s="586" t="s">
        <v>44</v>
      </c>
      <c r="C11" s="586" t="s">
        <v>44</v>
      </c>
      <c r="D11" s="586" t="s">
        <v>45</v>
      </c>
      <c r="E11" s="587" t="s">
        <v>49</v>
      </c>
      <c r="F11" s="588">
        <v>51103</v>
      </c>
      <c r="G11" s="584" t="s">
        <v>32</v>
      </c>
      <c r="H11" s="576">
        <f>'ok-Planillas 2023'!D86</f>
        <v>44662.5</v>
      </c>
      <c r="I11" s="576"/>
      <c r="J11" s="576"/>
      <c r="K11" s="576"/>
      <c r="L11" s="576"/>
      <c r="M11" s="576"/>
      <c r="N11" s="576"/>
      <c r="O11" s="576"/>
      <c r="P11" s="576"/>
      <c r="Q11" s="576"/>
      <c r="R11" s="576"/>
      <c r="S11" s="576">
        <f t="shared" si="0"/>
        <v>0</v>
      </c>
      <c r="T11" s="737"/>
      <c r="U11" s="576"/>
      <c r="V11" s="576"/>
      <c r="W11" s="576"/>
      <c r="X11" s="576"/>
      <c r="Y11" s="576"/>
      <c r="Z11" s="576"/>
      <c r="AA11" s="576"/>
      <c r="AB11" s="576"/>
      <c r="AC11" s="576"/>
      <c r="AD11" s="576"/>
      <c r="AE11" s="576"/>
      <c r="AF11" s="576"/>
      <c r="AG11" s="737"/>
      <c r="AH11" s="737"/>
    </row>
    <row r="12" spans="1:34" s="589" customFormat="1" ht="15.75" customHeight="1" x14ac:dyDescent="0.2">
      <c r="A12" s="585"/>
      <c r="B12" s="586"/>
      <c r="C12" s="586"/>
      <c r="D12" s="586"/>
      <c r="E12" s="587"/>
      <c r="F12" s="588">
        <v>51105</v>
      </c>
      <c r="G12" s="584" t="s">
        <v>63</v>
      </c>
      <c r="H12" s="576">
        <f>'ok-Planillas 2023'!C109</f>
        <v>73920</v>
      </c>
      <c r="I12" s="576"/>
      <c r="J12" s="576"/>
      <c r="K12" s="576"/>
      <c r="L12" s="576"/>
      <c r="M12" s="576"/>
      <c r="N12" s="576"/>
      <c r="O12" s="576"/>
      <c r="P12" s="576"/>
      <c r="Q12" s="576"/>
      <c r="R12" s="576"/>
      <c r="S12" s="576">
        <f t="shared" si="0"/>
        <v>0</v>
      </c>
      <c r="T12" s="737"/>
      <c r="U12" s="576"/>
      <c r="V12" s="576"/>
      <c r="W12" s="576"/>
      <c r="X12" s="576"/>
      <c r="Y12" s="576"/>
      <c r="Z12" s="576"/>
      <c r="AA12" s="576"/>
      <c r="AB12" s="576"/>
      <c r="AC12" s="576"/>
      <c r="AD12" s="576"/>
      <c r="AE12" s="576"/>
      <c r="AF12" s="576"/>
      <c r="AG12" s="737"/>
      <c r="AH12" s="737"/>
    </row>
    <row r="13" spans="1:34" s="589" customFormat="1" ht="15.75" customHeight="1" x14ac:dyDescent="0.2">
      <c r="A13" s="585"/>
      <c r="B13" s="586"/>
      <c r="C13" s="586"/>
      <c r="D13" s="586"/>
      <c r="E13" s="587"/>
      <c r="F13" s="588">
        <v>51106</v>
      </c>
      <c r="G13" s="584" t="s">
        <v>506</v>
      </c>
      <c r="H13" s="576">
        <f>+'ok-Planillas 2023'!D106</f>
        <v>12000</v>
      </c>
      <c r="I13" s="576"/>
      <c r="J13" s="576"/>
      <c r="K13" s="576"/>
      <c r="L13" s="576"/>
      <c r="M13" s="576"/>
      <c r="N13" s="576"/>
      <c r="O13" s="576"/>
      <c r="P13" s="576"/>
      <c r="Q13" s="576"/>
      <c r="R13" s="576"/>
      <c r="S13" s="576">
        <f t="shared" si="0"/>
        <v>0</v>
      </c>
      <c r="T13" s="737"/>
      <c r="U13" s="576"/>
      <c r="V13" s="576"/>
      <c r="W13" s="576"/>
      <c r="X13" s="576"/>
      <c r="Y13" s="576"/>
      <c r="Z13" s="576"/>
      <c r="AA13" s="576"/>
      <c r="AB13" s="576"/>
      <c r="AC13" s="576"/>
      <c r="AD13" s="576"/>
      <c r="AE13" s="576"/>
      <c r="AF13" s="576"/>
      <c r="AG13" s="737"/>
      <c r="AH13" s="737"/>
    </row>
    <row r="14" spans="1:34" s="589" customFormat="1" ht="15.75" customHeight="1" x14ac:dyDescent="0.2">
      <c r="A14" s="585"/>
      <c r="B14" s="586"/>
      <c r="C14" s="586"/>
      <c r="D14" s="586"/>
      <c r="E14" s="587"/>
      <c r="F14" s="588">
        <v>51107</v>
      </c>
      <c r="G14" s="584" t="s">
        <v>463</v>
      </c>
      <c r="H14" s="907">
        <f>'ok-Planillas 2023'!C86</f>
        <v>14800</v>
      </c>
      <c r="I14" s="576"/>
      <c r="J14" s="576"/>
      <c r="K14" s="576"/>
      <c r="L14" s="576"/>
      <c r="M14" s="576"/>
      <c r="N14" s="576"/>
      <c r="O14" s="576"/>
      <c r="P14" s="576"/>
      <c r="Q14" s="576"/>
      <c r="R14" s="576"/>
      <c r="S14" s="576">
        <f t="shared" si="0"/>
        <v>0</v>
      </c>
      <c r="T14" s="737"/>
      <c r="U14" s="576"/>
      <c r="V14" s="576"/>
      <c r="W14" s="576"/>
      <c r="X14" s="576"/>
      <c r="Y14" s="576"/>
      <c r="Z14" s="576"/>
      <c r="AA14" s="576"/>
      <c r="AB14" s="576"/>
      <c r="AC14" s="576"/>
      <c r="AD14" s="576"/>
      <c r="AE14" s="576"/>
      <c r="AF14" s="576"/>
      <c r="AG14" s="737"/>
      <c r="AH14" s="737"/>
    </row>
    <row r="15" spans="1:34" ht="15.75" customHeight="1" x14ac:dyDescent="0.2">
      <c r="A15" s="46">
        <v>1</v>
      </c>
      <c r="B15" s="47" t="s">
        <v>44</v>
      </c>
      <c r="C15" s="47" t="s">
        <v>44</v>
      </c>
      <c r="D15" s="47" t="s">
        <v>45</v>
      </c>
      <c r="E15" s="33" t="s">
        <v>49</v>
      </c>
      <c r="F15" s="44">
        <v>51201</v>
      </c>
      <c r="G15" s="234" t="s">
        <v>591</v>
      </c>
      <c r="H15" s="345"/>
      <c r="I15" s="345"/>
      <c r="J15" s="345"/>
      <c r="K15" s="345"/>
      <c r="L15" s="345"/>
      <c r="M15" s="345"/>
      <c r="N15" s="345"/>
      <c r="O15" s="345"/>
      <c r="P15" s="345"/>
      <c r="Q15" s="345"/>
      <c r="R15" s="345"/>
      <c r="S15" s="576">
        <f t="shared" si="0"/>
        <v>0</v>
      </c>
      <c r="T15" s="737"/>
      <c r="U15" s="576"/>
      <c r="V15" s="576"/>
      <c r="W15" s="576"/>
      <c r="X15" s="576"/>
      <c r="Y15" s="576"/>
      <c r="Z15" s="576"/>
      <c r="AA15" s="576"/>
      <c r="AB15" s="576"/>
      <c r="AC15" s="576"/>
      <c r="AD15" s="576"/>
      <c r="AE15" s="576"/>
      <c r="AF15" s="576"/>
      <c r="AG15" s="737"/>
      <c r="AH15" s="737"/>
    </row>
    <row r="16" spans="1:34" s="589" customFormat="1" ht="15.6" customHeight="1" x14ac:dyDescent="0.2">
      <c r="A16" s="585">
        <v>1</v>
      </c>
      <c r="B16" s="586" t="s">
        <v>44</v>
      </c>
      <c r="C16" s="586" t="s">
        <v>44</v>
      </c>
      <c r="D16" s="586" t="s">
        <v>45</v>
      </c>
      <c r="E16" s="587" t="s">
        <v>49</v>
      </c>
      <c r="F16" s="588">
        <v>51202</v>
      </c>
      <c r="G16" s="584" t="s">
        <v>318</v>
      </c>
      <c r="H16" s="576">
        <f>'ok-Planillas 2023'!D123</f>
        <v>2400</v>
      </c>
      <c r="I16" s="576"/>
      <c r="J16" s="576"/>
      <c r="K16" s="576"/>
      <c r="L16" s="576"/>
      <c r="M16" s="576"/>
      <c r="N16" s="576"/>
      <c r="O16" s="576"/>
      <c r="P16" s="576"/>
      <c r="Q16" s="576"/>
      <c r="R16" s="576"/>
      <c r="S16" s="576">
        <f t="shared" si="0"/>
        <v>0</v>
      </c>
      <c r="T16" s="737"/>
      <c r="U16" s="576"/>
      <c r="V16" s="576"/>
      <c r="W16" s="576"/>
      <c r="X16" s="576"/>
      <c r="Y16" s="576"/>
      <c r="Z16" s="576"/>
      <c r="AA16" s="576"/>
      <c r="AB16" s="576"/>
      <c r="AC16" s="576"/>
      <c r="AD16" s="576"/>
      <c r="AE16" s="576"/>
      <c r="AF16" s="576"/>
      <c r="AG16" s="737"/>
      <c r="AH16" s="737"/>
    </row>
    <row r="17" spans="1:34" ht="15.75" customHeight="1" x14ac:dyDescent="0.2">
      <c r="A17" s="32">
        <v>1</v>
      </c>
      <c r="B17" s="47" t="s">
        <v>44</v>
      </c>
      <c r="C17" s="33" t="s">
        <v>44</v>
      </c>
      <c r="D17" s="33" t="s">
        <v>45</v>
      </c>
      <c r="E17" s="33" t="s">
        <v>49</v>
      </c>
      <c r="F17" s="45">
        <v>51203</v>
      </c>
      <c r="G17" s="31" t="s">
        <v>32</v>
      </c>
      <c r="H17" s="346"/>
      <c r="I17" s="346"/>
      <c r="J17" s="346"/>
      <c r="K17" s="346"/>
      <c r="L17" s="346"/>
      <c r="M17" s="346"/>
      <c r="N17" s="346"/>
      <c r="O17" s="346"/>
      <c r="P17" s="346"/>
      <c r="Q17" s="345"/>
      <c r="R17" s="345"/>
      <c r="S17" s="576">
        <f t="shared" si="0"/>
        <v>0</v>
      </c>
      <c r="T17" s="737"/>
      <c r="U17" s="576"/>
      <c r="V17" s="576"/>
      <c r="W17" s="576"/>
      <c r="X17" s="576"/>
      <c r="Y17" s="576"/>
      <c r="Z17" s="576"/>
      <c r="AA17" s="576"/>
      <c r="AB17" s="576"/>
      <c r="AC17" s="576"/>
      <c r="AD17" s="576"/>
      <c r="AE17" s="576"/>
      <c r="AF17" s="576"/>
      <c r="AG17" s="737"/>
      <c r="AH17" s="737"/>
    </row>
    <row r="18" spans="1:34" ht="15.75" customHeight="1" x14ac:dyDescent="0.2">
      <c r="A18" s="32">
        <v>1</v>
      </c>
      <c r="B18" s="47" t="s">
        <v>44</v>
      </c>
      <c r="C18" s="33" t="s">
        <v>44</v>
      </c>
      <c r="D18" s="33" t="s">
        <v>45</v>
      </c>
      <c r="E18" s="33" t="s">
        <v>49</v>
      </c>
      <c r="F18" s="45">
        <v>51301</v>
      </c>
      <c r="G18" s="31" t="s">
        <v>536</v>
      </c>
      <c r="H18" s="346">
        <v>0</v>
      </c>
      <c r="I18" s="346"/>
      <c r="J18" s="346"/>
      <c r="K18" s="346"/>
      <c r="L18" s="346"/>
      <c r="M18" s="346"/>
      <c r="N18" s="346"/>
      <c r="O18" s="346"/>
      <c r="P18" s="346"/>
      <c r="Q18" s="345"/>
      <c r="R18" s="345"/>
      <c r="S18" s="576">
        <f t="shared" si="0"/>
        <v>0</v>
      </c>
      <c r="T18" s="737"/>
      <c r="U18" s="576"/>
      <c r="V18" s="576"/>
      <c r="W18" s="576"/>
      <c r="X18" s="576"/>
      <c r="Y18" s="576"/>
      <c r="Z18" s="576"/>
      <c r="AA18" s="576"/>
      <c r="AB18" s="576"/>
      <c r="AC18" s="576"/>
      <c r="AD18" s="576"/>
      <c r="AE18" s="576"/>
      <c r="AF18" s="576"/>
      <c r="AG18" s="737"/>
      <c r="AH18" s="737"/>
    </row>
    <row r="19" spans="1:34" s="589" customFormat="1" ht="15.75" customHeight="1" x14ac:dyDescent="0.2">
      <c r="A19" s="614">
        <v>1</v>
      </c>
      <c r="B19" s="586" t="s">
        <v>44</v>
      </c>
      <c r="C19" s="587" t="s">
        <v>44</v>
      </c>
      <c r="D19" s="587" t="s">
        <v>45</v>
      </c>
      <c r="E19" s="587" t="s">
        <v>49</v>
      </c>
      <c r="F19" s="615">
        <v>51401</v>
      </c>
      <c r="G19" s="616" t="s">
        <v>33</v>
      </c>
      <c r="H19" s="906">
        <f>'ok-Planillas 2023'!F109</f>
        <v>21285.0625</v>
      </c>
      <c r="I19" s="617"/>
      <c r="J19" s="617"/>
      <c r="K19" s="617"/>
      <c r="L19" s="617"/>
      <c r="M19" s="617"/>
      <c r="N19" s="617"/>
      <c r="O19" s="617"/>
      <c r="P19" s="617"/>
      <c r="Q19" s="576"/>
      <c r="R19" s="576"/>
      <c r="S19" s="576">
        <f t="shared" si="0"/>
        <v>0</v>
      </c>
      <c r="T19" s="737"/>
      <c r="U19" s="576"/>
      <c r="V19" s="576"/>
      <c r="W19" s="576"/>
      <c r="X19" s="576"/>
      <c r="Y19" s="576"/>
      <c r="Z19" s="576"/>
      <c r="AA19" s="576"/>
      <c r="AB19" s="576"/>
      <c r="AC19" s="576"/>
      <c r="AD19" s="576"/>
      <c r="AE19" s="576"/>
      <c r="AF19" s="576"/>
      <c r="AG19" s="737"/>
      <c r="AH19" s="737"/>
    </row>
    <row r="20" spans="1:34" s="589" customFormat="1" ht="15.75" customHeight="1" x14ac:dyDescent="0.2">
      <c r="A20" s="614">
        <v>1</v>
      </c>
      <c r="B20" s="586" t="s">
        <v>44</v>
      </c>
      <c r="C20" s="587" t="s">
        <v>44</v>
      </c>
      <c r="D20" s="587" t="s">
        <v>45</v>
      </c>
      <c r="E20" s="587" t="s">
        <v>49</v>
      </c>
      <c r="F20" s="615">
        <v>51501</v>
      </c>
      <c r="G20" s="616" t="s">
        <v>33</v>
      </c>
      <c r="H20" s="906">
        <f>'ok-Planillas 2023'!H109</f>
        <v>23004.84375</v>
      </c>
      <c r="I20" s="617"/>
      <c r="J20" s="617"/>
      <c r="K20" s="617"/>
      <c r="L20" s="617"/>
      <c r="M20" s="617"/>
      <c r="N20" s="617"/>
      <c r="O20" s="617"/>
      <c r="P20" s="617"/>
      <c r="Q20" s="576"/>
      <c r="R20" s="576"/>
      <c r="S20" s="576">
        <f t="shared" si="0"/>
        <v>0</v>
      </c>
      <c r="T20" s="737"/>
      <c r="U20" s="576"/>
      <c r="V20" s="576"/>
      <c r="W20" s="576"/>
      <c r="X20" s="576"/>
      <c r="Y20" s="576"/>
      <c r="Z20" s="576"/>
      <c r="AA20" s="576"/>
      <c r="AB20" s="576"/>
      <c r="AC20" s="576"/>
      <c r="AD20" s="576"/>
      <c r="AE20" s="576"/>
      <c r="AF20" s="576"/>
      <c r="AG20" s="737"/>
      <c r="AH20" s="737"/>
    </row>
    <row r="21" spans="1:34" ht="15.75" customHeight="1" x14ac:dyDescent="0.2">
      <c r="A21" s="32"/>
      <c r="B21" s="47"/>
      <c r="C21" s="33"/>
      <c r="D21" s="33"/>
      <c r="E21" s="33"/>
      <c r="F21" s="45">
        <v>51601</v>
      </c>
      <c r="G21" s="31" t="s">
        <v>518</v>
      </c>
      <c r="H21" s="346"/>
      <c r="I21" s="346"/>
      <c r="J21" s="346"/>
      <c r="K21" s="346"/>
      <c r="L21" s="346"/>
      <c r="M21" s="346"/>
      <c r="N21" s="346"/>
      <c r="O21" s="346"/>
      <c r="P21" s="346"/>
      <c r="Q21" s="345"/>
      <c r="R21" s="345"/>
      <c r="S21" s="576">
        <f t="shared" si="0"/>
        <v>0</v>
      </c>
      <c r="T21" s="737"/>
      <c r="U21" s="576"/>
      <c r="V21" s="576"/>
      <c r="W21" s="576"/>
      <c r="X21" s="576"/>
      <c r="Y21" s="576"/>
      <c r="Z21" s="576"/>
      <c r="AA21" s="576"/>
      <c r="AB21" s="576"/>
      <c r="AC21" s="576"/>
      <c r="AD21" s="576"/>
      <c r="AE21" s="576"/>
      <c r="AF21" s="576"/>
      <c r="AG21" s="737"/>
      <c r="AH21" s="737"/>
    </row>
    <row r="22" spans="1:34" ht="15.75" customHeight="1" x14ac:dyDescent="0.2">
      <c r="A22" s="32">
        <v>1</v>
      </c>
      <c r="B22" s="47" t="s">
        <v>44</v>
      </c>
      <c r="C22" s="33" t="s">
        <v>44</v>
      </c>
      <c r="D22" s="33" t="s">
        <v>45</v>
      </c>
      <c r="E22" s="33" t="s">
        <v>49</v>
      </c>
      <c r="F22" s="45">
        <v>51602</v>
      </c>
      <c r="G22" s="31" t="s">
        <v>310</v>
      </c>
      <c r="H22" s="346"/>
      <c r="I22" s="346"/>
      <c r="J22" s="346"/>
      <c r="K22" s="346"/>
      <c r="L22" s="346"/>
      <c r="M22" s="346"/>
      <c r="N22" s="346"/>
      <c r="O22" s="346"/>
      <c r="P22" s="346"/>
      <c r="Q22" s="345"/>
      <c r="R22" s="345"/>
      <c r="S22" s="576">
        <f t="shared" si="0"/>
        <v>0</v>
      </c>
      <c r="T22" s="737"/>
      <c r="U22" s="576"/>
      <c r="V22" s="576"/>
      <c r="W22" s="576"/>
      <c r="X22" s="576"/>
      <c r="Y22" s="576"/>
      <c r="Z22" s="576"/>
      <c r="AA22" s="576"/>
      <c r="AB22" s="576"/>
      <c r="AC22" s="576"/>
      <c r="AD22" s="576"/>
      <c r="AE22" s="576"/>
      <c r="AF22" s="576"/>
      <c r="AG22" s="737"/>
      <c r="AH22" s="737"/>
    </row>
    <row r="23" spans="1:34" s="589" customFormat="1" ht="15.75" customHeight="1" x14ac:dyDescent="0.2">
      <c r="A23" s="614"/>
      <c r="B23" s="586"/>
      <c r="C23" s="587"/>
      <c r="D23" s="587"/>
      <c r="E23" s="587"/>
      <c r="F23" s="615">
        <v>51701</v>
      </c>
      <c r="G23" s="616" t="s">
        <v>561</v>
      </c>
      <c r="H23" s="617">
        <v>30000</v>
      </c>
      <c r="I23" s="617"/>
      <c r="J23" s="617"/>
      <c r="K23" s="617"/>
      <c r="L23" s="617"/>
      <c r="M23" s="617"/>
      <c r="N23" s="617"/>
      <c r="O23" s="617"/>
      <c r="P23" s="617"/>
      <c r="Q23" s="576"/>
      <c r="R23" s="576"/>
      <c r="S23" s="576">
        <f t="shared" si="0"/>
        <v>0</v>
      </c>
      <c r="T23" s="737"/>
      <c r="U23" s="576"/>
      <c r="V23" s="576"/>
      <c r="W23" s="576"/>
      <c r="X23" s="576"/>
      <c r="Y23" s="576"/>
      <c r="Z23" s="576"/>
      <c r="AA23" s="576"/>
      <c r="AB23" s="576"/>
      <c r="AC23" s="576"/>
      <c r="AD23" s="576"/>
      <c r="AE23" s="576"/>
      <c r="AF23" s="576"/>
      <c r="AG23" s="737"/>
      <c r="AH23" s="737"/>
    </row>
    <row r="24" spans="1:34" s="589" customFormat="1" ht="15.75" customHeight="1" x14ac:dyDescent="0.2">
      <c r="A24" s="614"/>
      <c r="B24" s="586"/>
      <c r="C24" s="587"/>
      <c r="D24" s="587"/>
      <c r="E24" s="587"/>
      <c r="F24" s="615">
        <v>51999</v>
      </c>
      <c r="G24" s="616" t="s">
        <v>519</v>
      </c>
      <c r="H24" s="617">
        <v>5000</v>
      </c>
      <c r="I24" s="617"/>
      <c r="J24" s="617"/>
      <c r="K24" s="617"/>
      <c r="L24" s="617"/>
      <c r="M24" s="617"/>
      <c r="N24" s="617"/>
      <c r="O24" s="617"/>
      <c r="P24" s="617"/>
      <c r="Q24" s="576"/>
      <c r="R24" s="576"/>
      <c r="S24" s="576">
        <f t="shared" si="0"/>
        <v>0</v>
      </c>
      <c r="T24" s="737"/>
      <c r="U24" s="576"/>
      <c r="V24" s="576"/>
      <c r="W24" s="576"/>
      <c r="X24" s="576"/>
      <c r="Y24" s="576"/>
      <c r="Z24" s="576"/>
      <c r="AA24" s="576"/>
      <c r="AB24" s="576"/>
      <c r="AC24" s="576"/>
      <c r="AD24" s="576"/>
      <c r="AE24" s="576"/>
      <c r="AF24" s="576"/>
      <c r="AG24" s="737"/>
      <c r="AH24" s="737"/>
    </row>
    <row r="25" spans="1:34" s="589" customFormat="1" ht="15.75" customHeight="1" x14ac:dyDescent="0.2">
      <c r="A25" s="614">
        <v>1</v>
      </c>
      <c r="B25" s="586" t="s">
        <v>44</v>
      </c>
      <c r="C25" s="587" t="s">
        <v>44</v>
      </c>
      <c r="D25" s="587" t="s">
        <v>45</v>
      </c>
      <c r="E25" s="587" t="s">
        <v>49</v>
      </c>
      <c r="F25" s="615">
        <v>54101</v>
      </c>
      <c r="G25" s="616" t="s">
        <v>34</v>
      </c>
      <c r="H25" s="617">
        <v>12000</v>
      </c>
      <c r="I25" s="617">
        <v>2700</v>
      </c>
      <c r="J25" s="617"/>
      <c r="K25" s="617">
        <v>2000</v>
      </c>
      <c r="L25" s="617">
        <v>800</v>
      </c>
      <c r="M25" s="617">
        <v>250</v>
      </c>
      <c r="N25" s="617">
        <v>295</v>
      </c>
      <c r="O25" s="617">
        <v>2723.2</v>
      </c>
      <c r="P25" s="617"/>
      <c r="Q25" s="576"/>
      <c r="R25" s="576"/>
      <c r="S25" s="576">
        <f>SUM(I25:R25)</f>
        <v>8768.2000000000007</v>
      </c>
      <c r="T25" s="737">
        <f t="shared" ref="T25:T56" si="1">H25-S25</f>
        <v>3231.7999999999993</v>
      </c>
      <c r="U25" s="576"/>
      <c r="V25" s="576"/>
      <c r="W25" s="576">
        <v>100</v>
      </c>
      <c r="X25" s="576">
        <v>48</v>
      </c>
      <c r="Y25" s="576">
        <v>48</v>
      </c>
      <c r="Z25" s="576">
        <v>50</v>
      </c>
      <c r="AA25" s="576">
        <v>24</v>
      </c>
      <c r="AB25" s="576">
        <v>50</v>
      </c>
      <c r="AC25" s="576">
        <v>50</v>
      </c>
      <c r="AD25" s="576">
        <v>25</v>
      </c>
      <c r="AE25" s="576">
        <v>100</v>
      </c>
      <c r="AF25" s="576"/>
      <c r="AG25" s="737">
        <f>SUM(U25:AE25)</f>
        <v>495</v>
      </c>
      <c r="AH25" s="737">
        <f>T25-AG25</f>
        <v>2736.7999999999993</v>
      </c>
    </row>
    <row r="26" spans="1:34" s="589" customFormat="1" ht="15.75" customHeight="1" x14ac:dyDescent="0.2">
      <c r="A26" s="614">
        <v>1</v>
      </c>
      <c r="B26" s="586" t="s">
        <v>44</v>
      </c>
      <c r="C26" s="587" t="s">
        <v>44</v>
      </c>
      <c r="D26" s="587" t="s">
        <v>45</v>
      </c>
      <c r="E26" s="587" t="s">
        <v>49</v>
      </c>
      <c r="F26" s="615">
        <v>54104</v>
      </c>
      <c r="G26" s="616" t="s">
        <v>135</v>
      </c>
      <c r="H26" s="617">
        <v>7000</v>
      </c>
      <c r="I26" s="617"/>
      <c r="J26" s="617">
        <v>1000</v>
      </c>
      <c r="K26" s="617">
        <v>1000</v>
      </c>
      <c r="L26" s="617"/>
      <c r="M26" s="617"/>
      <c r="N26" s="617"/>
      <c r="O26" s="617"/>
      <c r="P26" s="617"/>
      <c r="Q26" s="576"/>
      <c r="R26" s="576">
        <v>1000</v>
      </c>
      <c r="S26" s="576">
        <f t="shared" ref="S26:S86" si="2">SUM(I26:R26)</f>
        <v>3000</v>
      </c>
      <c r="T26" s="737">
        <f t="shared" si="1"/>
        <v>4000</v>
      </c>
      <c r="U26" s="576">
        <v>100</v>
      </c>
      <c r="V26" s="576">
        <v>100</v>
      </c>
      <c r="W26" s="576">
        <v>1302</v>
      </c>
      <c r="X26" s="576">
        <v>100</v>
      </c>
      <c r="Y26" s="576">
        <v>100</v>
      </c>
      <c r="Z26" s="576">
        <v>100</v>
      </c>
      <c r="AA26" s="576">
        <v>100</v>
      </c>
      <c r="AB26" s="576">
        <v>100</v>
      </c>
      <c r="AC26" s="576">
        <v>200</v>
      </c>
      <c r="AD26" s="576">
        <v>100</v>
      </c>
      <c r="AE26" s="576">
        <v>100</v>
      </c>
      <c r="AF26" s="576"/>
      <c r="AG26" s="737">
        <f t="shared" ref="AG26:AG86" si="3">SUM(U26:AE26)</f>
        <v>2402</v>
      </c>
      <c r="AH26" s="737">
        <f t="shared" ref="AH26:AH86" si="4">T26-AG26</f>
        <v>1598</v>
      </c>
    </row>
    <row r="27" spans="1:34" s="589" customFormat="1" ht="15.75" customHeight="1" x14ac:dyDescent="0.2">
      <c r="A27" s="614">
        <v>1</v>
      </c>
      <c r="B27" s="586" t="s">
        <v>44</v>
      </c>
      <c r="C27" s="587" t="s">
        <v>44</v>
      </c>
      <c r="D27" s="587" t="s">
        <v>45</v>
      </c>
      <c r="E27" s="587" t="s">
        <v>49</v>
      </c>
      <c r="F27" s="615">
        <v>54105</v>
      </c>
      <c r="G27" s="616" t="s">
        <v>35</v>
      </c>
      <c r="H27" s="617">
        <v>9000</v>
      </c>
      <c r="I27" s="617">
        <v>2500</v>
      </c>
      <c r="J27" s="617">
        <v>500</v>
      </c>
      <c r="K27" s="617"/>
      <c r="L27" s="617"/>
      <c r="M27" s="617"/>
      <c r="N27" s="617"/>
      <c r="O27" s="617"/>
      <c r="P27" s="617"/>
      <c r="Q27" s="576"/>
      <c r="R27" s="576">
        <v>1000</v>
      </c>
      <c r="S27" s="576">
        <f t="shared" si="2"/>
        <v>4000</v>
      </c>
      <c r="T27" s="737">
        <f t="shared" si="1"/>
        <v>5000</v>
      </c>
      <c r="U27" s="576">
        <v>54</v>
      </c>
      <c r="V27" s="576"/>
      <c r="W27" s="576">
        <v>36</v>
      </c>
      <c r="X27" s="576">
        <v>500</v>
      </c>
      <c r="Y27" s="576">
        <v>200</v>
      </c>
      <c r="Z27" s="576">
        <v>150</v>
      </c>
      <c r="AA27" s="576">
        <v>86</v>
      </c>
      <c r="AB27" s="576">
        <v>150</v>
      </c>
      <c r="AC27" s="576">
        <v>1500</v>
      </c>
      <c r="AD27" s="576">
        <v>150</v>
      </c>
      <c r="AE27" s="576">
        <v>400</v>
      </c>
      <c r="AF27" s="576"/>
      <c r="AG27" s="737">
        <f t="shared" si="3"/>
        <v>3226</v>
      </c>
      <c r="AH27" s="737">
        <f t="shared" si="4"/>
        <v>1774</v>
      </c>
    </row>
    <row r="28" spans="1:34" s="589" customFormat="1" ht="15.75" customHeight="1" x14ac:dyDescent="0.2">
      <c r="A28" s="614">
        <v>1</v>
      </c>
      <c r="B28" s="586" t="s">
        <v>44</v>
      </c>
      <c r="C28" s="587" t="s">
        <v>44</v>
      </c>
      <c r="D28" s="587" t="s">
        <v>45</v>
      </c>
      <c r="E28" s="587" t="s">
        <v>49</v>
      </c>
      <c r="F28" s="615">
        <v>54106</v>
      </c>
      <c r="G28" s="616" t="s">
        <v>136</v>
      </c>
      <c r="H28" s="617">
        <v>5000</v>
      </c>
      <c r="I28" s="617"/>
      <c r="J28" s="617">
        <v>1000</v>
      </c>
      <c r="K28" s="617"/>
      <c r="L28" s="617"/>
      <c r="M28" s="617"/>
      <c r="N28" s="617"/>
      <c r="O28" s="617"/>
      <c r="P28" s="617"/>
      <c r="Q28" s="576"/>
      <c r="R28" s="576"/>
      <c r="S28" s="576">
        <f t="shared" si="2"/>
        <v>1000</v>
      </c>
      <c r="T28" s="737">
        <f t="shared" si="1"/>
        <v>4000</v>
      </c>
      <c r="U28" s="576"/>
      <c r="V28" s="576">
        <v>12</v>
      </c>
      <c r="W28" s="576">
        <v>240</v>
      </c>
      <c r="X28" s="576">
        <v>5</v>
      </c>
      <c r="Y28" s="576"/>
      <c r="Z28" s="576"/>
      <c r="AA28" s="576"/>
      <c r="AB28" s="576"/>
      <c r="AC28" s="576">
        <v>72</v>
      </c>
      <c r="AD28" s="576"/>
      <c r="AE28" s="576"/>
      <c r="AF28" s="576">
        <v>1000</v>
      </c>
      <c r="AG28" s="737">
        <f>SUM(U28:AF28)</f>
        <v>1329</v>
      </c>
      <c r="AH28" s="737">
        <f t="shared" si="4"/>
        <v>2671</v>
      </c>
    </row>
    <row r="29" spans="1:34" s="589" customFormat="1" ht="15.75" customHeight="1" x14ac:dyDescent="0.2">
      <c r="A29" s="614">
        <v>1</v>
      </c>
      <c r="B29" s="586" t="s">
        <v>44</v>
      </c>
      <c r="C29" s="587" t="s">
        <v>44</v>
      </c>
      <c r="D29" s="587" t="s">
        <v>45</v>
      </c>
      <c r="E29" s="587" t="s">
        <v>49</v>
      </c>
      <c r="F29" s="615">
        <v>54107</v>
      </c>
      <c r="G29" s="616" t="s">
        <v>137</v>
      </c>
      <c r="H29" s="904">
        <v>6000</v>
      </c>
      <c r="I29" s="617">
        <v>1000</v>
      </c>
      <c r="J29" s="617">
        <v>500</v>
      </c>
      <c r="K29" s="617"/>
      <c r="L29" s="617"/>
      <c r="M29" s="617"/>
      <c r="N29" s="617"/>
      <c r="O29" s="617"/>
      <c r="P29" s="617"/>
      <c r="Q29" s="576"/>
      <c r="R29" s="576">
        <v>1000</v>
      </c>
      <c r="S29" s="576">
        <f t="shared" si="2"/>
        <v>2500</v>
      </c>
      <c r="T29" s="737">
        <f t="shared" si="1"/>
        <v>3500</v>
      </c>
      <c r="U29" s="576">
        <v>300</v>
      </c>
      <c r="V29" s="576"/>
      <c r="W29" s="576">
        <v>50</v>
      </c>
      <c r="X29" s="576">
        <v>10</v>
      </c>
      <c r="Y29" s="576"/>
      <c r="Z29" s="576"/>
      <c r="AA29" s="576">
        <v>100</v>
      </c>
      <c r="AB29" s="576"/>
      <c r="AC29" s="576">
        <v>33</v>
      </c>
      <c r="AD29" s="576">
        <v>25</v>
      </c>
      <c r="AE29" s="576"/>
      <c r="AF29" s="576"/>
      <c r="AG29" s="737">
        <f t="shared" si="3"/>
        <v>518</v>
      </c>
      <c r="AH29" s="737">
        <f t="shared" si="4"/>
        <v>2982</v>
      </c>
    </row>
    <row r="30" spans="1:34" ht="15.75" customHeight="1" x14ac:dyDescent="0.2">
      <c r="A30" s="32">
        <v>1</v>
      </c>
      <c r="B30" s="47" t="s">
        <v>44</v>
      </c>
      <c r="C30" s="33" t="s">
        <v>44</v>
      </c>
      <c r="D30" s="33" t="s">
        <v>45</v>
      </c>
      <c r="E30" s="33" t="s">
        <v>49</v>
      </c>
      <c r="F30" s="45">
        <v>54108</v>
      </c>
      <c r="G30" s="31" t="s">
        <v>197</v>
      </c>
      <c r="H30" s="346"/>
      <c r="I30" s="346"/>
      <c r="J30" s="346"/>
      <c r="K30" s="346"/>
      <c r="L30" s="346"/>
      <c r="M30" s="346"/>
      <c r="N30" s="346"/>
      <c r="O30" s="346"/>
      <c r="P30" s="346"/>
      <c r="Q30" s="345"/>
      <c r="R30" s="345"/>
      <c r="S30" s="576">
        <f t="shared" si="2"/>
        <v>0</v>
      </c>
      <c r="T30" s="737">
        <f t="shared" si="1"/>
        <v>0</v>
      </c>
      <c r="U30" s="576"/>
      <c r="V30" s="576"/>
      <c r="W30" s="576"/>
      <c r="X30" s="576"/>
      <c r="Y30" s="576"/>
      <c r="Z30" s="576"/>
      <c r="AA30" s="576"/>
      <c r="AB30" s="576"/>
      <c r="AC30" s="576"/>
      <c r="AD30" s="576"/>
      <c r="AE30" s="576"/>
      <c r="AF30" s="576"/>
      <c r="AG30" s="737">
        <f t="shared" si="3"/>
        <v>0</v>
      </c>
      <c r="AH30" s="737">
        <f t="shared" si="4"/>
        <v>0</v>
      </c>
    </row>
    <row r="31" spans="1:34" s="589" customFormat="1" ht="15.75" customHeight="1" x14ac:dyDescent="0.2">
      <c r="A31" s="614">
        <v>1</v>
      </c>
      <c r="B31" s="586" t="s">
        <v>44</v>
      </c>
      <c r="C31" s="587" t="s">
        <v>44</v>
      </c>
      <c r="D31" s="587" t="s">
        <v>45</v>
      </c>
      <c r="E31" s="587" t="s">
        <v>49</v>
      </c>
      <c r="F31" s="615">
        <v>54109</v>
      </c>
      <c r="G31" s="616" t="s">
        <v>138</v>
      </c>
      <c r="H31" s="904">
        <v>7335</v>
      </c>
      <c r="I31" s="617">
        <v>1000</v>
      </c>
      <c r="J31" s="617">
        <v>1000</v>
      </c>
      <c r="K31" s="617"/>
      <c r="L31" s="617"/>
      <c r="M31" s="617"/>
      <c r="N31" s="617"/>
      <c r="O31" s="617"/>
      <c r="P31" s="617"/>
      <c r="Q31" s="576"/>
      <c r="R31" s="576"/>
      <c r="S31" s="576">
        <f t="shared" si="2"/>
        <v>2000</v>
      </c>
      <c r="T31" s="737">
        <f t="shared" si="1"/>
        <v>5335</v>
      </c>
      <c r="U31" s="576"/>
      <c r="V31" s="576"/>
      <c r="W31" s="576"/>
      <c r="X31" s="576"/>
      <c r="Y31" s="576"/>
      <c r="Z31" s="576"/>
      <c r="AA31" s="576"/>
      <c r="AB31" s="576"/>
      <c r="AC31" s="576"/>
      <c r="AD31" s="576"/>
      <c r="AE31" s="576"/>
      <c r="AF31" s="576"/>
      <c r="AG31" s="737">
        <f t="shared" si="3"/>
        <v>0</v>
      </c>
      <c r="AH31" s="737">
        <f t="shared" si="4"/>
        <v>5335</v>
      </c>
    </row>
    <row r="32" spans="1:34" s="589" customFormat="1" ht="15.75" customHeight="1" x14ac:dyDescent="0.2">
      <c r="A32" s="614">
        <v>1</v>
      </c>
      <c r="B32" s="586" t="s">
        <v>44</v>
      </c>
      <c r="C32" s="587" t="s">
        <v>44</v>
      </c>
      <c r="D32" s="587" t="s">
        <v>45</v>
      </c>
      <c r="E32" s="587" t="s">
        <v>49</v>
      </c>
      <c r="F32" s="615">
        <v>54110</v>
      </c>
      <c r="G32" s="616" t="s">
        <v>36</v>
      </c>
      <c r="H32" s="617">
        <v>17000</v>
      </c>
      <c r="I32" s="617"/>
      <c r="J32" s="617">
        <v>2000</v>
      </c>
      <c r="K32" s="617"/>
      <c r="L32" s="617"/>
      <c r="M32" s="617"/>
      <c r="N32" s="617"/>
      <c r="O32" s="617"/>
      <c r="P32" s="617"/>
      <c r="Q32" s="576"/>
      <c r="R32" s="576"/>
      <c r="S32" s="576">
        <f t="shared" si="2"/>
        <v>2000</v>
      </c>
      <c r="T32" s="737">
        <f t="shared" si="1"/>
        <v>15000</v>
      </c>
      <c r="U32" s="576"/>
      <c r="V32" s="576"/>
      <c r="W32" s="576"/>
      <c r="X32" s="576"/>
      <c r="Y32" s="576"/>
      <c r="Z32" s="576"/>
      <c r="AA32" s="576"/>
      <c r="AB32" s="576"/>
      <c r="AC32" s="576"/>
      <c r="AD32" s="576"/>
      <c r="AE32" s="576"/>
      <c r="AF32" s="576"/>
      <c r="AG32" s="737">
        <f t="shared" si="3"/>
        <v>0</v>
      </c>
      <c r="AH32" s="737">
        <f t="shared" si="4"/>
        <v>15000</v>
      </c>
    </row>
    <row r="33" spans="1:34" s="589" customFormat="1" ht="15.75" customHeight="1" x14ac:dyDescent="0.2">
      <c r="A33" s="614">
        <v>1</v>
      </c>
      <c r="B33" s="586" t="s">
        <v>44</v>
      </c>
      <c r="C33" s="587" t="s">
        <v>44</v>
      </c>
      <c r="D33" s="587" t="s">
        <v>45</v>
      </c>
      <c r="E33" s="587" t="s">
        <v>49</v>
      </c>
      <c r="F33" s="615">
        <v>54111</v>
      </c>
      <c r="G33" s="616" t="s">
        <v>139</v>
      </c>
      <c r="H33" s="617">
        <v>8000</v>
      </c>
      <c r="I33" s="617">
        <v>1000</v>
      </c>
      <c r="J33" s="617">
        <v>1000</v>
      </c>
      <c r="K33" s="617"/>
      <c r="L33" s="617"/>
      <c r="M33" s="617"/>
      <c r="N33" s="617"/>
      <c r="O33" s="617"/>
      <c r="P33" s="617"/>
      <c r="Q33" s="576">
        <v>2308</v>
      </c>
      <c r="R33" s="576"/>
      <c r="S33" s="576">
        <f t="shared" si="2"/>
        <v>4308</v>
      </c>
      <c r="T33" s="737">
        <f t="shared" si="1"/>
        <v>3692</v>
      </c>
      <c r="U33" s="576"/>
      <c r="V33" s="576">
        <v>9</v>
      </c>
      <c r="W33" s="576"/>
      <c r="X33" s="576"/>
      <c r="Y33" s="576"/>
      <c r="Z33" s="576"/>
      <c r="AA33" s="576"/>
      <c r="AB33" s="576"/>
      <c r="AC33" s="576"/>
      <c r="AD33" s="576"/>
      <c r="AE33" s="576"/>
      <c r="AF33" s="576"/>
      <c r="AG33" s="737">
        <f t="shared" si="3"/>
        <v>9</v>
      </c>
      <c r="AH33" s="737">
        <f t="shared" si="4"/>
        <v>3683</v>
      </c>
    </row>
    <row r="34" spans="1:34" s="589" customFormat="1" ht="15.75" customHeight="1" x14ac:dyDescent="0.2">
      <c r="A34" s="614">
        <v>1</v>
      </c>
      <c r="B34" s="586" t="s">
        <v>44</v>
      </c>
      <c r="C34" s="587" t="s">
        <v>44</v>
      </c>
      <c r="D34" s="587" t="s">
        <v>45</v>
      </c>
      <c r="E34" s="587" t="s">
        <v>49</v>
      </c>
      <c r="F34" s="615">
        <v>54112</v>
      </c>
      <c r="G34" s="616" t="s">
        <v>140</v>
      </c>
      <c r="H34" s="617">
        <v>4000</v>
      </c>
      <c r="I34" s="617">
        <v>1000</v>
      </c>
      <c r="J34" s="617">
        <v>1000</v>
      </c>
      <c r="K34" s="617"/>
      <c r="L34" s="617"/>
      <c r="M34" s="617"/>
      <c r="N34" s="617"/>
      <c r="O34" s="617"/>
      <c r="P34" s="617"/>
      <c r="Q34" s="576"/>
      <c r="R34" s="576"/>
      <c r="S34" s="576">
        <f t="shared" si="2"/>
        <v>2000</v>
      </c>
      <c r="T34" s="737">
        <f t="shared" si="1"/>
        <v>2000</v>
      </c>
      <c r="U34" s="576"/>
      <c r="V34" s="576"/>
      <c r="W34" s="576"/>
      <c r="X34" s="576"/>
      <c r="Y34" s="576"/>
      <c r="Z34" s="576"/>
      <c r="AA34" s="576"/>
      <c r="AB34" s="576"/>
      <c r="AC34" s="576"/>
      <c r="AD34" s="576"/>
      <c r="AE34" s="576"/>
      <c r="AF34" s="576"/>
      <c r="AG34" s="737">
        <f t="shared" si="3"/>
        <v>0</v>
      </c>
      <c r="AH34" s="737">
        <f t="shared" si="4"/>
        <v>2000</v>
      </c>
    </row>
    <row r="35" spans="1:34" ht="15.75" customHeight="1" x14ac:dyDescent="0.2">
      <c r="A35" s="32"/>
      <c r="B35" s="47"/>
      <c r="C35" s="33"/>
      <c r="D35" s="33"/>
      <c r="E35" s="33"/>
      <c r="F35" s="45">
        <v>54113</v>
      </c>
      <c r="G35" s="31" t="s">
        <v>520</v>
      </c>
      <c r="H35" s="346"/>
      <c r="I35" s="346"/>
      <c r="J35" s="346"/>
      <c r="K35" s="346"/>
      <c r="L35" s="346"/>
      <c r="M35" s="346"/>
      <c r="N35" s="346"/>
      <c r="O35" s="346"/>
      <c r="P35" s="346"/>
      <c r="Q35" s="345"/>
      <c r="R35" s="345"/>
      <c r="S35" s="576">
        <f t="shared" si="2"/>
        <v>0</v>
      </c>
      <c r="T35" s="737">
        <f t="shared" si="1"/>
        <v>0</v>
      </c>
      <c r="U35" s="576"/>
      <c r="V35" s="576"/>
      <c r="W35" s="576"/>
      <c r="X35" s="576"/>
      <c r="Y35" s="576"/>
      <c r="Z35" s="576"/>
      <c r="AA35" s="576"/>
      <c r="AB35" s="576"/>
      <c r="AC35" s="576"/>
      <c r="AD35" s="576"/>
      <c r="AE35" s="576"/>
      <c r="AF35" s="576"/>
      <c r="AG35" s="737">
        <f t="shared" si="3"/>
        <v>0</v>
      </c>
      <c r="AH35" s="737">
        <f t="shared" si="4"/>
        <v>0</v>
      </c>
    </row>
    <row r="36" spans="1:34" s="589" customFormat="1" ht="15.75" customHeight="1" x14ac:dyDescent="0.2">
      <c r="A36" s="614">
        <v>1</v>
      </c>
      <c r="B36" s="586" t="s">
        <v>44</v>
      </c>
      <c r="C36" s="587" t="s">
        <v>44</v>
      </c>
      <c r="D36" s="587" t="s">
        <v>45</v>
      </c>
      <c r="E36" s="587" t="s">
        <v>49</v>
      </c>
      <c r="F36" s="615">
        <v>54114</v>
      </c>
      <c r="G36" s="616" t="s">
        <v>37</v>
      </c>
      <c r="H36" s="617">
        <f>[1]CONSOLIDADO!$I$15</f>
        <v>4000</v>
      </c>
      <c r="I36" s="617"/>
      <c r="J36" s="617">
        <v>1000</v>
      </c>
      <c r="K36" s="617"/>
      <c r="L36" s="617"/>
      <c r="M36" s="617"/>
      <c r="N36" s="617"/>
      <c r="O36" s="617"/>
      <c r="P36" s="617"/>
      <c r="Q36" s="576"/>
      <c r="R36" s="576"/>
      <c r="S36" s="576">
        <f t="shared" si="2"/>
        <v>1000</v>
      </c>
      <c r="T36" s="737">
        <f t="shared" si="1"/>
        <v>3000</v>
      </c>
      <c r="U36" s="576">
        <v>300</v>
      </c>
      <c r="V36" s="576">
        <v>86</v>
      </c>
      <c r="W36" s="576">
        <v>20</v>
      </c>
      <c r="X36" s="576">
        <v>150</v>
      </c>
      <c r="Y36" s="576">
        <v>200</v>
      </c>
      <c r="Z36" s="576">
        <v>90</v>
      </c>
      <c r="AA36" s="576">
        <v>60</v>
      </c>
      <c r="AB36" s="576">
        <v>150</v>
      </c>
      <c r="AC36" s="576">
        <v>250</v>
      </c>
      <c r="AD36" s="576">
        <v>60</v>
      </c>
      <c r="AE36" s="576">
        <v>100</v>
      </c>
      <c r="AF36" s="576"/>
      <c r="AG36" s="737">
        <f t="shared" si="3"/>
        <v>1466</v>
      </c>
      <c r="AH36" s="737">
        <f t="shared" si="4"/>
        <v>1534</v>
      </c>
    </row>
    <row r="37" spans="1:34" s="589" customFormat="1" ht="15.75" customHeight="1" x14ac:dyDescent="0.2">
      <c r="A37" s="614">
        <v>1</v>
      </c>
      <c r="B37" s="586" t="s">
        <v>44</v>
      </c>
      <c r="C37" s="587" t="s">
        <v>44</v>
      </c>
      <c r="D37" s="587" t="s">
        <v>45</v>
      </c>
      <c r="E37" s="587" t="s">
        <v>49</v>
      </c>
      <c r="F37" s="615">
        <v>54115</v>
      </c>
      <c r="G37" s="616" t="s">
        <v>68</v>
      </c>
      <c r="H37" s="617">
        <v>7000</v>
      </c>
      <c r="I37" s="617"/>
      <c r="J37" s="617">
        <v>1000</v>
      </c>
      <c r="K37" s="617"/>
      <c r="L37" s="617"/>
      <c r="M37" s="617"/>
      <c r="N37" s="617"/>
      <c r="O37" s="617"/>
      <c r="P37" s="617"/>
      <c r="Q37" s="576"/>
      <c r="R37" s="576"/>
      <c r="S37" s="576">
        <f t="shared" si="2"/>
        <v>1000</v>
      </c>
      <c r="T37" s="737">
        <f t="shared" si="1"/>
        <v>6000</v>
      </c>
      <c r="U37" s="576"/>
      <c r="V37" s="576">
        <v>2000</v>
      </c>
      <c r="W37" s="576"/>
      <c r="X37" s="576">
        <v>600</v>
      </c>
      <c r="Y37" s="576">
        <v>200</v>
      </c>
      <c r="Z37" s="576">
        <v>200</v>
      </c>
      <c r="AA37" s="576">
        <v>500</v>
      </c>
      <c r="AB37" s="576">
        <v>200</v>
      </c>
      <c r="AC37" s="576">
        <v>100</v>
      </c>
      <c r="AD37" s="576">
        <v>150</v>
      </c>
      <c r="AE37" s="576"/>
      <c r="AF37" s="576"/>
      <c r="AG37" s="737">
        <f t="shared" si="3"/>
        <v>3950</v>
      </c>
      <c r="AH37" s="737">
        <f t="shared" si="4"/>
        <v>2050</v>
      </c>
    </row>
    <row r="38" spans="1:34" s="589" customFormat="1" ht="15.75" customHeight="1" x14ac:dyDescent="0.2">
      <c r="A38" s="614">
        <v>1</v>
      </c>
      <c r="B38" s="586" t="s">
        <v>44</v>
      </c>
      <c r="C38" s="587" t="s">
        <v>44</v>
      </c>
      <c r="D38" s="587" t="s">
        <v>45</v>
      </c>
      <c r="E38" s="587" t="s">
        <v>49</v>
      </c>
      <c r="F38" s="615">
        <v>54116</v>
      </c>
      <c r="G38" s="616" t="s">
        <v>198</v>
      </c>
      <c r="H38" s="617">
        <v>1044.52</v>
      </c>
      <c r="I38" s="617"/>
      <c r="J38" s="617"/>
      <c r="K38" s="617"/>
      <c r="L38" s="617"/>
      <c r="M38" s="617"/>
      <c r="N38" s="617"/>
      <c r="O38" s="617"/>
      <c r="P38" s="617"/>
      <c r="Q38" s="576"/>
      <c r="R38" s="576"/>
      <c r="S38" s="576">
        <f t="shared" si="2"/>
        <v>0</v>
      </c>
      <c r="T38" s="737">
        <f t="shared" si="1"/>
        <v>1044.52</v>
      </c>
      <c r="U38" s="576"/>
      <c r="V38" s="576"/>
      <c r="W38" s="576"/>
      <c r="X38" s="576"/>
      <c r="Y38" s="576"/>
      <c r="Z38" s="576"/>
      <c r="AA38" s="576"/>
      <c r="AB38" s="576"/>
      <c r="AC38" s="576"/>
      <c r="AD38" s="576"/>
      <c r="AE38" s="576"/>
      <c r="AF38" s="576"/>
      <c r="AG38" s="737">
        <f t="shared" si="3"/>
        <v>0</v>
      </c>
      <c r="AH38" s="737">
        <f t="shared" si="4"/>
        <v>1044.52</v>
      </c>
    </row>
    <row r="39" spans="1:34" s="589" customFormat="1" ht="15.75" customHeight="1" x14ac:dyDescent="0.2">
      <c r="A39" s="614"/>
      <c r="B39" s="586"/>
      <c r="C39" s="587"/>
      <c r="D39" s="587"/>
      <c r="E39" s="587"/>
      <c r="F39" s="615">
        <v>54117</v>
      </c>
      <c r="G39" s="616" t="s">
        <v>477</v>
      </c>
      <c r="H39" s="617">
        <f>[1]CONSOLIDADO!$I$18</f>
        <v>600</v>
      </c>
      <c r="I39" s="617"/>
      <c r="J39" s="617"/>
      <c r="K39" s="617"/>
      <c r="L39" s="617"/>
      <c r="M39" s="617"/>
      <c r="N39" s="617"/>
      <c r="O39" s="617"/>
      <c r="P39" s="617"/>
      <c r="Q39" s="576"/>
      <c r="R39" s="576"/>
      <c r="S39" s="576">
        <f t="shared" si="2"/>
        <v>0</v>
      </c>
      <c r="T39" s="737">
        <f t="shared" si="1"/>
        <v>600</v>
      </c>
      <c r="U39" s="576"/>
      <c r="V39" s="576"/>
      <c r="W39" s="576">
        <v>425</v>
      </c>
      <c r="X39" s="576"/>
      <c r="Y39" s="576"/>
      <c r="Z39" s="576"/>
      <c r="AA39" s="576"/>
      <c r="AB39" s="576"/>
      <c r="AC39" s="576"/>
      <c r="AD39" s="576"/>
      <c r="AE39" s="576"/>
      <c r="AF39" s="576"/>
      <c r="AG39" s="737">
        <f t="shared" si="3"/>
        <v>425</v>
      </c>
      <c r="AH39" s="737">
        <f t="shared" si="4"/>
        <v>175</v>
      </c>
    </row>
    <row r="40" spans="1:34" s="589" customFormat="1" ht="15.75" customHeight="1" x14ac:dyDescent="0.2">
      <c r="A40" s="614">
        <v>1</v>
      </c>
      <c r="B40" s="586" t="s">
        <v>44</v>
      </c>
      <c r="C40" s="587" t="s">
        <v>44</v>
      </c>
      <c r="D40" s="587" t="s">
        <v>45</v>
      </c>
      <c r="E40" s="587" t="s">
        <v>49</v>
      </c>
      <c r="F40" s="615">
        <v>54118</v>
      </c>
      <c r="G40" s="616" t="s">
        <v>141</v>
      </c>
      <c r="H40" s="617">
        <f>[1]CONSOLIDADO!$I$19</f>
        <v>5000</v>
      </c>
      <c r="I40" s="617">
        <v>1000</v>
      </c>
      <c r="J40" s="617">
        <v>1000</v>
      </c>
      <c r="K40" s="617"/>
      <c r="L40" s="617"/>
      <c r="M40" s="617"/>
      <c r="N40" s="617"/>
      <c r="O40" s="617"/>
      <c r="P40" s="617"/>
      <c r="Q40" s="576"/>
      <c r="R40" s="576"/>
      <c r="S40" s="576">
        <f t="shared" si="2"/>
        <v>2000</v>
      </c>
      <c r="T40" s="737">
        <f t="shared" si="1"/>
        <v>3000</v>
      </c>
      <c r="U40" s="576">
        <v>714</v>
      </c>
      <c r="V40" s="576"/>
      <c r="W40" s="576"/>
      <c r="X40" s="576"/>
      <c r="Y40" s="576"/>
      <c r="Z40" s="576"/>
      <c r="AA40" s="576"/>
      <c r="AB40" s="576"/>
      <c r="AC40" s="576"/>
      <c r="AD40" s="576"/>
      <c r="AE40" s="576"/>
      <c r="AF40" s="576"/>
      <c r="AG40" s="737">
        <f t="shared" si="3"/>
        <v>714</v>
      </c>
      <c r="AH40" s="737">
        <f t="shared" si="4"/>
        <v>2286</v>
      </c>
    </row>
    <row r="41" spans="1:34" s="589" customFormat="1" ht="15.75" customHeight="1" x14ac:dyDescent="0.2">
      <c r="A41" s="614">
        <v>1</v>
      </c>
      <c r="B41" s="586" t="s">
        <v>44</v>
      </c>
      <c r="C41" s="587" t="s">
        <v>44</v>
      </c>
      <c r="D41" s="587" t="s">
        <v>45</v>
      </c>
      <c r="E41" s="587" t="s">
        <v>49</v>
      </c>
      <c r="F41" s="615">
        <v>54119</v>
      </c>
      <c r="G41" s="616" t="s">
        <v>79</v>
      </c>
      <c r="H41" s="617">
        <f>[1]CONSOLIDADO!$I$20</f>
        <v>4000</v>
      </c>
      <c r="I41" s="617">
        <v>1000</v>
      </c>
      <c r="J41" s="617">
        <v>500</v>
      </c>
      <c r="K41" s="617"/>
      <c r="L41" s="617"/>
      <c r="M41" s="617"/>
      <c r="N41" s="617"/>
      <c r="O41" s="617"/>
      <c r="P41" s="617"/>
      <c r="Q41" s="576"/>
      <c r="R41" s="576"/>
      <c r="S41" s="576">
        <f t="shared" si="2"/>
        <v>1500</v>
      </c>
      <c r="T41" s="737">
        <f t="shared" si="1"/>
        <v>2500</v>
      </c>
      <c r="U41" s="576"/>
      <c r="V41" s="576"/>
      <c r="W41" s="576"/>
      <c r="X41" s="576"/>
      <c r="Y41" s="576"/>
      <c r="Z41" s="576"/>
      <c r="AA41" s="576"/>
      <c r="AB41" s="576"/>
      <c r="AC41" s="576"/>
      <c r="AD41" s="576"/>
      <c r="AE41" s="576"/>
      <c r="AF41" s="576"/>
      <c r="AG41" s="737">
        <f t="shared" si="3"/>
        <v>0</v>
      </c>
      <c r="AH41" s="737">
        <f t="shared" si="4"/>
        <v>2500</v>
      </c>
    </row>
    <row r="42" spans="1:34" s="589" customFormat="1" ht="15.75" customHeight="1" x14ac:dyDescent="0.2">
      <c r="A42" s="614">
        <v>1</v>
      </c>
      <c r="B42" s="586" t="s">
        <v>44</v>
      </c>
      <c r="C42" s="587" t="s">
        <v>44</v>
      </c>
      <c r="D42" s="587" t="s">
        <v>45</v>
      </c>
      <c r="E42" s="587" t="s">
        <v>49</v>
      </c>
      <c r="F42" s="615">
        <v>54199</v>
      </c>
      <c r="G42" s="616" t="s">
        <v>142</v>
      </c>
      <c r="H42" s="617">
        <v>11000</v>
      </c>
      <c r="I42" s="617">
        <v>5800</v>
      </c>
      <c r="J42" s="617">
        <v>2000</v>
      </c>
      <c r="K42" s="617"/>
      <c r="L42" s="617">
        <v>195</v>
      </c>
      <c r="M42" s="617">
        <v>52</v>
      </c>
      <c r="N42" s="617">
        <v>1462</v>
      </c>
      <c r="O42" s="617">
        <v>418</v>
      </c>
      <c r="P42" s="617"/>
      <c r="Q42" s="576"/>
      <c r="R42" s="576"/>
      <c r="S42" s="576">
        <f t="shared" si="2"/>
        <v>9927</v>
      </c>
      <c r="T42" s="737">
        <f t="shared" si="1"/>
        <v>1073</v>
      </c>
      <c r="U42" s="576">
        <v>6</v>
      </c>
      <c r="V42" s="576"/>
      <c r="W42" s="576"/>
      <c r="X42" s="576">
        <v>50</v>
      </c>
      <c r="Y42" s="576">
        <v>150</v>
      </c>
      <c r="Z42" s="576"/>
      <c r="AA42" s="576"/>
      <c r="AB42" s="576">
        <v>120</v>
      </c>
      <c r="AC42" s="576">
        <v>150</v>
      </c>
      <c r="AD42" s="576">
        <v>200</v>
      </c>
      <c r="AE42" s="576"/>
      <c r="AF42" s="576"/>
      <c r="AG42" s="737">
        <f t="shared" si="3"/>
        <v>676</v>
      </c>
      <c r="AH42" s="737">
        <f t="shared" si="4"/>
        <v>397</v>
      </c>
    </row>
    <row r="43" spans="1:34" s="589" customFormat="1" ht="15.75" customHeight="1" x14ac:dyDescent="0.2">
      <c r="A43" s="614">
        <v>1</v>
      </c>
      <c r="B43" s="586" t="s">
        <v>44</v>
      </c>
      <c r="C43" s="587" t="s">
        <v>44</v>
      </c>
      <c r="D43" s="587" t="s">
        <v>45</v>
      </c>
      <c r="E43" s="587" t="s">
        <v>49</v>
      </c>
      <c r="F43" s="615">
        <v>54201</v>
      </c>
      <c r="G43" s="616" t="s">
        <v>176</v>
      </c>
      <c r="H43" s="617"/>
      <c r="I43" s="617"/>
      <c r="J43" s="617"/>
      <c r="K43" s="617"/>
      <c r="L43" s="617"/>
      <c r="M43" s="617"/>
      <c r="N43" s="617"/>
      <c r="O43" s="617"/>
      <c r="P43" s="617"/>
      <c r="Q43" s="576"/>
      <c r="R43" s="576"/>
      <c r="S43" s="576">
        <f t="shared" si="2"/>
        <v>0</v>
      </c>
      <c r="T43" s="737">
        <f t="shared" si="1"/>
        <v>0</v>
      </c>
      <c r="U43" s="576"/>
      <c r="V43" s="576"/>
      <c r="W43" s="576"/>
      <c r="X43" s="576"/>
      <c r="Y43" s="576"/>
      <c r="Z43" s="576"/>
      <c r="AA43" s="576"/>
      <c r="AB43" s="576"/>
      <c r="AC43" s="576"/>
      <c r="AD43" s="576"/>
      <c r="AE43" s="576"/>
      <c r="AF43" s="576"/>
      <c r="AG43" s="737">
        <f t="shared" si="3"/>
        <v>0</v>
      </c>
      <c r="AH43" s="737">
        <f t="shared" si="4"/>
        <v>0</v>
      </c>
    </row>
    <row r="44" spans="1:34" s="589" customFormat="1" ht="15.75" customHeight="1" x14ac:dyDescent="0.2">
      <c r="A44" s="614">
        <v>1</v>
      </c>
      <c r="B44" s="586" t="s">
        <v>44</v>
      </c>
      <c r="C44" s="587" t="s">
        <v>44</v>
      </c>
      <c r="D44" s="587" t="s">
        <v>45</v>
      </c>
      <c r="E44" s="587" t="s">
        <v>49</v>
      </c>
      <c r="F44" s="615">
        <v>54202</v>
      </c>
      <c r="G44" s="616" t="s">
        <v>39</v>
      </c>
      <c r="H44" s="617"/>
      <c r="I44" s="617"/>
      <c r="J44" s="617"/>
      <c r="K44" s="617"/>
      <c r="L44" s="617"/>
      <c r="M44" s="617"/>
      <c r="N44" s="617"/>
      <c r="O44" s="617"/>
      <c r="P44" s="617"/>
      <c r="Q44" s="576"/>
      <c r="R44" s="576"/>
      <c r="S44" s="576">
        <f t="shared" si="2"/>
        <v>0</v>
      </c>
      <c r="T44" s="737">
        <f t="shared" si="1"/>
        <v>0</v>
      </c>
      <c r="U44" s="576"/>
      <c r="V44" s="576"/>
      <c r="W44" s="576"/>
      <c r="X44" s="576"/>
      <c r="Y44" s="576"/>
      <c r="Z44" s="576"/>
      <c r="AA44" s="576"/>
      <c r="AB44" s="576"/>
      <c r="AC44" s="576"/>
      <c r="AD44" s="576"/>
      <c r="AE44" s="576"/>
      <c r="AF44" s="576"/>
      <c r="AG44" s="737">
        <f t="shared" si="3"/>
        <v>0</v>
      </c>
      <c r="AH44" s="737">
        <f t="shared" si="4"/>
        <v>0</v>
      </c>
    </row>
    <row r="45" spans="1:34" s="589" customFormat="1" ht="15.75" customHeight="1" x14ac:dyDescent="0.2">
      <c r="A45" s="614">
        <v>1</v>
      </c>
      <c r="B45" s="586" t="s">
        <v>44</v>
      </c>
      <c r="C45" s="587" t="s">
        <v>44</v>
      </c>
      <c r="D45" s="587" t="s">
        <v>45</v>
      </c>
      <c r="E45" s="587" t="s">
        <v>49</v>
      </c>
      <c r="F45" s="615">
        <v>54203</v>
      </c>
      <c r="G45" s="616" t="s">
        <v>40</v>
      </c>
      <c r="H45" s="617"/>
      <c r="I45" s="617"/>
      <c r="J45" s="617"/>
      <c r="K45" s="617"/>
      <c r="L45" s="617"/>
      <c r="M45" s="617"/>
      <c r="N45" s="617"/>
      <c r="O45" s="617"/>
      <c r="P45" s="617"/>
      <c r="Q45" s="576"/>
      <c r="R45" s="576"/>
      <c r="S45" s="576">
        <f t="shared" si="2"/>
        <v>0</v>
      </c>
      <c r="T45" s="737">
        <f t="shared" si="1"/>
        <v>0</v>
      </c>
      <c r="U45" s="576"/>
      <c r="V45" s="576"/>
      <c r="W45" s="576"/>
      <c r="X45" s="576"/>
      <c r="Y45" s="576"/>
      <c r="Z45" s="576"/>
      <c r="AA45" s="576"/>
      <c r="AB45" s="576"/>
      <c r="AC45" s="576"/>
      <c r="AD45" s="576"/>
      <c r="AE45" s="576"/>
      <c r="AF45" s="576"/>
      <c r="AG45" s="737">
        <f t="shared" si="3"/>
        <v>0</v>
      </c>
      <c r="AH45" s="737">
        <f t="shared" si="4"/>
        <v>0</v>
      </c>
    </row>
    <row r="46" spans="1:34" ht="15.75" customHeight="1" x14ac:dyDescent="0.2">
      <c r="A46" s="32">
        <v>1</v>
      </c>
      <c r="B46" s="47" t="s">
        <v>44</v>
      </c>
      <c r="C46" s="33" t="s">
        <v>44</v>
      </c>
      <c r="D46" s="33" t="s">
        <v>45</v>
      </c>
      <c r="E46" s="33" t="s">
        <v>49</v>
      </c>
      <c r="F46" s="45">
        <v>54204</v>
      </c>
      <c r="G46" s="31" t="s">
        <v>199</v>
      </c>
      <c r="H46" s="273"/>
      <c r="I46" s="273"/>
      <c r="J46" s="273"/>
      <c r="K46" s="273"/>
      <c r="L46" s="273"/>
      <c r="M46" s="273"/>
      <c r="N46" s="273"/>
      <c r="O46" s="273"/>
      <c r="P46" s="273"/>
      <c r="Q46" s="748"/>
      <c r="R46" s="748"/>
      <c r="S46" s="576">
        <f t="shared" si="2"/>
        <v>0</v>
      </c>
      <c r="T46" s="737">
        <f t="shared" si="1"/>
        <v>0</v>
      </c>
      <c r="U46" s="576"/>
      <c r="V46" s="576"/>
      <c r="W46" s="576"/>
      <c r="X46" s="576"/>
      <c r="Y46" s="576"/>
      <c r="Z46" s="576"/>
      <c r="AA46" s="576"/>
      <c r="AB46" s="576"/>
      <c r="AC46" s="576"/>
      <c r="AD46" s="576"/>
      <c r="AE46" s="576"/>
      <c r="AF46" s="576"/>
      <c r="AG46" s="737">
        <f t="shared" si="3"/>
        <v>0</v>
      </c>
      <c r="AH46" s="737">
        <f t="shared" si="4"/>
        <v>0</v>
      </c>
    </row>
    <row r="47" spans="1:34" ht="15.75" customHeight="1" x14ac:dyDescent="0.2">
      <c r="A47" s="32"/>
      <c r="B47" s="47"/>
      <c r="C47" s="33"/>
      <c r="D47" s="33"/>
      <c r="E47" s="33"/>
      <c r="F47" s="45"/>
      <c r="G47" s="31"/>
      <c r="H47" s="273"/>
      <c r="I47" s="273"/>
      <c r="J47" s="273"/>
      <c r="K47" s="273"/>
      <c r="L47" s="273"/>
      <c r="M47" s="273"/>
      <c r="N47" s="273"/>
      <c r="O47" s="273"/>
      <c r="P47" s="273"/>
      <c r="Q47" s="748"/>
      <c r="R47" s="748"/>
      <c r="S47" s="576">
        <f t="shared" si="2"/>
        <v>0</v>
      </c>
      <c r="T47" s="737">
        <f t="shared" si="1"/>
        <v>0</v>
      </c>
      <c r="U47" s="576"/>
      <c r="V47" s="576"/>
      <c r="W47" s="576"/>
      <c r="X47" s="576"/>
      <c r="Y47" s="576"/>
      <c r="Z47" s="576"/>
      <c r="AA47" s="576"/>
      <c r="AB47" s="576"/>
      <c r="AC47" s="576"/>
      <c r="AD47" s="576"/>
      <c r="AE47" s="576"/>
      <c r="AF47" s="576"/>
      <c r="AG47" s="737">
        <f t="shared" si="3"/>
        <v>0</v>
      </c>
      <c r="AH47" s="737">
        <f t="shared" si="4"/>
        <v>0</v>
      </c>
    </row>
    <row r="48" spans="1:34" s="589" customFormat="1" ht="15.75" customHeight="1" x14ac:dyDescent="0.2">
      <c r="A48" s="614">
        <v>1</v>
      </c>
      <c r="B48" s="586" t="s">
        <v>44</v>
      </c>
      <c r="C48" s="587" t="s">
        <v>44</v>
      </c>
      <c r="D48" s="587" t="s">
        <v>45</v>
      </c>
      <c r="E48" s="587" t="s">
        <v>49</v>
      </c>
      <c r="F48" s="615">
        <v>54301</v>
      </c>
      <c r="G48" s="616" t="s">
        <v>143</v>
      </c>
      <c r="H48" s="617">
        <v>4000</v>
      </c>
      <c r="I48" s="617"/>
      <c r="J48" s="617">
        <v>1000</v>
      </c>
      <c r="K48" s="617"/>
      <c r="L48" s="617"/>
      <c r="M48" s="617"/>
      <c r="N48" s="617"/>
      <c r="O48" s="617"/>
      <c r="P48" s="617"/>
      <c r="Q48" s="576"/>
      <c r="R48" s="576"/>
      <c r="S48" s="576">
        <f t="shared" si="2"/>
        <v>1000</v>
      </c>
      <c r="T48" s="737">
        <f t="shared" si="1"/>
        <v>3000</v>
      </c>
      <c r="U48" s="576"/>
      <c r="V48" s="576"/>
      <c r="W48" s="576"/>
      <c r="X48" s="576">
        <v>200</v>
      </c>
      <c r="Y48" s="576"/>
      <c r="Z48" s="576"/>
      <c r="AA48" s="576"/>
      <c r="AB48" s="576">
        <v>200</v>
      </c>
      <c r="AC48" s="576"/>
      <c r="AD48" s="576">
        <v>200</v>
      </c>
      <c r="AE48" s="576"/>
      <c r="AF48" s="576"/>
      <c r="AG48" s="737">
        <f t="shared" si="3"/>
        <v>600</v>
      </c>
      <c r="AH48" s="737">
        <f t="shared" si="4"/>
        <v>2400</v>
      </c>
    </row>
    <row r="49" spans="1:34" s="589" customFormat="1" ht="15.75" customHeight="1" x14ac:dyDescent="0.2">
      <c r="A49" s="614">
        <v>1</v>
      </c>
      <c r="B49" s="586" t="s">
        <v>44</v>
      </c>
      <c r="C49" s="587" t="s">
        <v>44</v>
      </c>
      <c r="D49" s="587" t="s">
        <v>45</v>
      </c>
      <c r="E49" s="587" t="s">
        <v>49</v>
      </c>
      <c r="F49" s="615">
        <v>54302</v>
      </c>
      <c r="G49" s="616" t="s">
        <v>144</v>
      </c>
      <c r="H49" s="617">
        <f>[1]CONSOLIDADO!$I$24</f>
        <v>4000</v>
      </c>
      <c r="I49" s="617"/>
      <c r="J49" s="617">
        <v>1000</v>
      </c>
      <c r="K49" s="617"/>
      <c r="L49" s="617"/>
      <c r="M49" s="617"/>
      <c r="N49" s="617"/>
      <c r="O49" s="617"/>
      <c r="P49" s="617"/>
      <c r="Q49" s="576"/>
      <c r="R49" s="576"/>
      <c r="S49" s="576">
        <f t="shared" si="2"/>
        <v>1000</v>
      </c>
      <c r="T49" s="737">
        <f t="shared" si="1"/>
        <v>3000</v>
      </c>
      <c r="U49" s="576"/>
      <c r="V49" s="576"/>
      <c r="W49" s="576"/>
      <c r="X49" s="576"/>
      <c r="Y49" s="576"/>
      <c r="Z49" s="576"/>
      <c r="AA49" s="576"/>
      <c r="AB49" s="576"/>
      <c r="AC49" s="576"/>
      <c r="AD49" s="576"/>
      <c r="AE49" s="576"/>
      <c r="AF49" s="576"/>
      <c r="AG49" s="737">
        <f t="shared" si="3"/>
        <v>0</v>
      </c>
      <c r="AH49" s="737">
        <f t="shared" si="4"/>
        <v>3000</v>
      </c>
    </row>
    <row r="50" spans="1:34" s="589" customFormat="1" ht="15.75" customHeight="1" x14ac:dyDescent="0.2">
      <c r="A50" s="614">
        <v>1</v>
      </c>
      <c r="B50" s="586" t="s">
        <v>44</v>
      </c>
      <c r="C50" s="587" t="s">
        <v>44</v>
      </c>
      <c r="D50" s="587" t="s">
        <v>45</v>
      </c>
      <c r="E50" s="587" t="s">
        <v>49</v>
      </c>
      <c r="F50" s="615">
        <v>54303</v>
      </c>
      <c r="G50" s="616" t="s">
        <v>145</v>
      </c>
      <c r="H50" s="617">
        <f>[1]CONSOLIDADO!$I$25</f>
        <v>2000</v>
      </c>
      <c r="I50" s="617"/>
      <c r="J50" s="617"/>
      <c r="K50" s="617"/>
      <c r="L50" s="617"/>
      <c r="M50" s="617"/>
      <c r="N50" s="617"/>
      <c r="O50" s="617"/>
      <c r="P50" s="617"/>
      <c r="Q50" s="576"/>
      <c r="R50" s="576"/>
      <c r="S50" s="576">
        <f t="shared" si="2"/>
        <v>0</v>
      </c>
      <c r="T50" s="737">
        <f t="shared" si="1"/>
        <v>2000</v>
      </c>
      <c r="U50" s="576"/>
      <c r="V50" s="576"/>
      <c r="W50" s="576"/>
      <c r="X50" s="576"/>
      <c r="Y50" s="576"/>
      <c r="Z50" s="576"/>
      <c r="AA50" s="576"/>
      <c r="AB50" s="576"/>
      <c r="AC50" s="576"/>
      <c r="AD50" s="576"/>
      <c r="AE50" s="576"/>
      <c r="AF50" s="576"/>
      <c r="AG50" s="737">
        <f t="shared" si="3"/>
        <v>0</v>
      </c>
      <c r="AH50" s="737">
        <f t="shared" si="4"/>
        <v>2000</v>
      </c>
    </row>
    <row r="51" spans="1:34" s="589" customFormat="1" ht="15.75" customHeight="1" x14ac:dyDescent="0.2">
      <c r="A51" s="614">
        <v>1</v>
      </c>
      <c r="B51" s="586" t="s">
        <v>44</v>
      </c>
      <c r="C51" s="587" t="s">
        <v>44</v>
      </c>
      <c r="D51" s="587" t="s">
        <v>45</v>
      </c>
      <c r="E51" s="587" t="s">
        <v>49</v>
      </c>
      <c r="F51" s="615">
        <v>54304</v>
      </c>
      <c r="G51" s="616" t="s">
        <v>64</v>
      </c>
      <c r="H51" s="617">
        <v>2000</v>
      </c>
      <c r="I51" s="617">
        <v>500</v>
      </c>
      <c r="J51" s="617"/>
      <c r="K51" s="617"/>
      <c r="L51" s="617"/>
      <c r="M51" s="617"/>
      <c r="N51" s="617"/>
      <c r="O51" s="617"/>
      <c r="P51" s="617"/>
      <c r="Q51" s="576"/>
      <c r="R51" s="576"/>
      <c r="S51" s="576">
        <f t="shared" si="2"/>
        <v>500</v>
      </c>
      <c r="T51" s="737">
        <f t="shared" si="1"/>
        <v>1500</v>
      </c>
      <c r="U51" s="576"/>
      <c r="V51" s="576"/>
      <c r="W51" s="576"/>
      <c r="X51" s="576"/>
      <c r="Y51" s="576"/>
      <c r="Z51" s="576"/>
      <c r="AA51" s="576"/>
      <c r="AB51" s="576"/>
      <c r="AC51" s="576"/>
      <c r="AD51" s="576"/>
      <c r="AE51" s="576"/>
      <c r="AF51" s="576"/>
      <c r="AG51" s="737">
        <f t="shared" si="3"/>
        <v>0</v>
      </c>
      <c r="AH51" s="737">
        <f t="shared" si="4"/>
        <v>1500</v>
      </c>
    </row>
    <row r="52" spans="1:34" s="589" customFormat="1" ht="15.75" customHeight="1" x14ac:dyDescent="0.2">
      <c r="A52" s="614">
        <v>1</v>
      </c>
      <c r="B52" s="586" t="s">
        <v>44</v>
      </c>
      <c r="C52" s="587" t="s">
        <v>44</v>
      </c>
      <c r="D52" s="587" t="s">
        <v>45</v>
      </c>
      <c r="E52" s="587" t="s">
        <v>49</v>
      </c>
      <c r="F52" s="615">
        <v>54305</v>
      </c>
      <c r="G52" s="616" t="s">
        <v>65</v>
      </c>
      <c r="H52" s="617">
        <f>[1]CONSOLIDADO!$I$26</f>
        <v>2000</v>
      </c>
      <c r="I52" s="617">
        <v>500</v>
      </c>
      <c r="J52" s="617"/>
      <c r="K52" s="617"/>
      <c r="L52" s="617"/>
      <c r="M52" s="617"/>
      <c r="N52" s="617"/>
      <c r="O52" s="617"/>
      <c r="P52" s="617"/>
      <c r="Q52" s="576"/>
      <c r="R52" s="576"/>
      <c r="S52" s="576">
        <f t="shared" si="2"/>
        <v>500</v>
      </c>
      <c r="T52" s="737">
        <f t="shared" si="1"/>
        <v>1500</v>
      </c>
      <c r="U52" s="576"/>
      <c r="V52" s="576"/>
      <c r="W52" s="576"/>
      <c r="X52" s="576"/>
      <c r="Y52" s="576"/>
      <c r="Z52" s="576"/>
      <c r="AA52" s="576"/>
      <c r="AB52" s="576"/>
      <c r="AC52" s="576"/>
      <c r="AD52" s="576">
        <v>300</v>
      </c>
      <c r="AE52" s="576"/>
      <c r="AF52" s="576"/>
      <c r="AG52" s="737">
        <f t="shared" si="3"/>
        <v>300</v>
      </c>
      <c r="AH52" s="737">
        <f t="shared" si="4"/>
        <v>1200</v>
      </c>
    </row>
    <row r="53" spans="1:34" ht="15.75" customHeight="1" x14ac:dyDescent="0.2">
      <c r="A53" s="32">
        <v>1</v>
      </c>
      <c r="B53" s="47" t="s">
        <v>44</v>
      </c>
      <c r="C53" s="33" t="s">
        <v>44</v>
      </c>
      <c r="D53" s="33" t="s">
        <v>45</v>
      </c>
      <c r="E53" s="33" t="s">
        <v>49</v>
      </c>
      <c r="F53" s="45">
        <v>54307</v>
      </c>
      <c r="G53" s="90" t="s">
        <v>200</v>
      </c>
      <c r="H53" s="273"/>
      <c r="I53" s="273"/>
      <c r="J53" s="273"/>
      <c r="K53" s="273"/>
      <c r="L53" s="273"/>
      <c r="M53" s="273"/>
      <c r="N53" s="273"/>
      <c r="O53" s="273"/>
      <c r="P53" s="273"/>
      <c r="Q53" s="748"/>
      <c r="R53" s="748"/>
      <c r="S53" s="576">
        <f t="shared" si="2"/>
        <v>0</v>
      </c>
      <c r="T53" s="737">
        <f t="shared" si="1"/>
        <v>0</v>
      </c>
      <c r="U53" s="576"/>
      <c r="V53" s="576"/>
      <c r="W53" s="576"/>
      <c r="X53" s="576"/>
      <c r="Y53" s="576"/>
      <c r="Z53" s="576"/>
      <c r="AA53" s="576"/>
      <c r="AB53" s="576"/>
      <c r="AC53" s="576"/>
      <c r="AD53" s="576"/>
      <c r="AE53" s="576"/>
      <c r="AF53" s="576"/>
      <c r="AG53" s="737">
        <f t="shared" si="3"/>
        <v>0</v>
      </c>
      <c r="AH53" s="737">
        <f t="shared" si="4"/>
        <v>0</v>
      </c>
    </row>
    <row r="54" spans="1:34" ht="15.75" customHeight="1" x14ac:dyDescent="0.2">
      <c r="A54" s="32"/>
      <c r="B54" s="47"/>
      <c r="C54" s="33"/>
      <c r="D54" s="33"/>
      <c r="E54" s="33"/>
      <c r="F54" s="45">
        <v>54308</v>
      </c>
      <c r="G54" s="90" t="s">
        <v>521</v>
      </c>
      <c r="H54" s="273"/>
      <c r="I54" s="273"/>
      <c r="J54" s="273"/>
      <c r="K54" s="273"/>
      <c r="L54" s="273"/>
      <c r="M54" s="273"/>
      <c r="N54" s="273"/>
      <c r="O54" s="273"/>
      <c r="P54" s="273"/>
      <c r="Q54" s="748"/>
      <c r="R54" s="748"/>
      <c r="S54" s="576">
        <f t="shared" si="2"/>
        <v>0</v>
      </c>
      <c r="T54" s="737">
        <f t="shared" si="1"/>
        <v>0</v>
      </c>
      <c r="U54" s="576"/>
      <c r="V54" s="576"/>
      <c r="W54" s="576"/>
      <c r="X54" s="576"/>
      <c r="Y54" s="576"/>
      <c r="Z54" s="576"/>
      <c r="AA54" s="576"/>
      <c r="AB54" s="576"/>
      <c r="AC54" s="576"/>
      <c r="AD54" s="576"/>
      <c r="AE54" s="576"/>
      <c r="AF54" s="576"/>
      <c r="AG54" s="737">
        <f t="shared" si="3"/>
        <v>0</v>
      </c>
      <c r="AH54" s="737">
        <f t="shared" si="4"/>
        <v>0</v>
      </c>
    </row>
    <row r="55" spans="1:34" ht="15.75" customHeight="1" x14ac:dyDescent="0.2">
      <c r="A55" s="32"/>
      <c r="B55" s="47"/>
      <c r="C55" s="33"/>
      <c r="D55" s="33"/>
      <c r="E55" s="33"/>
      <c r="F55" s="45">
        <v>54310</v>
      </c>
      <c r="G55" s="90" t="s">
        <v>522</v>
      </c>
      <c r="H55" s="273"/>
      <c r="I55" s="273"/>
      <c r="J55" s="273"/>
      <c r="K55" s="273"/>
      <c r="L55" s="273"/>
      <c r="M55" s="273"/>
      <c r="N55" s="273"/>
      <c r="O55" s="273"/>
      <c r="P55" s="273"/>
      <c r="Q55" s="748"/>
      <c r="R55" s="748"/>
      <c r="S55" s="576">
        <f t="shared" si="2"/>
        <v>0</v>
      </c>
      <c r="T55" s="737">
        <f t="shared" si="1"/>
        <v>0</v>
      </c>
      <c r="U55" s="576"/>
      <c r="V55" s="576"/>
      <c r="W55" s="576"/>
      <c r="X55" s="576"/>
      <c r="Y55" s="576"/>
      <c r="Z55" s="576"/>
      <c r="AA55" s="576"/>
      <c r="AB55" s="576"/>
      <c r="AC55" s="576"/>
      <c r="AD55" s="576"/>
      <c r="AE55" s="576"/>
      <c r="AF55" s="576"/>
      <c r="AG55" s="737">
        <f t="shared" si="3"/>
        <v>0</v>
      </c>
      <c r="AH55" s="737">
        <f t="shared" si="4"/>
        <v>0</v>
      </c>
    </row>
    <row r="56" spans="1:34" ht="15.75" customHeight="1" x14ac:dyDescent="0.2">
      <c r="A56" s="32">
        <v>1</v>
      </c>
      <c r="B56" s="47" t="s">
        <v>44</v>
      </c>
      <c r="C56" s="33" t="s">
        <v>44</v>
      </c>
      <c r="D56" s="33" t="s">
        <v>45</v>
      </c>
      <c r="E56" s="33" t="s">
        <v>49</v>
      </c>
      <c r="F56" s="45">
        <v>54311</v>
      </c>
      <c r="G56" s="90" t="s">
        <v>270</v>
      </c>
      <c r="H56" s="273"/>
      <c r="I56" s="273"/>
      <c r="J56" s="273"/>
      <c r="K56" s="273"/>
      <c r="L56" s="273"/>
      <c r="M56" s="273"/>
      <c r="N56" s="273"/>
      <c r="O56" s="273"/>
      <c r="P56" s="273"/>
      <c r="Q56" s="748"/>
      <c r="R56" s="748"/>
      <c r="S56" s="576">
        <f t="shared" si="2"/>
        <v>0</v>
      </c>
      <c r="T56" s="737">
        <f t="shared" si="1"/>
        <v>0</v>
      </c>
      <c r="U56" s="576"/>
      <c r="V56" s="576"/>
      <c r="W56" s="576"/>
      <c r="X56" s="576"/>
      <c r="Y56" s="576"/>
      <c r="Z56" s="576"/>
      <c r="AA56" s="576"/>
      <c r="AB56" s="576"/>
      <c r="AC56" s="576"/>
      <c r="AD56" s="576"/>
      <c r="AE56" s="576"/>
      <c r="AF56" s="576"/>
      <c r="AG56" s="737">
        <f t="shared" si="3"/>
        <v>0</v>
      </c>
      <c r="AH56" s="737">
        <f t="shared" si="4"/>
        <v>0</v>
      </c>
    </row>
    <row r="57" spans="1:34" s="589" customFormat="1" ht="15.75" customHeight="1" x14ac:dyDescent="0.2">
      <c r="A57" s="614">
        <v>1</v>
      </c>
      <c r="B57" s="586" t="s">
        <v>44</v>
      </c>
      <c r="C57" s="587" t="s">
        <v>44</v>
      </c>
      <c r="D57" s="587" t="s">
        <v>45</v>
      </c>
      <c r="E57" s="587" t="s">
        <v>49</v>
      </c>
      <c r="F57" s="615">
        <v>54313</v>
      </c>
      <c r="G57" s="616" t="s">
        <v>66</v>
      </c>
      <c r="H57" s="617">
        <f>[1]CONSOLIDADO!$I$27</f>
        <v>1000</v>
      </c>
      <c r="I57" s="617"/>
      <c r="J57" s="617"/>
      <c r="K57" s="617"/>
      <c r="L57" s="617"/>
      <c r="M57" s="617"/>
      <c r="N57" s="617"/>
      <c r="O57" s="617"/>
      <c r="P57" s="617"/>
      <c r="Q57" s="576"/>
      <c r="R57" s="576"/>
      <c r="S57" s="576">
        <f t="shared" si="2"/>
        <v>0</v>
      </c>
      <c r="T57" s="737">
        <f t="shared" ref="T57:T86" si="5">H57-S57</f>
        <v>1000</v>
      </c>
      <c r="U57" s="576"/>
      <c r="V57" s="576"/>
      <c r="W57" s="576"/>
      <c r="X57" s="576"/>
      <c r="Y57" s="576">
        <v>100</v>
      </c>
      <c r="Z57" s="576"/>
      <c r="AA57" s="576"/>
      <c r="AB57" s="576"/>
      <c r="AC57" s="576"/>
      <c r="AD57" s="576"/>
      <c r="AE57" s="576"/>
      <c r="AF57" s="576"/>
      <c r="AG57" s="737">
        <f t="shared" si="3"/>
        <v>100</v>
      </c>
      <c r="AH57" s="737">
        <f t="shared" si="4"/>
        <v>900</v>
      </c>
    </row>
    <row r="58" spans="1:34" s="589" customFormat="1" ht="15.75" customHeight="1" x14ac:dyDescent="0.2">
      <c r="A58" s="614">
        <v>1</v>
      </c>
      <c r="B58" s="586" t="s">
        <v>44</v>
      </c>
      <c r="C58" s="587" t="s">
        <v>44</v>
      </c>
      <c r="D58" s="587" t="s">
        <v>45</v>
      </c>
      <c r="E58" s="587" t="s">
        <v>49</v>
      </c>
      <c r="F58" s="615">
        <v>54314</v>
      </c>
      <c r="G58" s="616" t="s">
        <v>69</v>
      </c>
      <c r="H58" s="617">
        <v>17000</v>
      </c>
      <c r="I58" s="617">
        <v>10000</v>
      </c>
      <c r="J58" s="617">
        <v>1000</v>
      </c>
      <c r="K58" s="617"/>
      <c r="L58" s="617"/>
      <c r="M58" s="617"/>
      <c r="N58" s="617"/>
      <c r="O58" s="617"/>
      <c r="P58" s="617">
        <v>1000</v>
      </c>
      <c r="Q58" s="576"/>
      <c r="R58" s="576"/>
      <c r="S58" s="576">
        <f t="shared" si="2"/>
        <v>12000</v>
      </c>
      <c r="T58" s="737">
        <f t="shared" si="5"/>
        <v>5000</v>
      </c>
      <c r="U58" s="576"/>
      <c r="V58" s="576"/>
      <c r="W58" s="576"/>
      <c r="X58" s="576"/>
      <c r="Y58" s="576"/>
      <c r="Z58" s="576"/>
      <c r="AA58" s="576"/>
      <c r="AB58" s="576"/>
      <c r="AC58" s="576"/>
      <c r="AD58" s="576">
        <v>3000</v>
      </c>
      <c r="AE58" s="576"/>
      <c r="AF58" s="576"/>
      <c r="AG58" s="737">
        <f t="shared" si="3"/>
        <v>3000</v>
      </c>
      <c r="AH58" s="737">
        <f t="shared" si="4"/>
        <v>2000</v>
      </c>
    </row>
    <row r="59" spans="1:34" s="589" customFormat="1" ht="15.75" customHeight="1" x14ac:dyDescent="0.2">
      <c r="A59" s="614">
        <v>1</v>
      </c>
      <c r="B59" s="586" t="s">
        <v>44</v>
      </c>
      <c r="C59" s="587" t="s">
        <v>44</v>
      </c>
      <c r="D59" s="587" t="s">
        <v>45</v>
      </c>
      <c r="E59" s="587" t="s">
        <v>49</v>
      </c>
      <c r="F59" s="615">
        <v>54316</v>
      </c>
      <c r="G59" s="616" t="s">
        <v>159</v>
      </c>
      <c r="H59" s="617">
        <v>2000</v>
      </c>
      <c r="I59" s="617"/>
      <c r="J59" s="617">
        <v>500</v>
      </c>
      <c r="K59" s="617"/>
      <c r="L59" s="617"/>
      <c r="M59" s="617"/>
      <c r="N59" s="617"/>
      <c r="O59" s="617"/>
      <c r="P59" s="617"/>
      <c r="Q59" s="576"/>
      <c r="R59" s="576"/>
      <c r="S59" s="576">
        <f t="shared" si="2"/>
        <v>500</v>
      </c>
      <c r="T59" s="737">
        <f t="shared" si="5"/>
        <v>1500</v>
      </c>
      <c r="U59" s="576"/>
      <c r="V59" s="576"/>
      <c r="W59" s="576"/>
      <c r="X59" s="576"/>
      <c r="Y59" s="576"/>
      <c r="Z59" s="576"/>
      <c r="AA59" s="576"/>
      <c r="AB59" s="576"/>
      <c r="AC59" s="576"/>
      <c r="AD59" s="576"/>
      <c r="AE59" s="576"/>
      <c r="AF59" s="576"/>
      <c r="AG59" s="737">
        <f t="shared" si="3"/>
        <v>0</v>
      </c>
      <c r="AH59" s="737">
        <f t="shared" si="4"/>
        <v>1500</v>
      </c>
    </row>
    <row r="60" spans="1:34" s="589" customFormat="1" ht="15.75" customHeight="1" x14ac:dyDescent="0.2">
      <c r="A60" s="614">
        <v>1</v>
      </c>
      <c r="B60" s="586" t="s">
        <v>44</v>
      </c>
      <c r="C60" s="587" t="s">
        <v>44</v>
      </c>
      <c r="D60" s="587" t="s">
        <v>45</v>
      </c>
      <c r="E60" s="587" t="s">
        <v>1183</v>
      </c>
      <c r="F60" s="615">
        <v>54317</v>
      </c>
      <c r="G60" s="616" t="s">
        <v>478</v>
      </c>
      <c r="H60" s="617">
        <f>[1]CONSOLIDADO!$I$29</f>
        <v>4000</v>
      </c>
      <c r="I60" s="617"/>
      <c r="J60" s="617"/>
      <c r="K60" s="617"/>
      <c r="L60" s="617"/>
      <c r="M60" s="617"/>
      <c r="N60" s="617"/>
      <c r="O60" s="617"/>
      <c r="P60" s="617"/>
      <c r="Q60" s="576"/>
      <c r="R60" s="576"/>
      <c r="S60" s="576">
        <f t="shared" si="2"/>
        <v>0</v>
      </c>
      <c r="T60" s="737">
        <f t="shared" si="5"/>
        <v>4000</v>
      </c>
      <c r="U60" s="576"/>
      <c r="V60" s="576">
        <v>800</v>
      </c>
      <c r="W60" s="576"/>
      <c r="X60" s="576"/>
      <c r="Y60" s="576">
        <v>500</v>
      </c>
      <c r="Z60" s="576"/>
      <c r="AA60" s="576"/>
      <c r="AB60" s="576"/>
      <c r="AC60" s="576"/>
      <c r="AD60" s="576"/>
      <c r="AE60" s="576"/>
      <c r="AF60" s="576"/>
      <c r="AG60" s="737">
        <f t="shared" si="3"/>
        <v>1300</v>
      </c>
      <c r="AH60" s="737">
        <f t="shared" si="4"/>
        <v>2700</v>
      </c>
    </row>
    <row r="61" spans="1:34" s="589" customFormat="1" ht="15.75" customHeight="1" x14ac:dyDescent="0.2">
      <c r="A61" s="614">
        <v>1</v>
      </c>
      <c r="B61" s="586" t="s">
        <v>44</v>
      </c>
      <c r="C61" s="587" t="s">
        <v>44</v>
      </c>
      <c r="D61" s="587" t="s">
        <v>45</v>
      </c>
      <c r="E61" s="587" t="s">
        <v>49</v>
      </c>
      <c r="F61" s="615">
        <v>54399</v>
      </c>
      <c r="G61" s="616" t="s">
        <v>311</v>
      </c>
      <c r="H61" s="617">
        <v>14000</v>
      </c>
      <c r="I61" s="617">
        <v>5000</v>
      </c>
      <c r="J61" s="617">
        <v>1000</v>
      </c>
      <c r="K61" s="617"/>
      <c r="L61" s="617">
        <v>3250</v>
      </c>
      <c r="M61" s="617">
        <v>200</v>
      </c>
      <c r="N61" s="617">
        <v>2000</v>
      </c>
      <c r="O61" s="617"/>
      <c r="P61" s="617"/>
      <c r="Q61" s="576" t="s">
        <v>964</v>
      </c>
      <c r="R61" s="576"/>
      <c r="S61" s="576">
        <f t="shared" si="2"/>
        <v>11450</v>
      </c>
      <c r="T61" s="737">
        <f t="shared" si="5"/>
        <v>2550</v>
      </c>
      <c r="U61" s="576"/>
      <c r="V61" s="576"/>
      <c r="W61" s="576"/>
      <c r="X61" s="576"/>
      <c r="Y61" s="576"/>
      <c r="Z61" s="576">
        <v>100</v>
      </c>
      <c r="AA61" s="576"/>
      <c r="AB61" s="576"/>
      <c r="AC61" s="576"/>
      <c r="AD61" s="576"/>
      <c r="AE61" s="576"/>
      <c r="AF61" s="576"/>
      <c r="AG61" s="737">
        <f t="shared" si="3"/>
        <v>100</v>
      </c>
      <c r="AH61" s="737">
        <f t="shared" si="4"/>
        <v>2450</v>
      </c>
    </row>
    <row r="62" spans="1:34" s="589" customFormat="1" ht="15.75" customHeight="1" x14ac:dyDescent="0.2">
      <c r="A62" s="614">
        <v>1</v>
      </c>
      <c r="B62" s="586" t="s">
        <v>44</v>
      </c>
      <c r="C62" s="587" t="s">
        <v>44</v>
      </c>
      <c r="D62" s="587" t="s">
        <v>45</v>
      </c>
      <c r="E62" s="587" t="s">
        <v>49</v>
      </c>
      <c r="F62" s="615">
        <v>54401</v>
      </c>
      <c r="G62" s="616" t="s">
        <v>201</v>
      </c>
      <c r="H62" s="617">
        <v>720</v>
      </c>
      <c r="I62" s="617"/>
      <c r="J62" s="617"/>
      <c r="K62" s="617"/>
      <c r="L62" s="617"/>
      <c r="M62" s="617"/>
      <c r="N62" s="617"/>
      <c r="O62" s="617"/>
      <c r="P62" s="617"/>
      <c r="Q62" s="576"/>
      <c r="R62" s="576"/>
      <c r="S62" s="576">
        <f t="shared" si="2"/>
        <v>0</v>
      </c>
      <c r="T62" s="737">
        <f t="shared" si="5"/>
        <v>720</v>
      </c>
      <c r="U62" s="576"/>
      <c r="V62" s="576"/>
      <c r="W62" s="576"/>
      <c r="X62" s="576"/>
      <c r="Y62" s="576"/>
      <c r="Z62" s="576"/>
      <c r="AA62" s="576"/>
      <c r="AB62" s="576"/>
      <c r="AC62" s="576"/>
      <c r="AD62" s="576"/>
      <c r="AE62" s="576"/>
      <c r="AF62" s="576"/>
      <c r="AG62" s="737">
        <f t="shared" si="3"/>
        <v>0</v>
      </c>
      <c r="AH62" s="737">
        <f t="shared" si="4"/>
        <v>720</v>
      </c>
    </row>
    <row r="63" spans="1:34" ht="15.75" customHeight="1" x14ac:dyDescent="0.2">
      <c r="A63" s="32">
        <v>1</v>
      </c>
      <c r="B63" s="47" t="s">
        <v>44</v>
      </c>
      <c r="C63" s="33" t="s">
        <v>44</v>
      </c>
      <c r="D63" s="33" t="s">
        <v>45</v>
      </c>
      <c r="E63" s="33" t="s">
        <v>49</v>
      </c>
      <c r="F63" s="45">
        <v>54402</v>
      </c>
      <c r="G63" s="31" t="s">
        <v>202</v>
      </c>
      <c r="H63" s="273"/>
      <c r="I63" s="273"/>
      <c r="J63" s="273"/>
      <c r="K63" s="273"/>
      <c r="L63" s="273"/>
      <c r="M63" s="273"/>
      <c r="N63" s="273"/>
      <c r="O63" s="273"/>
      <c r="P63" s="273"/>
      <c r="Q63" s="748"/>
      <c r="R63" s="748"/>
      <c r="S63" s="576">
        <f t="shared" si="2"/>
        <v>0</v>
      </c>
      <c r="T63" s="737">
        <f t="shared" si="5"/>
        <v>0</v>
      </c>
      <c r="U63" s="576"/>
      <c r="V63" s="576"/>
      <c r="W63" s="576"/>
      <c r="X63" s="576"/>
      <c r="Y63" s="576"/>
      <c r="Z63" s="576"/>
      <c r="AA63" s="576"/>
      <c r="AB63" s="576"/>
      <c r="AC63" s="576"/>
      <c r="AD63" s="576"/>
      <c r="AE63" s="576"/>
      <c r="AF63" s="576"/>
      <c r="AG63" s="737">
        <f t="shared" si="3"/>
        <v>0</v>
      </c>
      <c r="AH63" s="737">
        <f t="shared" si="4"/>
        <v>0</v>
      </c>
    </row>
    <row r="64" spans="1:34" s="589" customFormat="1" ht="15.75" customHeight="1" x14ac:dyDescent="0.2">
      <c r="A64" s="614">
        <v>1</v>
      </c>
      <c r="B64" s="586" t="s">
        <v>44</v>
      </c>
      <c r="C64" s="587" t="s">
        <v>44</v>
      </c>
      <c r="D64" s="587" t="s">
        <v>45</v>
      </c>
      <c r="E64" s="587" t="s">
        <v>49</v>
      </c>
      <c r="F64" s="615">
        <v>54403</v>
      </c>
      <c r="G64" s="616" t="s">
        <v>183</v>
      </c>
      <c r="H64" s="617">
        <f>[1]CONSOLIDADO!$I$32</f>
        <v>870</v>
      </c>
      <c r="I64" s="617"/>
      <c r="J64" s="617"/>
      <c r="K64" s="617"/>
      <c r="L64" s="617"/>
      <c r="M64" s="617"/>
      <c r="N64" s="617"/>
      <c r="O64" s="617"/>
      <c r="P64" s="617"/>
      <c r="Q64" s="576"/>
      <c r="R64" s="576"/>
      <c r="S64" s="576">
        <f t="shared" si="2"/>
        <v>0</v>
      </c>
      <c r="T64" s="737">
        <f t="shared" si="5"/>
        <v>870</v>
      </c>
      <c r="U64" s="576"/>
      <c r="V64" s="576"/>
      <c r="W64" s="576"/>
      <c r="X64" s="576"/>
      <c r="Y64" s="576"/>
      <c r="Z64" s="576"/>
      <c r="AA64" s="576"/>
      <c r="AB64" s="576"/>
      <c r="AC64" s="576"/>
      <c r="AD64" s="576"/>
      <c r="AE64" s="576"/>
      <c r="AF64" s="576"/>
      <c r="AG64" s="737">
        <f t="shared" si="3"/>
        <v>0</v>
      </c>
      <c r="AH64" s="737">
        <f t="shared" si="4"/>
        <v>870</v>
      </c>
    </row>
    <row r="65" spans="1:34" ht="15.75" customHeight="1" x14ac:dyDescent="0.2">
      <c r="A65" s="32"/>
      <c r="B65" s="47"/>
      <c r="C65" s="33"/>
      <c r="D65" s="33"/>
      <c r="E65" s="33"/>
      <c r="F65" s="45">
        <v>54404</v>
      </c>
      <c r="G65" s="31" t="s">
        <v>523</v>
      </c>
      <c r="H65" s="273"/>
      <c r="I65" s="273"/>
      <c r="J65" s="273"/>
      <c r="K65" s="273"/>
      <c r="L65" s="273"/>
      <c r="M65" s="273"/>
      <c r="N65" s="273"/>
      <c r="O65" s="273"/>
      <c r="P65" s="273"/>
      <c r="Q65" s="748"/>
      <c r="R65" s="748"/>
      <c r="S65" s="576">
        <f t="shared" si="2"/>
        <v>0</v>
      </c>
      <c r="T65" s="737">
        <f t="shared" si="5"/>
        <v>0</v>
      </c>
      <c r="U65" s="576"/>
      <c r="V65" s="576"/>
      <c r="W65" s="576"/>
      <c r="X65" s="576"/>
      <c r="Y65" s="576"/>
      <c r="Z65" s="576"/>
      <c r="AA65" s="576"/>
      <c r="AB65" s="576"/>
      <c r="AC65" s="576"/>
      <c r="AD65" s="576"/>
      <c r="AE65" s="576"/>
      <c r="AF65" s="576"/>
      <c r="AG65" s="737">
        <f t="shared" si="3"/>
        <v>0</v>
      </c>
      <c r="AH65" s="737">
        <f t="shared" si="4"/>
        <v>0</v>
      </c>
    </row>
    <row r="66" spans="1:34" ht="15.75" customHeight="1" x14ac:dyDescent="0.2">
      <c r="A66" s="32"/>
      <c r="B66" s="47"/>
      <c r="C66" s="33"/>
      <c r="D66" s="33"/>
      <c r="E66" s="33"/>
      <c r="F66" s="45">
        <v>54502</v>
      </c>
      <c r="G66" s="31" t="s">
        <v>312</v>
      </c>
      <c r="H66" s="273"/>
      <c r="I66" s="273"/>
      <c r="J66" s="273"/>
      <c r="K66" s="273"/>
      <c r="L66" s="273"/>
      <c r="M66" s="273"/>
      <c r="N66" s="273"/>
      <c r="O66" s="273"/>
      <c r="P66" s="273"/>
      <c r="Q66" s="748"/>
      <c r="R66" s="748"/>
      <c r="S66" s="576">
        <f t="shared" si="2"/>
        <v>0</v>
      </c>
      <c r="T66" s="737">
        <f t="shared" si="5"/>
        <v>0</v>
      </c>
      <c r="U66" s="576"/>
      <c r="V66" s="576"/>
      <c r="W66" s="576"/>
      <c r="X66" s="576"/>
      <c r="Y66" s="576"/>
      <c r="Z66" s="576"/>
      <c r="AA66" s="576"/>
      <c r="AB66" s="576"/>
      <c r="AC66" s="576"/>
      <c r="AD66" s="576"/>
      <c r="AE66" s="576"/>
      <c r="AF66" s="576"/>
      <c r="AG66" s="737">
        <f t="shared" si="3"/>
        <v>0</v>
      </c>
      <c r="AH66" s="737">
        <f t="shared" si="4"/>
        <v>0</v>
      </c>
    </row>
    <row r="67" spans="1:34" s="589" customFormat="1" ht="15.75" customHeight="1" x14ac:dyDescent="0.2">
      <c r="A67" s="614">
        <v>1</v>
      </c>
      <c r="B67" s="586" t="s">
        <v>44</v>
      </c>
      <c r="C67" s="587" t="s">
        <v>44</v>
      </c>
      <c r="D67" s="587" t="s">
        <v>45</v>
      </c>
      <c r="E67" s="587" t="s">
        <v>49</v>
      </c>
      <c r="F67" s="615">
        <v>54503</v>
      </c>
      <c r="G67" s="616" t="s">
        <v>67</v>
      </c>
      <c r="H67" s="617">
        <v>1000</v>
      </c>
      <c r="I67" s="617"/>
      <c r="J67" s="617">
        <v>500</v>
      </c>
      <c r="K67" s="617"/>
      <c r="L67" s="617"/>
      <c r="M67" s="617"/>
      <c r="N67" s="617"/>
      <c r="O67" s="617"/>
      <c r="P67" s="617"/>
      <c r="Q67" s="576"/>
      <c r="R67" s="576"/>
      <c r="S67" s="576">
        <f t="shared" si="2"/>
        <v>500</v>
      </c>
      <c r="T67" s="737">
        <f t="shared" si="5"/>
        <v>500</v>
      </c>
      <c r="U67" s="576"/>
      <c r="V67" s="576"/>
      <c r="W67" s="576"/>
      <c r="X67" s="576"/>
      <c r="Y67" s="576"/>
      <c r="Z67" s="576"/>
      <c r="AA67" s="576"/>
      <c r="AB67" s="576"/>
      <c r="AC67" s="576"/>
      <c r="AD67" s="576"/>
      <c r="AE67" s="576"/>
      <c r="AF67" s="576"/>
      <c r="AG67" s="737">
        <f t="shared" si="3"/>
        <v>0</v>
      </c>
      <c r="AH67" s="737">
        <f t="shared" si="4"/>
        <v>500</v>
      </c>
    </row>
    <row r="68" spans="1:34" s="589" customFormat="1" ht="15.75" customHeight="1" x14ac:dyDescent="0.2">
      <c r="A68" s="614">
        <v>1</v>
      </c>
      <c r="B68" s="586" t="s">
        <v>44</v>
      </c>
      <c r="C68" s="587" t="s">
        <v>44</v>
      </c>
      <c r="D68" s="587" t="s">
        <v>45</v>
      </c>
      <c r="E68" s="587" t="s">
        <v>49</v>
      </c>
      <c r="F68" s="615">
        <v>54504</v>
      </c>
      <c r="G68" s="616" t="s">
        <v>203</v>
      </c>
      <c r="H68" s="617">
        <v>12000</v>
      </c>
      <c r="I68" s="617"/>
      <c r="J68" s="617"/>
      <c r="K68" s="617"/>
      <c r="L68" s="617"/>
      <c r="M68" s="617"/>
      <c r="N68" s="617"/>
      <c r="O68" s="617"/>
      <c r="P68" s="617"/>
      <c r="Q68" s="576"/>
      <c r="R68" s="576"/>
      <c r="S68" s="576">
        <f t="shared" si="2"/>
        <v>0</v>
      </c>
      <c r="T68" s="737">
        <f t="shared" si="5"/>
        <v>12000</v>
      </c>
      <c r="U68" s="576"/>
      <c r="V68" s="576"/>
      <c r="W68" s="576"/>
      <c r="X68" s="576"/>
      <c r="Y68" s="576"/>
      <c r="Z68" s="576"/>
      <c r="AA68" s="576"/>
      <c r="AB68" s="576"/>
      <c r="AC68" s="576"/>
      <c r="AD68" s="576"/>
      <c r="AE68" s="576"/>
      <c r="AF68" s="576"/>
      <c r="AG68" s="737">
        <f t="shared" si="3"/>
        <v>0</v>
      </c>
      <c r="AH68" s="737">
        <f t="shared" si="4"/>
        <v>12000</v>
      </c>
    </row>
    <row r="69" spans="1:34" s="589" customFormat="1" ht="15.75" customHeight="1" x14ac:dyDescent="0.2">
      <c r="A69" s="614"/>
      <c r="B69" s="586"/>
      <c r="C69" s="587"/>
      <c r="D69" s="587"/>
      <c r="E69" s="587"/>
      <c r="F69" s="615">
        <v>54505</v>
      </c>
      <c r="G69" s="616" t="s">
        <v>317</v>
      </c>
      <c r="H69" s="617">
        <f>[1]CONSOLIDADO!$I$34</f>
        <v>1520</v>
      </c>
      <c r="I69" s="617"/>
      <c r="J69" s="617">
        <v>500</v>
      </c>
      <c r="K69" s="617"/>
      <c r="L69" s="617"/>
      <c r="M69" s="617"/>
      <c r="N69" s="617"/>
      <c r="O69" s="617"/>
      <c r="P69" s="617"/>
      <c r="Q69" s="576"/>
      <c r="R69" s="576"/>
      <c r="S69" s="576">
        <f t="shared" si="2"/>
        <v>500</v>
      </c>
      <c r="T69" s="737">
        <f t="shared" si="5"/>
        <v>1020</v>
      </c>
      <c r="U69" s="576"/>
      <c r="V69" s="576"/>
      <c r="W69" s="576"/>
      <c r="X69" s="576"/>
      <c r="Y69" s="576"/>
      <c r="Z69" s="576"/>
      <c r="AA69" s="576"/>
      <c r="AB69" s="576"/>
      <c r="AC69" s="576"/>
      <c r="AD69" s="576">
        <v>500</v>
      </c>
      <c r="AE69" s="576"/>
      <c r="AF69" s="576"/>
      <c r="AG69" s="737">
        <f t="shared" si="3"/>
        <v>500</v>
      </c>
      <c r="AH69" s="737">
        <f t="shared" si="4"/>
        <v>520</v>
      </c>
    </row>
    <row r="70" spans="1:34" ht="15.75" customHeight="1" x14ac:dyDescent="0.2">
      <c r="A70" s="32"/>
      <c r="B70" s="47"/>
      <c r="C70" s="33"/>
      <c r="D70" s="33"/>
      <c r="E70" s="33"/>
      <c r="F70" s="45">
        <v>54507</v>
      </c>
      <c r="G70" s="31" t="s">
        <v>537</v>
      </c>
      <c r="H70" s="273">
        <v>4000</v>
      </c>
      <c r="I70" s="273"/>
      <c r="J70" s="273"/>
      <c r="K70" s="273"/>
      <c r="L70" s="273"/>
      <c r="M70" s="273"/>
      <c r="N70" s="273"/>
      <c r="O70" s="273"/>
      <c r="P70" s="273"/>
      <c r="Q70" s="748"/>
      <c r="R70" s="748"/>
      <c r="S70" s="576">
        <f t="shared" si="2"/>
        <v>0</v>
      </c>
      <c r="T70" s="737">
        <f t="shared" si="5"/>
        <v>4000</v>
      </c>
      <c r="U70" s="576"/>
      <c r="V70" s="576"/>
      <c r="W70" s="576"/>
      <c r="X70" s="576"/>
      <c r="Y70" s="576"/>
      <c r="Z70" s="576"/>
      <c r="AA70" s="576"/>
      <c r="AB70" s="576"/>
      <c r="AC70" s="576"/>
      <c r="AD70" s="576"/>
      <c r="AE70" s="576"/>
      <c r="AF70" s="576"/>
      <c r="AG70" s="737">
        <f t="shared" si="3"/>
        <v>0</v>
      </c>
      <c r="AH70" s="737">
        <f t="shared" si="4"/>
        <v>4000</v>
      </c>
    </row>
    <row r="71" spans="1:34" s="589" customFormat="1" ht="15.75" customHeight="1" x14ac:dyDescent="0.2">
      <c r="A71" s="614">
        <v>1</v>
      </c>
      <c r="B71" s="586" t="s">
        <v>44</v>
      </c>
      <c r="C71" s="587" t="s">
        <v>44</v>
      </c>
      <c r="D71" s="587" t="s">
        <v>45</v>
      </c>
      <c r="E71" s="587" t="s">
        <v>49</v>
      </c>
      <c r="F71" s="615">
        <v>54599</v>
      </c>
      <c r="G71" s="616" t="s">
        <v>204</v>
      </c>
      <c r="H71" s="617">
        <f>[1]CONSOLIDADO!$I$35</f>
        <v>2000</v>
      </c>
      <c r="I71" s="617"/>
      <c r="J71" s="617"/>
      <c r="K71" s="617"/>
      <c r="L71" s="617"/>
      <c r="M71" s="617"/>
      <c r="N71" s="617"/>
      <c r="O71" s="617"/>
      <c r="P71" s="617"/>
      <c r="Q71" s="576"/>
      <c r="R71" s="576"/>
      <c r="S71" s="576">
        <f t="shared" si="2"/>
        <v>0</v>
      </c>
      <c r="T71" s="737">
        <f t="shared" si="5"/>
        <v>2000</v>
      </c>
      <c r="U71" s="576"/>
      <c r="V71" s="576"/>
      <c r="W71" s="576"/>
      <c r="X71" s="576"/>
      <c r="Y71" s="576"/>
      <c r="Z71" s="576"/>
      <c r="AA71" s="576"/>
      <c r="AB71" s="576"/>
      <c r="AC71" s="576"/>
      <c r="AD71" s="576"/>
      <c r="AE71" s="576"/>
      <c r="AF71" s="576"/>
      <c r="AG71" s="737">
        <f t="shared" si="3"/>
        <v>0</v>
      </c>
      <c r="AH71" s="737">
        <f t="shared" si="4"/>
        <v>2000</v>
      </c>
    </row>
    <row r="72" spans="1:34" ht="15.75" customHeight="1" x14ac:dyDescent="0.2">
      <c r="A72" s="32"/>
      <c r="B72" s="47"/>
      <c r="C72" s="33"/>
      <c r="D72" s="33"/>
      <c r="E72" s="33"/>
      <c r="F72" s="45">
        <v>54602</v>
      </c>
      <c r="G72" s="31" t="s">
        <v>163</v>
      </c>
      <c r="H72" s="273"/>
      <c r="I72" s="273"/>
      <c r="J72" s="273"/>
      <c r="K72" s="273"/>
      <c r="L72" s="273"/>
      <c r="M72" s="273"/>
      <c r="N72" s="273"/>
      <c r="O72" s="273"/>
      <c r="P72" s="273"/>
      <c r="Q72" s="748"/>
      <c r="R72" s="748"/>
      <c r="S72" s="576">
        <f t="shared" si="2"/>
        <v>0</v>
      </c>
      <c r="T72" s="737">
        <f t="shared" si="5"/>
        <v>0</v>
      </c>
      <c r="U72" s="576"/>
      <c r="V72" s="576"/>
      <c r="W72" s="576"/>
      <c r="X72" s="576"/>
      <c r="Y72" s="576"/>
      <c r="Z72" s="576"/>
      <c r="AA72" s="576"/>
      <c r="AB72" s="576"/>
      <c r="AC72" s="576"/>
      <c r="AD72" s="576"/>
      <c r="AE72" s="576"/>
      <c r="AF72" s="576"/>
      <c r="AG72" s="737">
        <f t="shared" si="3"/>
        <v>0</v>
      </c>
      <c r="AH72" s="737">
        <f t="shared" si="4"/>
        <v>0</v>
      </c>
    </row>
    <row r="73" spans="1:34" ht="15.75" customHeight="1" x14ac:dyDescent="0.2">
      <c r="A73" s="32"/>
      <c r="B73" s="47"/>
      <c r="C73" s="33"/>
      <c r="D73" s="33"/>
      <c r="E73" s="33"/>
      <c r="F73" s="45">
        <v>54699</v>
      </c>
      <c r="G73" s="31" t="s">
        <v>675</v>
      </c>
      <c r="H73" s="273">
        <v>3500</v>
      </c>
      <c r="I73" s="273"/>
      <c r="J73" s="273"/>
      <c r="K73" s="273"/>
      <c r="L73" s="273"/>
      <c r="M73" s="273"/>
      <c r="N73" s="273"/>
      <c r="O73" s="273"/>
      <c r="P73" s="273"/>
      <c r="Q73" s="748"/>
      <c r="R73" s="748"/>
      <c r="S73" s="576">
        <f t="shared" si="2"/>
        <v>0</v>
      </c>
      <c r="T73" s="737">
        <f t="shared" si="5"/>
        <v>3500</v>
      </c>
      <c r="U73" s="576"/>
      <c r="V73" s="576"/>
      <c r="W73" s="576"/>
      <c r="X73" s="576"/>
      <c r="Y73" s="576"/>
      <c r="Z73" s="576"/>
      <c r="AA73" s="576"/>
      <c r="AB73" s="576"/>
      <c r="AC73" s="576"/>
      <c r="AD73" s="576"/>
      <c r="AE73" s="576"/>
      <c r="AF73" s="576"/>
      <c r="AG73" s="737">
        <f t="shared" si="3"/>
        <v>0</v>
      </c>
      <c r="AH73" s="737">
        <f t="shared" si="4"/>
        <v>3500</v>
      </c>
    </row>
    <row r="74" spans="1:34" s="589" customFormat="1" ht="15.75" customHeight="1" x14ac:dyDescent="0.2">
      <c r="A74" s="614"/>
      <c r="B74" s="586"/>
      <c r="C74" s="587"/>
      <c r="D74" s="587"/>
      <c r="E74" s="587"/>
      <c r="F74" s="615">
        <v>55601</v>
      </c>
      <c r="G74" s="616" t="s">
        <v>304</v>
      </c>
      <c r="H74" s="617">
        <v>1000</v>
      </c>
      <c r="I74" s="617"/>
      <c r="J74" s="617"/>
      <c r="K74" s="617"/>
      <c r="L74" s="617"/>
      <c r="M74" s="617"/>
      <c r="N74" s="617"/>
      <c r="O74" s="617"/>
      <c r="P74" s="617"/>
      <c r="Q74" s="576"/>
      <c r="R74" s="576"/>
      <c r="S74" s="576">
        <f t="shared" si="2"/>
        <v>0</v>
      </c>
      <c r="T74" s="737">
        <f t="shared" si="5"/>
        <v>1000</v>
      </c>
      <c r="U74" s="576"/>
      <c r="V74" s="576"/>
      <c r="W74" s="576"/>
      <c r="X74" s="576"/>
      <c r="Y74" s="576"/>
      <c r="Z74" s="576"/>
      <c r="AA74" s="576"/>
      <c r="AB74" s="576"/>
      <c r="AC74" s="576"/>
      <c r="AD74" s="576"/>
      <c r="AE74" s="576"/>
      <c r="AF74" s="576"/>
      <c r="AG74" s="737">
        <f t="shared" si="3"/>
        <v>0</v>
      </c>
      <c r="AH74" s="737">
        <f t="shared" si="4"/>
        <v>1000</v>
      </c>
    </row>
    <row r="75" spans="1:34" s="589" customFormat="1" ht="15.75" customHeight="1" x14ac:dyDescent="0.2">
      <c r="A75" s="614">
        <v>1</v>
      </c>
      <c r="B75" s="586" t="s">
        <v>44</v>
      </c>
      <c r="C75" s="587" t="s">
        <v>44</v>
      </c>
      <c r="D75" s="587" t="s">
        <v>45</v>
      </c>
      <c r="E75" s="587" t="s">
        <v>49</v>
      </c>
      <c r="F75" s="615">
        <v>55602</v>
      </c>
      <c r="G75" s="616" t="s">
        <v>205</v>
      </c>
      <c r="H75" s="617">
        <v>3000</v>
      </c>
      <c r="I75" s="617"/>
      <c r="J75" s="617"/>
      <c r="K75" s="617"/>
      <c r="L75" s="617"/>
      <c r="M75" s="617"/>
      <c r="N75" s="617"/>
      <c r="O75" s="617"/>
      <c r="P75" s="617"/>
      <c r="Q75" s="576"/>
      <c r="R75" s="576"/>
      <c r="S75" s="576">
        <f t="shared" si="2"/>
        <v>0</v>
      </c>
      <c r="T75" s="737">
        <f t="shared" si="5"/>
        <v>3000</v>
      </c>
      <c r="U75" s="576"/>
      <c r="V75" s="576"/>
      <c r="W75" s="576"/>
      <c r="X75" s="576"/>
      <c r="Y75" s="576"/>
      <c r="Z75" s="576"/>
      <c r="AA75" s="576"/>
      <c r="AB75" s="576"/>
      <c r="AC75" s="576"/>
      <c r="AD75" s="576"/>
      <c r="AE75" s="576"/>
      <c r="AF75" s="576"/>
      <c r="AG75" s="737">
        <f t="shared" si="3"/>
        <v>0</v>
      </c>
      <c r="AH75" s="737">
        <f t="shared" si="4"/>
        <v>3000</v>
      </c>
    </row>
    <row r="76" spans="1:34" s="589" customFormat="1" ht="15.75" customHeight="1" x14ac:dyDescent="0.2">
      <c r="A76" s="614">
        <v>1</v>
      </c>
      <c r="B76" s="586" t="s">
        <v>44</v>
      </c>
      <c r="C76" s="587" t="s">
        <v>44</v>
      </c>
      <c r="D76" s="587" t="s">
        <v>45</v>
      </c>
      <c r="E76" s="587" t="s">
        <v>49</v>
      </c>
      <c r="F76" s="615">
        <v>55603</v>
      </c>
      <c r="G76" s="616" t="s">
        <v>147</v>
      </c>
      <c r="H76" s="617">
        <v>100</v>
      </c>
      <c r="I76" s="617"/>
      <c r="J76" s="617"/>
      <c r="K76" s="617"/>
      <c r="L76" s="617"/>
      <c r="M76" s="617"/>
      <c r="N76" s="617"/>
      <c r="O76" s="617"/>
      <c r="P76" s="617"/>
      <c r="Q76" s="576"/>
      <c r="R76" s="576"/>
      <c r="S76" s="576">
        <f t="shared" si="2"/>
        <v>0</v>
      </c>
      <c r="T76" s="737">
        <f t="shared" si="5"/>
        <v>100</v>
      </c>
      <c r="U76" s="576"/>
      <c r="V76" s="576"/>
      <c r="W76" s="576"/>
      <c r="X76" s="576"/>
      <c r="Y76" s="576"/>
      <c r="Z76" s="576"/>
      <c r="AA76" s="576"/>
      <c r="AB76" s="576"/>
      <c r="AC76" s="576"/>
      <c r="AD76" s="576"/>
      <c r="AE76" s="576"/>
      <c r="AF76" s="576"/>
      <c r="AG76" s="737">
        <f t="shared" si="3"/>
        <v>0</v>
      </c>
      <c r="AH76" s="737">
        <f t="shared" si="4"/>
        <v>100</v>
      </c>
    </row>
    <row r="77" spans="1:34" s="589" customFormat="1" ht="15.75" customHeight="1" x14ac:dyDescent="0.2">
      <c r="A77" s="614">
        <v>1</v>
      </c>
      <c r="B77" s="586" t="s">
        <v>44</v>
      </c>
      <c r="C77" s="587" t="s">
        <v>44</v>
      </c>
      <c r="D77" s="587" t="s">
        <v>45</v>
      </c>
      <c r="E77" s="587" t="s">
        <v>49</v>
      </c>
      <c r="F77" s="615">
        <v>55703</v>
      </c>
      <c r="G77" s="616" t="s">
        <v>148</v>
      </c>
      <c r="H77" s="617"/>
      <c r="I77" s="617"/>
      <c r="J77" s="617"/>
      <c r="K77" s="617"/>
      <c r="L77" s="617"/>
      <c r="M77" s="617"/>
      <c r="N77" s="617"/>
      <c r="O77" s="617"/>
      <c r="P77" s="617"/>
      <c r="Q77" s="576"/>
      <c r="R77" s="576"/>
      <c r="S77" s="576">
        <f t="shared" si="2"/>
        <v>0</v>
      </c>
      <c r="T77" s="737">
        <f t="shared" si="5"/>
        <v>0</v>
      </c>
      <c r="U77" s="576"/>
      <c r="V77" s="576"/>
      <c r="W77" s="576"/>
      <c r="X77" s="576"/>
      <c r="Y77" s="576"/>
      <c r="Z77" s="576"/>
      <c r="AA77" s="576"/>
      <c r="AB77" s="576"/>
      <c r="AC77" s="576"/>
      <c r="AD77" s="576"/>
      <c r="AE77" s="576"/>
      <c r="AF77" s="576"/>
      <c r="AG77" s="737">
        <f t="shared" si="3"/>
        <v>0</v>
      </c>
      <c r="AH77" s="737">
        <f t="shared" si="4"/>
        <v>0</v>
      </c>
    </row>
    <row r="78" spans="1:34" ht="15.75" customHeight="1" x14ac:dyDescent="0.2">
      <c r="A78" s="32">
        <v>1</v>
      </c>
      <c r="B78" s="47" t="s">
        <v>44</v>
      </c>
      <c r="C78" s="33" t="s">
        <v>44</v>
      </c>
      <c r="D78" s="33" t="s">
        <v>45</v>
      </c>
      <c r="E78" s="33" t="s">
        <v>49</v>
      </c>
      <c r="F78" s="45">
        <v>55799</v>
      </c>
      <c r="G78" s="31" t="s">
        <v>191</v>
      </c>
      <c r="H78" s="274"/>
      <c r="I78" s="274"/>
      <c r="J78" s="274"/>
      <c r="K78" s="274"/>
      <c r="L78" s="274"/>
      <c r="M78" s="274"/>
      <c r="N78" s="274"/>
      <c r="O78" s="274"/>
      <c r="P78" s="274"/>
      <c r="Q78" s="749"/>
      <c r="R78" s="749"/>
      <c r="S78" s="576">
        <f t="shared" si="2"/>
        <v>0</v>
      </c>
      <c r="T78" s="737">
        <f t="shared" si="5"/>
        <v>0</v>
      </c>
      <c r="U78" s="576"/>
      <c r="V78" s="576"/>
      <c r="W78" s="576"/>
      <c r="X78" s="576"/>
      <c r="Y78" s="576"/>
      <c r="Z78" s="576"/>
      <c r="AA78" s="576"/>
      <c r="AB78" s="576"/>
      <c r="AC78" s="576"/>
      <c r="AD78" s="576"/>
      <c r="AE78" s="576"/>
      <c r="AF78" s="576"/>
      <c r="AG78" s="737">
        <f t="shared" si="3"/>
        <v>0</v>
      </c>
      <c r="AH78" s="737">
        <f t="shared" si="4"/>
        <v>0</v>
      </c>
    </row>
    <row r="79" spans="1:34" s="589" customFormat="1" ht="24.95" customHeight="1" x14ac:dyDescent="0.2">
      <c r="A79" s="614"/>
      <c r="B79" s="586"/>
      <c r="C79" s="587"/>
      <c r="D79" s="587"/>
      <c r="E79" s="587"/>
      <c r="F79" s="615">
        <v>56301</v>
      </c>
      <c r="G79" s="678" t="s">
        <v>558</v>
      </c>
      <c r="H79" s="617">
        <v>7000</v>
      </c>
      <c r="I79" s="617"/>
      <c r="J79" s="617"/>
      <c r="K79" s="617"/>
      <c r="L79" s="617"/>
      <c r="M79" s="617"/>
      <c r="N79" s="617"/>
      <c r="O79" s="617"/>
      <c r="P79" s="617"/>
      <c r="Q79" s="576"/>
      <c r="R79" s="576"/>
      <c r="S79" s="576">
        <f t="shared" si="2"/>
        <v>0</v>
      </c>
      <c r="T79" s="737">
        <f t="shared" si="5"/>
        <v>7000</v>
      </c>
      <c r="U79" s="576"/>
      <c r="V79" s="576"/>
      <c r="W79" s="576"/>
      <c r="X79" s="576"/>
      <c r="Y79" s="576"/>
      <c r="Z79" s="576"/>
      <c r="AA79" s="576"/>
      <c r="AB79" s="576"/>
      <c r="AC79" s="576"/>
      <c r="AD79" s="576"/>
      <c r="AE79" s="576"/>
      <c r="AF79" s="576"/>
      <c r="AG79" s="737">
        <f t="shared" si="3"/>
        <v>0</v>
      </c>
      <c r="AH79" s="737">
        <f t="shared" si="4"/>
        <v>7000</v>
      </c>
    </row>
    <row r="80" spans="1:34" s="589" customFormat="1" ht="24.95" customHeight="1" x14ac:dyDescent="0.2">
      <c r="A80" s="614"/>
      <c r="B80" s="586"/>
      <c r="C80" s="587"/>
      <c r="D80" s="587"/>
      <c r="E80" s="587"/>
      <c r="F80" s="615">
        <v>56303</v>
      </c>
      <c r="G80" s="678" t="str">
        <f>+Egresos!B124</f>
        <v>A Organismos sin fines de Lucro</v>
      </c>
      <c r="H80" s="617">
        <v>2000</v>
      </c>
      <c r="I80" s="617"/>
      <c r="J80" s="617">
        <v>500</v>
      </c>
      <c r="K80" s="617"/>
      <c r="L80" s="617"/>
      <c r="M80" s="617"/>
      <c r="N80" s="617"/>
      <c r="O80" s="617"/>
      <c r="P80" s="617"/>
      <c r="Q80" s="576"/>
      <c r="R80" s="576"/>
      <c r="S80" s="576">
        <f t="shared" si="2"/>
        <v>500</v>
      </c>
      <c r="T80" s="737">
        <f t="shared" si="5"/>
        <v>1500</v>
      </c>
      <c r="U80" s="576"/>
      <c r="V80" s="576"/>
      <c r="W80" s="576"/>
      <c r="X80" s="576"/>
      <c r="Y80" s="576"/>
      <c r="Z80" s="576"/>
      <c r="AA80" s="576"/>
      <c r="AB80" s="576"/>
      <c r="AC80" s="576"/>
      <c r="AD80" s="576"/>
      <c r="AE80" s="576"/>
      <c r="AF80" s="576"/>
      <c r="AG80" s="737">
        <f t="shared" si="3"/>
        <v>0</v>
      </c>
      <c r="AH80" s="737">
        <f t="shared" si="4"/>
        <v>1500</v>
      </c>
    </row>
    <row r="81" spans="1:34" s="589" customFormat="1" ht="15.75" customHeight="1" x14ac:dyDescent="0.2">
      <c r="A81" s="614">
        <v>1</v>
      </c>
      <c r="B81" s="586" t="s">
        <v>44</v>
      </c>
      <c r="C81" s="587" t="s">
        <v>44</v>
      </c>
      <c r="D81" s="587" t="s">
        <v>45</v>
      </c>
      <c r="E81" s="587" t="s">
        <v>49</v>
      </c>
      <c r="F81" s="615">
        <v>56304</v>
      </c>
      <c r="G81" s="616" t="s">
        <v>184</v>
      </c>
      <c r="H81" s="617">
        <v>1500</v>
      </c>
      <c r="I81" s="617"/>
      <c r="J81" s="617"/>
      <c r="K81" s="617"/>
      <c r="L81" s="617"/>
      <c r="M81" s="617"/>
      <c r="N81" s="617"/>
      <c r="O81" s="617"/>
      <c r="P81" s="617"/>
      <c r="Q81" s="576"/>
      <c r="R81" s="576"/>
      <c r="S81" s="576">
        <f t="shared" si="2"/>
        <v>0</v>
      </c>
      <c r="T81" s="737">
        <f t="shared" si="5"/>
        <v>1500</v>
      </c>
      <c r="U81" s="576"/>
      <c r="V81" s="576"/>
      <c r="W81" s="576"/>
      <c r="X81" s="576"/>
      <c r="Y81" s="576"/>
      <c r="Z81" s="576"/>
      <c r="AA81" s="576"/>
      <c r="AB81" s="576"/>
      <c r="AC81" s="576"/>
      <c r="AD81" s="576"/>
      <c r="AE81" s="576"/>
      <c r="AF81" s="576"/>
      <c r="AG81" s="737">
        <f t="shared" si="3"/>
        <v>0</v>
      </c>
      <c r="AH81" s="737">
        <f t="shared" si="4"/>
        <v>1500</v>
      </c>
    </row>
    <row r="82" spans="1:34" s="589" customFormat="1" ht="15.75" customHeight="1" x14ac:dyDescent="0.2">
      <c r="A82" s="614">
        <v>1</v>
      </c>
      <c r="B82" s="586" t="s">
        <v>44</v>
      </c>
      <c r="C82" s="587" t="s">
        <v>44</v>
      </c>
      <c r="D82" s="587" t="s">
        <v>45</v>
      </c>
      <c r="E82" s="587" t="s">
        <v>49</v>
      </c>
      <c r="F82" s="615">
        <v>61101</v>
      </c>
      <c r="G82" s="616" t="s">
        <v>150</v>
      </c>
      <c r="H82" s="617">
        <v>2500</v>
      </c>
      <c r="I82" s="617"/>
      <c r="J82" s="617">
        <v>500</v>
      </c>
      <c r="K82" s="617"/>
      <c r="L82" s="617"/>
      <c r="M82" s="617"/>
      <c r="N82" s="617"/>
      <c r="O82" s="617"/>
      <c r="P82" s="617"/>
      <c r="Q82" s="576"/>
      <c r="R82" s="576"/>
      <c r="S82" s="576">
        <f>SUM(I82:R82)</f>
        <v>500</v>
      </c>
      <c r="T82" s="737">
        <f t="shared" si="5"/>
        <v>2000</v>
      </c>
      <c r="U82" s="576">
        <v>200</v>
      </c>
      <c r="V82" s="576"/>
      <c r="W82" s="576"/>
      <c r="X82" s="576">
        <v>300</v>
      </c>
      <c r="Y82" s="576"/>
      <c r="Z82" s="576"/>
      <c r="AA82" s="576"/>
      <c r="AB82" s="576"/>
      <c r="AC82" s="576"/>
      <c r="AD82" s="576"/>
      <c r="AE82" s="576"/>
      <c r="AF82" s="576"/>
      <c r="AG82" s="737">
        <f t="shared" si="3"/>
        <v>500</v>
      </c>
      <c r="AH82" s="737">
        <f t="shared" si="4"/>
        <v>1500</v>
      </c>
    </row>
    <row r="83" spans="1:34" s="589" customFormat="1" ht="15.75" customHeight="1" x14ac:dyDescent="0.2">
      <c r="A83" s="614"/>
      <c r="B83" s="586"/>
      <c r="C83" s="587"/>
      <c r="D83" s="587"/>
      <c r="E83" s="587"/>
      <c r="F83" s="615">
        <v>61102</v>
      </c>
      <c r="G83" s="616" t="s">
        <v>306</v>
      </c>
      <c r="H83" s="617">
        <v>2000</v>
      </c>
      <c r="I83" s="617"/>
      <c r="J83" s="617"/>
      <c r="K83" s="617"/>
      <c r="L83" s="617"/>
      <c r="M83" s="617"/>
      <c r="N83" s="617"/>
      <c r="O83" s="617"/>
      <c r="P83" s="617"/>
      <c r="Q83" s="576"/>
      <c r="R83" s="576"/>
      <c r="S83" s="576">
        <f t="shared" si="2"/>
        <v>0</v>
      </c>
      <c r="T83" s="737">
        <f t="shared" si="5"/>
        <v>2000</v>
      </c>
      <c r="U83" s="576"/>
      <c r="V83" s="576"/>
      <c r="W83" s="576"/>
      <c r="X83" s="576"/>
      <c r="Y83" s="576"/>
      <c r="Z83" s="576"/>
      <c r="AA83" s="576"/>
      <c r="AB83" s="576"/>
      <c r="AC83" s="576"/>
      <c r="AD83" s="576"/>
      <c r="AE83" s="576"/>
      <c r="AF83" s="576"/>
      <c r="AG83" s="737">
        <f t="shared" si="3"/>
        <v>0</v>
      </c>
      <c r="AH83" s="737">
        <f t="shared" si="4"/>
        <v>2000</v>
      </c>
    </row>
    <row r="84" spans="1:34" s="589" customFormat="1" ht="15.75" customHeight="1" x14ac:dyDescent="0.2">
      <c r="A84" s="614"/>
      <c r="B84" s="586"/>
      <c r="C84" s="587"/>
      <c r="D84" s="587"/>
      <c r="E84" s="587"/>
      <c r="F84" s="615">
        <v>61104</v>
      </c>
      <c r="G84" s="616" t="s">
        <v>313</v>
      </c>
      <c r="H84" s="904">
        <v>5000</v>
      </c>
      <c r="I84" s="617"/>
      <c r="J84" s="617"/>
      <c r="K84" s="617"/>
      <c r="L84" s="617"/>
      <c r="M84" s="617"/>
      <c r="N84" s="617"/>
      <c r="O84" s="617"/>
      <c r="P84" s="617"/>
      <c r="Q84" s="576"/>
      <c r="R84" s="576"/>
      <c r="S84" s="576">
        <f t="shared" si="2"/>
        <v>0</v>
      </c>
      <c r="T84" s="737">
        <f t="shared" si="5"/>
        <v>5000</v>
      </c>
      <c r="U84" s="576"/>
      <c r="V84" s="576"/>
      <c r="W84" s="576">
        <v>200</v>
      </c>
      <c r="X84" s="576"/>
      <c r="Y84" s="576">
        <v>200</v>
      </c>
      <c r="Z84" s="576"/>
      <c r="AA84" s="576"/>
      <c r="AB84" s="576"/>
      <c r="AC84" s="576"/>
      <c r="AD84" s="576"/>
      <c r="AE84" s="576">
        <v>700</v>
      </c>
      <c r="AF84" s="576"/>
      <c r="AG84" s="737">
        <f t="shared" si="3"/>
        <v>1100</v>
      </c>
      <c r="AH84" s="737">
        <f t="shared" si="4"/>
        <v>3900</v>
      </c>
    </row>
    <row r="85" spans="1:34" s="589" customFormat="1" ht="15.75" customHeight="1" x14ac:dyDescent="0.2">
      <c r="A85" s="614">
        <v>1</v>
      </c>
      <c r="B85" s="586" t="s">
        <v>44</v>
      </c>
      <c r="C85" s="587" t="s">
        <v>44</v>
      </c>
      <c r="D85" s="587" t="s">
        <v>45</v>
      </c>
      <c r="E85" s="587" t="s">
        <v>49</v>
      </c>
      <c r="F85" s="615">
        <v>61199</v>
      </c>
      <c r="G85" s="616" t="s">
        <v>149</v>
      </c>
      <c r="H85" s="617">
        <v>1450.81</v>
      </c>
      <c r="I85" s="617"/>
      <c r="J85" s="617"/>
      <c r="K85" s="617"/>
      <c r="L85" s="617"/>
      <c r="M85" s="617"/>
      <c r="N85" s="617"/>
      <c r="O85" s="617"/>
      <c r="P85" s="617"/>
      <c r="Q85" s="576"/>
      <c r="R85" s="576"/>
      <c r="S85" s="576">
        <f t="shared" si="2"/>
        <v>0</v>
      </c>
      <c r="T85" s="737">
        <f t="shared" si="5"/>
        <v>1450.81</v>
      </c>
      <c r="U85" s="576"/>
      <c r="V85" s="576"/>
      <c r="W85" s="576"/>
      <c r="X85" s="576"/>
      <c r="Y85" s="576"/>
      <c r="Z85" s="576"/>
      <c r="AA85" s="576"/>
      <c r="AB85" s="576"/>
      <c r="AC85" s="576"/>
      <c r="AD85" s="576"/>
      <c r="AE85" s="576"/>
      <c r="AF85" s="576"/>
      <c r="AG85" s="737">
        <f t="shared" si="3"/>
        <v>0</v>
      </c>
      <c r="AH85" s="737">
        <f t="shared" si="4"/>
        <v>1450.81</v>
      </c>
    </row>
    <row r="86" spans="1:34" ht="15.75" customHeight="1" thickBot="1" x14ac:dyDescent="0.25">
      <c r="A86" s="50"/>
      <c r="B86" s="49"/>
      <c r="C86" s="49"/>
      <c r="D86" s="49"/>
      <c r="E86" s="51"/>
      <c r="F86" s="49"/>
      <c r="G86" s="48"/>
      <c r="H86" s="275"/>
      <c r="I86" s="275"/>
      <c r="J86" s="275"/>
      <c r="K86" s="275"/>
      <c r="L86" s="275"/>
      <c r="M86" s="275"/>
      <c r="N86" s="275"/>
      <c r="O86" s="275"/>
      <c r="P86" s="275"/>
      <c r="Q86" s="750"/>
      <c r="R86" s="750"/>
      <c r="S86" s="576">
        <f t="shared" si="2"/>
        <v>0</v>
      </c>
      <c r="T86" s="737">
        <f t="shared" si="5"/>
        <v>0</v>
      </c>
      <c r="U86" s="576"/>
      <c r="V86" s="576"/>
      <c r="W86" s="576"/>
      <c r="X86" s="576"/>
      <c r="Y86" s="576"/>
      <c r="Z86" s="576"/>
      <c r="AA86" s="576"/>
      <c r="AB86" s="576"/>
      <c r="AC86" s="576"/>
      <c r="AD86" s="576"/>
      <c r="AE86" s="576"/>
      <c r="AF86" s="576"/>
      <c r="AG86" s="737">
        <f t="shared" si="3"/>
        <v>0</v>
      </c>
      <c r="AH86" s="737">
        <f t="shared" si="4"/>
        <v>0</v>
      </c>
    </row>
    <row r="87" spans="1:34" ht="31.5" customHeight="1" thickBot="1" x14ac:dyDescent="0.6">
      <c r="A87" s="1059"/>
      <c r="B87" s="1060"/>
      <c r="C87" s="1060"/>
      <c r="D87" s="1060"/>
      <c r="E87" s="1060"/>
      <c r="F87" s="1061"/>
      <c r="G87" s="264" t="s">
        <v>206</v>
      </c>
      <c r="H87" s="276">
        <f>SUM(H10:H86)</f>
        <v>661525.23625000007</v>
      </c>
      <c r="I87" s="276">
        <f t="shared" ref="I87:R87" si="6">SUM(I10:I86)</f>
        <v>33000</v>
      </c>
      <c r="J87" s="276">
        <f t="shared" si="6"/>
        <v>20000</v>
      </c>
      <c r="K87" s="276">
        <f t="shared" si="6"/>
        <v>3000</v>
      </c>
      <c r="L87" s="276">
        <f t="shared" si="6"/>
        <v>4245</v>
      </c>
      <c r="M87" s="276">
        <f t="shared" si="6"/>
        <v>502</v>
      </c>
      <c r="N87" s="276">
        <f t="shared" si="6"/>
        <v>3757</v>
      </c>
      <c r="O87" s="276">
        <f t="shared" si="6"/>
        <v>3141.2</v>
      </c>
      <c r="P87" s="276">
        <f t="shared" si="6"/>
        <v>1000</v>
      </c>
      <c r="Q87" s="276">
        <f t="shared" si="6"/>
        <v>2308</v>
      </c>
      <c r="R87" s="276">
        <f t="shared" si="6"/>
        <v>3000</v>
      </c>
      <c r="S87" s="892">
        <f>SUM(S10:S86)</f>
        <v>73953.2</v>
      </c>
      <c r="T87" s="276">
        <f>SUM(T10:T86)</f>
        <v>137187.13</v>
      </c>
      <c r="U87" s="276">
        <f t="shared" ref="U87:AA87" si="7">SUM(U10:U86)</f>
        <v>1674</v>
      </c>
      <c r="V87" s="276">
        <f t="shared" si="7"/>
        <v>3007</v>
      </c>
      <c r="W87" s="276">
        <f t="shared" si="7"/>
        <v>2373</v>
      </c>
      <c r="X87" s="276">
        <f t="shared" si="7"/>
        <v>1963</v>
      </c>
      <c r="Y87" s="276">
        <f t="shared" si="7"/>
        <v>1698</v>
      </c>
      <c r="Z87" s="276">
        <f t="shared" si="7"/>
        <v>690</v>
      </c>
      <c r="AA87" s="276">
        <f t="shared" si="7"/>
        <v>870</v>
      </c>
      <c r="AB87" s="276">
        <f t="shared" ref="AB87:AC87" si="8">SUM(AB10:AB86)</f>
        <v>970</v>
      </c>
      <c r="AC87" s="276">
        <f t="shared" si="8"/>
        <v>2355</v>
      </c>
      <c r="AD87" s="276">
        <f t="shared" ref="AD87" si="9">SUM(AD10:AD86)</f>
        <v>4710</v>
      </c>
      <c r="AE87" s="276">
        <f>SUM(AE10:AE86)</f>
        <v>1400</v>
      </c>
      <c r="AF87" s="276"/>
      <c r="AG87" s="861">
        <f>SUM(AG10:AG86)</f>
        <v>22710</v>
      </c>
      <c r="AH87" s="861">
        <f>SUM(AH10:AH86)</f>
        <v>114477.13</v>
      </c>
    </row>
    <row r="88" spans="1:34" x14ac:dyDescent="0.2">
      <c r="A88" s="28"/>
      <c r="B88" s="28"/>
      <c r="C88" s="28"/>
      <c r="D88" s="28"/>
      <c r="E88" s="28"/>
      <c r="F88" s="28"/>
      <c r="H88" s="277"/>
      <c r="AD88" s="25" t="s">
        <v>960</v>
      </c>
    </row>
    <row r="89" spans="1:34" x14ac:dyDescent="0.2">
      <c r="A89" s="28"/>
      <c r="B89" s="28"/>
      <c r="C89" s="28"/>
      <c r="D89" s="28"/>
      <c r="E89" s="28"/>
      <c r="F89" s="28"/>
      <c r="H89" s="277"/>
      <c r="J89" s="180">
        <f>SUM(H10:H24)</f>
        <v>450384.90625</v>
      </c>
      <c r="T89" s="166">
        <f>SUM(U87:AD87)</f>
        <v>20310</v>
      </c>
    </row>
    <row r="90" spans="1:34" x14ac:dyDescent="0.2">
      <c r="A90" s="937"/>
      <c r="B90" s="937"/>
      <c r="C90" s="937"/>
      <c r="D90" s="937"/>
      <c r="E90" s="937"/>
      <c r="F90" s="937"/>
      <c r="G90" s="937"/>
      <c r="I90" s="24" t="s">
        <v>932</v>
      </c>
      <c r="J90" s="180">
        <f>SUM(I87:R87)</f>
        <v>73953.2</v>
      </c>
      <c r="T90" s="166"/>
    </row>
    <row r="91" spans="1:34" ht="15" x14ac:dyDescent="0.2">
      <c r="A91" s="28"/>
      <c r="B91" s="28"/>
      <c r="C91" s="28"/>
      <c r="D91" s="28"/>
      <c r="E91" s="28"/>
      <c r="F91" s="28"/>
      <c r="J91" s="735">
        <f>H87-J89-J90</f>
        <v>137187.13000000006</v>
      </c>
    </row>
  </sheetData>
  <mergeCells count="39">
    <mergeCell ref="AG8:AG9"/>
    <mergeCell ref="AH8:AH9"/>
    <mergeCell ref="AD8:AD9"/>
    <mergeCell ref="Q8:Q9"/>
    <mergeCell ref="A90:G90"/>
    <mergeCell ref="A87:F87"/>
    <mergeCell ref="P8:P9"/>
    <mergeCell ref="L8:L9"/>
    <mergeCell ref="M8:M9"/>
    <mergeCell ref="N8:N9"/>
    <mergeCell ref="O8:O9"/>
    <mergeCell ref="R8:R9"/>
    <mergeCell ref="AB8:AB9"/>
    <mergeCell ref="AC8:AC9"/>
    <mergeCell ref="AA8:AA9"/>
    <mergeCell ref="T8:T9"/>
    <mergeCell ref="A2:I2"/>
    <mergeCell ref="K8:K9"/>
    <mergeCell ref="A1:D1"/>
    <mergeCell ref="E1:H1"/>
    <mergeCell ref="I8:I9"/>
    <mergeCell ref="J8:J9"/>
    <mergeCell ref="I1:K1"/>
    <mergeCell ref="A3:H3"/>
    <mergeCell ref="A4:H4"/>
    <mergeCell ref="A5:H5"/>
    <mergeCell ref="A7:H7"/>
    <mergeCell ref="A8:F8"/>
    <mergeCell ref="G8:G9"/>
    <mergeCell ref="H8:H9"/>
    <mergeCell ref="A6:H6"/>
    <mergeCell ref="AE8:AE9"/>
    <mergeCell ref="S8:S9"/>
    <mergeCell ref="Y8:Y9"/>
    <mergeCell ref="Z8:Z9"/>
    <mergeCell ref="U8:U9"/>
    <mergeCell ref="V8:V9"/>
    <mergeCell ref="W8:W9"/>
    <mergeCell ref="X8:X9"/>
  </mergeCells>
  <phoneticPr fontId="4" type="noConversion"/>
  <pageMargins left="1.0236220472440944" right="0.78740157480314965" top="0.31496062992125984" bottom="0.47244094488188981" header="0" footer="0"/>
  <pageSetup paperSize="41" scale="27" orientation="portrait" r:id="rId1"/>
  <headerFooter alignWithMargins="0">
    <oddFooter>&amp;C pagina &amp;P</oddFooter>
  </headerFooter>
  <rowBreaks count="1" manualBreakCount="1">
    <brk id="47" max="16383" man="1"/>
  </rowBreaks>
  <colBreaks count="1" manualBreakCount="1">
    <brk id="15" max="92"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pageSetUpPr fitToPage="1"/>
  </sheetPr>
  <dimension ref="A1:AH197"/>
  <sheetViews>
    <sheetView showGridLines="0" topLeftCell="A29" zoomScale="60" zoomScaleNormal="60" zoomScaleSheetLayoutView="93" workbookViewId="0">
      <pane ySplit="2100"/>
      <selection activeCell="W9" sqref="W9:W10"/>
      <selection pane="bottomLeft" activeCell="AD57" sqref="AD57"/>
    </sheetView>
  </sheetViews>
  <sheetFormatPr baseColWidth="10" defaultColWidth="11.42578125" defaultRowHeight="12.75" x14ac:dyDescent="0.2"/>
  <cols>
    <col min="1" max="1" width="4.5703125" style="23" customWidth="1"/>
    <col min="2" max="2" width="4.42578125" style="23" customWidth="1"/>
    <col min="3" max="4" width="4.5703125" style="23" customWidth="1"/>
    <col min="5" max="5" width="6.140625" style="23" customWidth="1"/>
    <col min="6" max="6" width="13.42578125" style="23" customWidth="1"/>
    <col min="7" max="7" width="54.5703125" style="19" customWidth="1"/>
    <col min="8" max="8" width="24.5703125" style="4" customWidth="1"/>
    <col min="9" max="9" width="24.5703125" style="4" hidden="1" customWidth="1"/>
    <col min="10" max="10" width="37.28515625" style="4" hidden="1" customWidth="1"/>
    <col min="11" max="11" width="25.5703125" style="4" hidden="1" customWidth="1"/>
    <col min="12" max="17" width="24.5703125" style="4" hidden="1" customWidth="1"/>
    <col min="18" max="18" width="43.140625" style="21" hidden="1" customWidth="1"/>
    <col min="19" max="19" width="15.42578125" style="21" hidden="1" customWidth="1"/>
    <col min="20" max="20" width="16.85546875" style="21" hidden="1" customWidth="1"/>
    <col min="21" max="21" width="14" style="21" hidden="1" customWidth="1"/>
    <col min="22" max="22" width="21.5703125" style="21" hidden="1" customWidth="1"/>
    <col min="23" max="23" width="17" style="21" customWidth="1"/>
    <col min="24" max="24" width="14.140625" style="21" customWidth="1"/>
    <col min="25" max="25" width="17" style="21" customWidth="1"/>
    <col min="26" max="26" width="15.28515625" style="21" customWidth="1"/>
    <col min="27" max="27" width="18.140625" style="21" customWidth="1"/>
    <col min="28" max="28" width="15.7109375" style="21" customWidth="1"/>
    <col min="29" max="29" width="15.85546875" style="21" customWidth="1"/>
    <col min="30" max="30" width="15.28515625" style="21" customWidth="1"/>
    <col min="31" max="32" width="22.85546875" style="21" customWidth="1"/>
    <col min="33" max="33" width="26.7109375" style="21" customWidth="1"/>
    <col min="34" max="34" width="23.85546875" style="21" customWidth="1"/>
    <col min="35" max="16384" width="11.42578125" style="21"/>
  </cols>
  <sheetData>
    <row r="1" spans="1:34" ht="20.25" x14ac:dyDescent="0.25">
      <c r="A1" s="1046"/>
      <c r="B1" s="1046"/>
      <c r="C1" s="1046"/>
      <c r="D1" s="1046"/>
      <c r="E1" s="1046"/>
      <c r="F1" s="1046"/>
      <c r="G1" s="1046"/>
      <c r="H1" s="1046"/>
      <c r="I1" s="184"/>
      <c r="J1" s="184"/>
      <c r="K1" s="184"/>
      <c r="L1" s="184"/>
      <c r="M1" s="184"/>
      <c r="N1" s="184"/>
      <c r="O1" s="184"/>
      <c r="P1" s="184"/>
      <c r="Q1" s="184"/>
    </row>
    <row r="2" spans="1:34" ht="18" x14ac:dyDescent="0.2">
      <c r="A2" s="1045" t="s">
        <v>329</v>
      </c>
      <c r="B2" s="1045"/>
      <c r="C2" s="1045"/>
      <c r="D2" s="1045"/>
      <c r="E2" s="1045"/>
      <c r="F2" s="1045"/>
      <c r="G2" s="1045"/>
      <c r="H2" s="1045"/>
      <c r="I2" s="196"/>
      <c r="J2" s="196"/>
      <c r="K2" s="196"/>
      <c r="L2" s="196"/>
      <c r="M2" s="196"/>
      <c r="N2" s="196"/>
      <c r="O2" s="196"/>
      <c r="P2" s="196"/>
      <c r="Q2" s="196"/>
      <c r="R2" s="63"/>
    </row>
    <row r="3" spans="1:34" ht="15.75" x14ac:dyDescent="0.25">
      <c r="A3" s="1062" t="s">
        <v>154</v>
      </c>
      <c r="B3" s="1063"/>
      <c r="C3" s="1063"/>
      <c r="D3" s="1063"/>
      <c r="E3" s="1063"/>
      <c r="F3" s="1063"/>
      <c r="G3" s="1063"/>
      <c r="H3" s="1063"/>
      <c r="I3" s="152"/>
      <c r="J3" s="152"/>
      <c r="K3" s="152"/>
      <c r="L3" s="152"/>
      <c r="M3" s="152"/>
      <c r="N3" s="152"/>
      <c r="O3" s="152"/>
      <c r="P3" s="152"/>
      <c r="Q3" s="152"/>
      <c r="R3" s="63"/>
    </row>
    <row r="4" spans="1:34" ht="15.75" x14ac:dyDescent="0.25">
      <c r="A4" s="1062" t="s">
        <v>711</v>
      </c>
      <c r="B4" s="1063"/>
      <c r="C4" s="1063"/>
      <c r="D4" s="1063"/>
      <c r="E4" s="1063"/>
      <c r="F4" s="1063"/>
      <c r="G4" s="1063"/>
      <c r="H4" s="1063"/>
      <c r="I4" s="152"/>
      <c r="J4" s="152"/>
      <c r="K4" s="152"/>
      <c r="L4" s="152"/>
      <c r="M4" s="152"/>
      <c r="N4" s="152"/>
      <c r="O4" s="152"/>
      <c r="P4" s="152"/>
      <c r="Q4" s="152"/>
      <c r="R4" s="63"/>
    </row>
    <row r="5" spans="1:34" ht="15" x14ac:dyDescent="0.2">
      <c r="A5" s="1076" t="s">
        <v>7</v>
      </c>
      <c r="B5" s="1077"/>
      <c r="C5" s="1077"/>
      <c r="D5" s="1077"/>
      <c r="E5" s="1077"/>
      <c r="F5" s="1077"/>
      <c r="G5" s="1077"/>
      <c r="H5" s="1077"/>
      <c r="I5" s="152"/>
      <c r="J5" s="152"/>
      <c r="K5" s="152"/>
      <c r="L5" s="152"/>
      <c r="M5" s="152"/>
      <c r="N5" s="152"/>
      <c r="O5" s="152"/>
      <c r="P5" s="152"/>
      <c r="Q5" s="152"/>
      <c r="R5" s="63"/>
    </row>
    <row r="6" spans="1:34" ht="8.25" customHeight="1" x14ac:dyDescent="0.25">
      <c r="A6" s="1080"/>
      <c r="B6" s="1081"/>
      <c r="C6" s="1081"/>
      <c r="D6" s="1081"/>
      <c r="E6" s="1081"/>
      <c r="F6" s="1081"/>
      <c r="G6" s="1081"/>
      <c r="H6" s="1081"/>
      <c r="I6" s="152"/>
      <c r="J6" s="152"/>
      <c r="K6" s="152"/>
      <c r="L6" s="152"/>
      <c r="M6" s="152"/>
      <c r="N6" s="152"/>
      <c r="O6" s="152"/>
      <c r="P6" s="152"/>
      <c r="Q6" s="152"/>
    </row>
    <row r="7" spans="1:34" ht="15" x14ac:dyDescent="0.25">
      <c r="A7" s="1082" t="s">
        <v>9</v>
      </c>
      <c r="B7" s="1082"/>
      <c r="C7" s="1082"/>
      <c r="D7" s="1082"/>
      <c r="E7" s="1082"/>
      <c r="F7" s="1082"/>
      <c r="G7" s="1082"/>
      <c r="H7" s="1082"/>
      <c r="I7" s="152"/>
      <c r="J7" s="152"/>
      <c r="K7" s="152"/>
      <c r="L7" s="152"/>
      <c r="M7" s="152"/>
      <c r="N7" s="152"/>
      <c r="O7" s="152"/>
      <c r="P7" s="152"/>
      <c r="Q7" s="152"/>
      <c r="R7" s="63"/>
    </row>
    <row r="8" spans="1:34" ht="15.75" thickBot="1" x14ac:dyDescent="0.3">
      <c r="A8" s="1083" t="s">
        <v>594</v>
      </c>
      <c r="B8" s="1083"/>
      <c r="C8" s="1083"/>
      <c r="D8" s="1083"/>
      <c r="E8" s="1083"/>
      <c r="F8" s="1083"/>
      <c r="G8" s="1083"/>
      <c r="H8" s="1083"/>
      <c r="I8" s="152"/>
      <c r="J8" s="152"/>
      <c r="K8" s="152"/>
      <c r="L8" s="152"/>
      <c r="M8" s="152"/>
      <c r="N8" s="152">
        <v>15000</v>
      </c>
      <c r="O8" s="152">
        <v>10000</v>
      </c>
      <c r="P8" s="152">
        <v>35655</v>
      </c>
      <c r="Q8" s="152"/>
      <c r="R8" s="63"/>
    </row>
    <row r="9" spans="1:34" ht="13.5" customHeight="1" thickBot="1" x14ac:dyDescent="0.25">
      <c r="A9" s="1070" t="s">
        <v>0</v>
      </c>
      <c r="B9" s="1071"/>
      <c r="C9" s="1071"/>
      <c r="D9" s="1071"/>
      <c r="E9" s="1071"/>
      <c r="F9" s="1071"/>
      <c r="G9" s="1072" t="s">
        <v>130</v>
      </c>
      <c r="H9" s="1074" t="s">
        <v>131</v>
      </c>
      <c r="I9" s="1078" t="s">
        <v>917</v>
      </c>
      <c r="J9" s="1078" t="s">
        <v>925</v>
      </c>
      <c r="K9" s="1078" t="s">
        <v>926</v>
      </c>
      <c r="L9" s="1078" t="s">
        <v>927</v>
      </c>
      <c r="M9" s="1084" t="s">
        <v>929</v>
      </c>
      <c r="N9" s="1086" t="s">
        <v>958</v>
      </c>
      <c r="O9" s="1078" t="s">
        <v>957</v>
      </c>
      <c r="P9" s="1078" t="s">
        <v>956</v>
      </c>
      <c r="Q9" s="1078" t="s">
        <v>936</v>
      </c>
      <c r="R9" s="1078" t="s">
        <v>937</v>
      </c>
      <c r="S9" s="1078" t="s">
        <v>939</v>
      </c>
      <c r="T9" s="1078" t="s">
        <v>943</v>
      </c>
      <c r="U9" s="1078" t="s">
        <v>944</v>
      </c>
      <c r="V9" s="1078" t="s">
        <v>945</v>
      </c>
      <c r="W9" s="1078" t="s">
        <v>949</v>
      </c>
      <c r="X9" s="1078" t="s">
        <v>950</v>
      </c>
      <c r="Y9" s="1078" t="s">
        <v>961</v>
      </c>
      <c r="Z9" s="1078" t="s">
        <v>962</v>
      </c>
      <c r="AA9" s="1078" t="s">
        <v>965</v>
      </c>
      <c r="AB9" s="1078" t="s">
        <v>966</v>
      </c>
      <c r="AC9" s="1078" t="s">
        <v>967</v>
      </c>
      <c r="AD9" s="1078" t="s">
        <v>968</v>
      </c>
      <c r="AE9" s="1078" t="s">
        <v>1155</v>
      </c>
      <c r="AF9" s="1089" t="s">
        <v>970</v>
      </c>
      <c r="AG9" s="1089" t="s">
        <v>969</v>
      </c>
    </row>
    <row r="10" spans="1:34" ht="93" customHeight="1" thickBot="1" x14ac:dyDescent="0.25">
      <c r="A10" s="235" t="s">
        <v>124</v>
      </c>
      <c r="B10" s="236" t="s">
        <v>125</v>
      </c>
      <c r="C10" s="236" t="s">
        <v>104</v>
      </c>
      <c r="D10" s="236" t="s">
        <v>129</v>
      </c>
      <c r="E10" s="237" t="s">
        <v>127</v>
      </c>
      <c r="F10" s="238" t="s">
        <v>128</v>
      </c>
      <c r="G10" s="1073"/>
      <c r="H10" s="1075"/>
      <c r="I10" s="1079"/>
      <c r="J10" s="1079"/>
      <c r="K10" s="1079"/>
      <c r="L10" s="1079"/>
      <c r="M10" s="1085" t="s">
        <v>929</v>
      </c>
      <c r="N10" s="1087"/>
      <c r="O10" s="1079"/>
      <c r="P10" s="1088"/>
      <c r="Q10" s="1079"/>
      <c r="R10" s="1079"/>
      <c r="S10" s="1079"/>
      <c r="T10" s="1079"/>
      <c r="U10" s="1079"/>
      <c r="V10" s="1079"/>
      <c r="W10" s="1079"/>
      <c r="X10" s="1079"/>
      <c r="Y10" s="1079"/>
      <c r="Z10" s="1079"/>
      <c r="AA10" s="1079"/>
      <c r="AB10" s="1079"/>
      <c r="AC10" s="1079"/>
      <c r="AD10" s="1079"/>
      <c r="AE10" s="1079"/>
      <c r="AF10" s="1090"/>
      <c r="AG10" s="1090"/>
    </row>
    <row r="11" spans="1:34" s="596" customFormat="1" ht="15.75" customHeight="1" thickBot="1" x14ac:dyDescent="0.25">
      <c r="A11" s="597">
        <v>1</v>
      </c>
      <c r="B11" s="598" t="s">
        <v>44</v>
      </c>
      <c r="C11" s="598" t="s">
        <v>44</v>
      </c>
      <c r="D11" s="598" t="s">
        <v>46</v>
      </c>
      <c r="E11" s="592" t="s">
        <v>617</v>
      </c>
      <c r="F11" s="599" t="s">
        <v>30</v>
      </c>
      <c r="G11" s="600" t="s">
        <v>31</v>
      </c>
      <c r="H11" s="577">
        <f>'ok-Planillas 2023'!E90</f>
        <v>312637.5</v>
      </c>
      <c r="I11" s="577"/>
      <c r="J11" s="577"/>
      <c r="K11" s="577"/>
      <c r="L11" s="577"/>
      <c r="M11" s="577"/>
      <c r="N11" s="577"/>
      <c r="O11" s="577"/>
      <c r="P11" s="862"/>
      <c r="Q11" s="577">
        <f>SUM(I11:M11)</f>
        <v>0</v>
      </c>
      <c r="R11" s="738"/>
      <c r="S11" s="577"/>
      <c r="T11" s="577"/>
      <c r="U11" s="577"/>
      <c r="V11" s="577"/>
      <c r="W11" s="577"/>
      <c r="X11" s="577"/>
      <c r="Y11" s="577"/>
      <c r="Z11" s="577"/>
      <c r="AA11" s="577"/>
      <c r="AB11" s="577"/>
      <c r="AC11" s="577"/>
      <c r="AD11" s="577"/>
      <c r="AE11" s="577"/>
      <c r="AF11" s="577"/>
      <c r="AG11" s="738">
        <f>SUM(S11:AE11)</f>
        <v>0</v>
      </c>
      <c r="AH11" s="738">
        <f>R11-AG11</f>
        <v>0</v>
      </c>
    </row>
    <row r="12" spans="1:34" ht="15.75" customHeight="1" x14ac:dyDescent="0.2">
      <c r="A12" s="312">
        <v>1</v>
      </c>
      <c r="B12" s="313" t="s">
        <v>44</v>
      </c>
      <c r="C12" s="313" t="s">
        <v>44</v>
      </c>
      <c r="D12" s="313" t="s">
        <v>46</v>
      </c>
      <c r="E12" s="311" t="s">
        <v>617</v>
      </c>
      <c r="F12" s="2">
        <v>51103</v>
      </c>
      <c r="G12" s="314" t="s">
        <v>32</v>
      </c>
      <c r="H12" s="186">
        <v>0</v>
      </c>
      <c r="I12" s="186"/>
      <c r="J12" s="186"/>
      <c r="K12" s="186"/>
      <c r="L12" s="186"/>
      <c r="M12" s="186"/>
      <c r="N12" s="739"/>
      <c r="O12" s="739"/>
      <c r="P12" s="739"/>
      <c r="Q12" s="577">
        <f t="shared" ref="Q12:Q20" si="0">SUM(I12:M12)</f>
        <v>0</v>
      </c>
      <c r="R12" s="738"/>
      <c r="S12" s="577"/>
      <c r="T12" s="577"/>
      <c r="U12" s="577"/>
      <c r="V12" s="577"/>
      <c r="W12" s="577"/>
      <c r="X12" s="577"/>
      <c r="Y12" s="577"/>
      <c r="Z12" s="577"/>
      <c r="AA12" s="577"/>
      <c r="AB12" s="577"/>
      <c r="AC12" s="577"/>
      <c r="AD12" s="577"/>
      <c r="AE12" s="577"/>
      <c r="AF12" s="577"/>
      <c r="AG12" s="738">
        <f t="shared" ref="AG12:AG71" si="1">SUM(S12:AE12)</f>
        <v>0</v>
      </c>
      <c r="AH12" s="738">
        <f t="shared" ref="AH12:AH71" si="2">R12-AG12</f>
        <v>0</v>
      </c>
    </row>
    <row r="13" spans="1:34" s="596" customFormat="1" ht="15.75" customHeight="1" x14ac:dyDescent="0.2">
      <c r="A13" s="590">
        <v>1</v>
      </c>
      <c r="B13" s="591" t="s">
        <v>44</v>
      </c>
      <c r="C13" s="591" t="s">
        <v>44</v>
      </c>
      <c r="D13" s="591" t="s">
        <v>46</v>
      </c>
      <c r="E13" s="592" t="s">
        <v>617</v>
      </c>
      <c r="F13" s="593">
        <v>51105</v>
      </c>
      <c r="G13" s="594" t="s">
        <v>63</v>
      </c>
      <c r="H13" s="595">
        <f>'ok-Planillas 2023'!C108</f>
        <v>52800</v>
      </c>
      <c r="I13" s="595"/>
      <c r="J13" s="595"/>
      <c r="K13" s="595"/>
      <c r="L13" s="595"/>
      <c r="M13" s="595"/>
      <c r="N13" s="740"/>
      <c r="O13" s="740"/>
      <c r="P13" s="740"/>
      <c r="Q13" s="577">
        <f t="shared" si="0"/>
        <v>0</v>
      </c>
      <c r="R13" s="738"/>
      <c r="S13" s="577"/>
      <c r="T13" s="577"/>
      <c r="U13" s="577"/>
      <c r="V13" s="577"/>
      <c r="W13" s="577"/>
      <c r="X13" s="577"/>
      <c r="Y13" s="577"/>
      <c r="Z13" s="577"/>
      <c r="AA13" s="577"/>
      <c r="AB13" s="577"/>
      <c r="AC13" s="577"/>
      <c r="AD13" s="577"/>
      <c r="AE13" s="577"/>
      <c r="AF13" s="577"/>
      <c r="AG13" s="738">
        <f t="shared" si="1"/>
        <v>0</v>
      </c>
      <c r="AH13" s="738">
        <f t="shared" si="2"/>
        <v>0</v>
      </c>
    </row>
    <row r="14" spans="1:34" ht="15.75" customHeight="1" x14ac:dyDescent="0.2">
      <c r="A14" s="312">
        <v>1</v>
      </c>
      <c r="B14" s="313" t="s">
        <v>44</v>
      </c>
      <c r="C14" s="313" t="s">
        <v>44</v>
      </c>
      <c r="D14" s="313" t="s">
        <v>46</v>
      </c>
      <c r="E14" s="311" t="s">
        <v>617</v>
      </c>
      <c r="F14" s="2">
        <v>51107</v>
      </c>
      <c r="G14" s="314" t="s">
        <v>470</v>
      </c>
      <c r="H14" s="186">
        <v>0</v>
      </c>
      <c r="I14" s="186"/>
      <c r="J14" s="186"/>
      <c r="K14" s="186"/>
      <c r="L14" s="186"/>
      <c r="M14" s="186"/>
      <c r="N14" s="739"/>
      <c r="O14" s="739"/>
      <c r="P14" s="739"/>
      <c r="Q14" s="577">
        <f t="shared" si="0"/>
        <v>0</v>
      </c>
      <c r="R14" s="738"/>
      <c r="S14" s="577"/>
      <c r="T14" s="577"/>
      <c r="U14" s="577"/>
      <c r="V14" s="577"/>
      <c r="W14" s="577"/>
      <c r="X14" s="577"/>
      <c r="Y14" s="577"/>
      <c r="Z14" s="577"/>
      <c r="AA14" s="577"/>
      <c r="AB14" s="577"/>
      <c r="AC14" s="577"/>
      <c r="AD14" s="577"/>
      <c r="AE14" s="577"/>
      <c r="AF14" s="577"/>
      <c r="AG14" s="738">
        <f t="shared" si="1"/>
        <v>0</v>
      </c>
      <c r="AH14" s="738">
        <f t="shared" si="2"/>
        <v>0</v>
      </c>
    </row>
    <row r="15" spans="1:34" s="596" customFormat="1" ht="15.75" customHeight="1" x14ac:dyDescent="0.2">
      <c r="A15" s="590">
        <v>1</v>
      </c>
      <c r="B15" s="591" t="s">
        <v>44</v>
      </c>
      <c r="C15" s="591" t="s">
        <v>44</v>
      </c>
      <c r="D15" s="591" t="s">
        <v>46</v>
      </c>
      <c r="E15" s="592" t="s">
        <v>617</v>
      </c>
      <c r="F15" s="593">
        <v>51201</v>
      </c>
      <c r="G15" s="594" t="s">
        <v>31</v>
      </c>
      <c r="H15" s="595">
        <f>'ok-Planillas 2023'!D117</f>
        <v>9600</v>
      </c>
      <c r="I15" s="595"/>
      <c r="J15" s="595"/>
      <c r="K15" s="595"/>
      <c r="L15" s="595"/>
      <c r="M15" s="595"/>
      <c r="N15" s="740"/>
      <c r="O15" s="740"/>
      <c r="P15" s="740"/>
      <c r="Q15" s="577">
        <f t="shared" si="0"/>
        <v>0</v>
      </c>
      <c r="R15" s="738"/>
      <c r="S15" s="577"/>
      <c r="T15" s="577"/>
      <c r="U15" s="577"/>
      <c r="V15" s="577"/>
      <c r="W15" s="577"/>
      <c r="X15" s="577"/>
      <c r="Y15" s="577"/>
      <c r="Z15" s="577"/>
      <c r="AA15" s="577"/>
      <c r="AB15" s="577"/>
      <c r="AC15" s="577"/>
      <c r="AD15" s="577"/>
      <c r="AE15" s="577"/>
      <c r="AF15" s="577"/>
      <c r="AG15" s="738">
        <f t="shared" si="1"/>
        <v>0</v>
      </c>
      <c r="AH15" s="738">
        <f t="shared" si="2"/>
        <v>0</v>
      </c>
    </row>
    <row r="16" spans="1:34" s="596" customFormat="1" ht="15.75" customHeight="1" x14ac:dyDescent="0.2">
      <c r="A16" s="911">
        <v>1</v>
      </c>
      <c r="B16" s="912" t="s">
        <v>44</v>
      </c>
      <c r="C16" s="912" t="s">
        <v>44</v>
      </c>
      <c r="D16" s="912" t="s">
        <v>46</v>
      </c>
      <c r="E16" s="913" t="s">
        <v>617</v>
      </c>
      <c r="F16" s="914">
        <v>51301</v>
      </c>
      <c r="G16" s="915" t="s">
        <v>536</v>
      </c>
      <c r="H16" s="916">
        <v>1008</v>
      </c>
      <c r="I16" s="595"/>
      <c r="J16" s="595"/>
      <c r="K16" s="595"/>
      <c r="L16" s="595"/>
      <c r="M16" s="595"/>
      <c r="N16" s="740"/>
      <c r="O16" s="740"/>
      <c r="P16" s="740"/>
      <c r="Q16" s="577"/>
      <c r="R16" s="738"/>
      <c r="S16" s="577"/>
      <c r="T16" s="577"/>
      <c r="U16" s="577"/>
      <c r="V16" s="577"/>
      <c r="W16" s="577"/>
      <c r="X16" s="577"/>
      <c r="Y16" s="577"/>
      <c r="Z16" s="577"/>
      <c r="AA16" s="577"/>
      <c r="AB16" s="577"/>
      <c r="AC16" s="577"/>
      <c r="AD16" s="577"/>
      <c r="AE16" s="577"/>
      <c r="AF16" s="577"/>
      <c r="AG16" s="738"/>
      <c r="AH16" s="738"/>
    </row>
    <row r="17" spans="1:34" s="596" customFormat="1" ht="15.75" customHeight="1" x14ac:dyDescent="0.2">
      <c r="A17" s="590">
        <v>1</v>
      </c>
      <c r="B17" s="591" t="s">
        <v>44</v>
      </c>
      <c r="C17" s="591" t="s">
        <v>44</v>
      </c>
      <c r="D17" s="591" t="s">
        <v>46</v>
      </c>
      <c r="E17" s="592" t="s">
        <v>617</v>
      </c>
      <c r="F17" s="618">
        <v>51401</v>
      </c>
      <c r="G17" s="619" t="s">
        <v>471</v>
      </c>
      <c r="H17" s="620">
        <f>'ok-Planillas 2023'!F110</f>
        <v>29799.087499999998</v>
      </c>
      <c r="I17" s="620"/>
      <c r="J17" s="620"/>
      <c r="K17" s="620"/>
      <c r="L17" s="620"/>
      <c r="M17" s="620"/>
      <c r="N17" s="741"/>
      <c r="O17" s="741"/>
      <c r="P17" s="741"/>
      <c r="Q17" s="577">
        <f t="shared" si="0"/>
        <v>0</v>
      </c>
      <c r="R17" s="738"/>
      <c r="S17" s="577"/>
      <c r="T17" s="577"/>
      <c r="U17" s="577"/>
      <c r="V17" s="577"/>
      <c r="W17" s="577"/>
      <c r="X17" s="577"/>
      <c r="Y17" s="577"/>
      <c r="Z17" s="577"/>
      <c r="AA17" s="577"/>
      <c r="AB17" s="577"/>
      <c r="AC17" s="577"/>
      <c r="AD17" s="577"/>
      <c r="AE17" s="577"/>
      <c r="AF17" s="577"/>
      <c r="AG17" s="738">
        <f t="shared" si="1"/>
        <v>0</v>
      </c>
      <c r="AH17" s="738">
        <f t="shared" si="2"/>
        <v>0</v>
      </c>
    </row>
    <row r="18" spans="1:34" s="596" customFormat="1" ht="15.75" customHeight="1" x14ac:dyDescent="0.2">
      <c r="A18" s="590">
        <v>1</v>
      </c>
      <c r="B18" s="591" t="s">
        <v>44</v>
      </c>
      <c r="C18" s="591" t="s">
        <v>44</v>
      </c>
      <c r="D18" s="591" t="s">
        <v>46</v>
      </c>
      <c r="E18" s="592" t="s">
        <v>617</v>
      </c>
      <c r="F18" s="618">
        <v>51501</v>
      </c>
      <c r="G18" s="619" t="s">
        <v>472</v>
      </c>
      <c r="H18" s="620">
        <f>'ok-Planillas 2023'!H110</f>
        <v>32206.78125</v>
      </c>
      <c r="I18" s="620"/>
      <c r="J18" s="620"/>
      <c r="K18" s="620"/>
      <c r="L18" s="620"/>
      <c r="M18" s="620"/>
      <c r="N18" s="741"/>
      <c r="O18" s="741"/>
      <c r="P18" s="741"/>
      <c r="Q18" s="577">
        <f t="shared" si="0"/>
        <v>0</v>
      </c>
      <c r="R18" s="738"/>
      <c r="S18" s="577"/>
      <c r="T18" s="577"/>
      <c r="U18" s="577"/>
      <c r="V18" s="577"/>
      <c r="W18" s="577"/>
      <c r="X18" s="577"/>
      <c r="Y18" s="577"/>
      <c r="Z18" s="577"/>
      <c r="AA18" s="577"/>
      <c r="AB18" s="577"/>
      <c r="AC18" s="577"/>
      <c r="AD18" s="577"/>
      <c r="AE18" s="577"/>
      <c r="AF18" s="577"/>
      <c r="AG18" s="738">
        <f t="shared" si="1"/>
        <v>0</v>
      </c>
      <c r="AH18" s="738">
        <f t="shared" si="2"/>
        <v>0</v>
      </c>
    </row>
    <row r="19" spans="1:34" ht="15.75" customHeight="1" x14ac:dyDescent="0.2">
      <c r="A19" s="312">
        <v>1</v>
      </c>
      <c r="B19" s="313" t="s">
        <v>44</v>
      </c>
      <c r="C19" s="313" t="s">
        <v>44</v>
      </c>
      <c r="D19" s="313" t="s">
        <v>46</v>
      </c>
      <c r="E19" s="311" t="s">
        <v>617</v>
      </c>
      <c r="F19" s="195">
        <v>51601</v>
      </c>
      <c r="G19" s="315" t="s">
        <v>505</v>
      </c>
      <c r="H19" s="316">
        <v>0</v>
      </c>
      <c r="I19" s="316"/>
      <c r="J19" s="316"/>
      <c r="K19" s="316"/>
      <c r="L19" s="316"/>
      <c r="M19" s="316"/>
      <c r="N19" s="199"/>
      <c r="O19" s="199"/>
      <c r="P19" s="199"/>
      <c r="Q19" s="577">
        <f t="shared" si="0"/>
        <v>0</v>
      </c>
      <c r="R19" s="738"/>
      <c r="S19" s="577"/>
      <c r="T19" s="577"/>
      <c r="U19" s="577"/>
      <c r="V19" s="577"/>
      <c r="W19" s="577"/>
      <c r="X19" s="577"/>
      <c r="Y19" s="577"/>
      <c r="Z19" s="577"/>
      <c r="AA19" s="577"/>
      <c r="AB19" s="577"/>
      <c r="AC19" s="577"/>
      <c r="AD19" s="577"/>
      <c r="AE19" s="577"/>
      <c r="AF19" s="577"/>
      <c r="AG19" s="738">
        <f t="shared" si="1"/>
        <v>0</v>
      </c>
      <c r="AH19" s="738">
        <f t="shared" si="2"/>
        <v>0</v>
      </c>
    </row>
    <row r="20" spans="1:34" s="596" customFormat="1" ht="15.75" customHeight="1" x14ac:dyDescent="0.2">
      <c r="A20" s="590">
        <v>1</v>
      </c>
      <c r="B20" s="591" t="s">
        <v>44</v>
      </c>
      <c r="C20" s="591" t="s">
        <v>44</v>
      </c>
      <c r="D20" s="591" t="s">
        <v>46</v>
      </c>
      <c r="E20" s="592" t="s">
        <v>617</v>
      </c>
      <c r="F20" s="593">
        <v>51999</v>
      </c>
      <c r="G20" s="594" t="s">
        <v>151</v>
      </c>
      <c r="H20" s="625">
        <f>1000+5000-1000</f>
        <v>5000</v>
      </c>
      <c r="I20" s="625"/>
      <c r="J20" s="625"/>
      <c r="K20" s="625"/>
      <c r="L20" s="625"/>
      <c r="M20" s="625"/>
      <c r="N20" s="577"/>
      <c r="O20" s="577"/>
      <c r="P20" s="577"/>
      <c r="Q20" s="577">
        <f t="shared" si="0"/>
        <v>0</v>
      </c>
      <c r="R20" s="738"/>
      <c r="S20" s="577"/>
      <c r="T20" s="577"/>
      <c r="U20" s="577"/>
      <c r="V20" s="577" t="s">
        <v>946</v>
      </c>
      <c r="W20" s="577"/>
      <c r="X20" s="577"/>
      <c r="Y20" s="577"/>
      <c r="Z20" s="577"/>
      <c r="AA20" s="577"/>
      <c r="AB20" s="577"/>
      <c r="AC20" s="577"/>
      <c r="AD20" s="577"/>
      <c r="AE20" s="577"/>
      <c r="AF20" s="577"/>
      <c r="AG20" s="738">
        <f t="shared" si="1"/>
        <v>0</v>
      </c>
      <c r="AH20" s="738">
        <f t="shared" si="2"/>
        <v>0</v>
      </c>
    </row>
    <row r="21" spans="1:34" s="596" customFormat="1" ht="15.75" customHeight="1" x14ac:dyDescent="0.2">
      <c r="A21" s="590">
        <v>1</v>
      </c>
      <c r="B21" s="591" t="s">
        <v>44</v>
      </c>
      <c r="C21" s="591" t="s">
        <v>44</v>
      </c>
      <c r="D21" s="591" t="s">
        <v>46</v>
      </c>
      <c r="E21" s="592" t="s">
        <v>617</v>
      </c>
      <c r="F21" s="593">
        <v>54101</v>
      </c>
      <c r="G21" s="594" t="s">
        <v>34</v>
      </c>
      <c r="H21" s="625">
        <v>4000</v>
      </c>
      <c r="I21" s="625">
        <v>1000</v>
      </c>
      <c r="J21" s="625"/>
      <c r="K21" s="625"/>
      <c r="L21" s="625"/>
      <c r="M21" s="625"/>
      <c r="N21" s="577"/>
      <c r="O21" s="577"/>
      <c r="P21" s="577"/>
      <c r="Q21" s="577">
        <f>SUM(I21:P21)</f>
        <v>1000</v>
      </c>
      <c r="R21" s="738">
        <f>H21-Q21</f>
        <v>3000</v>
      </c>
      <c r="S21" s="577"/>
      <c r="T21" s="577"/>
      <c r="U21" s="577">
        <v>50</v>
      </c>
      <c r="V21" s="577">
        <v>50</v>
      </c>
      <c r="W21" s="577"/>
      <c r="X21" s="577"/>
      <c r="Y21" s="577">
        <v>40</v>
      </c>
      <c r="Z21" s="577">
        <v>60</v>
      </c>
      <c r="AA21" s="577">
        <v>250</v>
      </c>
      <c r="AB21" s="577">
        <v>100</v>
      </c>
      <c r="AC21" s="577">
        <v>24</v>
      </c>
      <c r="AD21" s="577"/>
      <c r="AE21" s="577">
        <v>50</v>
      </c>
      <c r="AF21" s="577"/>
      <c r="AG21" s="738">
        <f>SUM(S21:AE21)</f>
        <v>624</v>
      </c>
      <c r="AH21" s="738">
        <f>R21-AG21</f>
        <v>2376</v>
      </c>
    </row>
    <row r="22" spans="1:34" s="596" customFormat="1" ht="15.75" customHeight="1" x14ac:dyDescent="0.2">
      <c r="A22" s="590">
        <v>1</v>
      </c>
      <c r="B22" s="591" t="s">
        <v>44</v>
      </c>
      <c r="C22" s="591" t="s">
        <v>44</v>
      </c>
      <c r="D22" s="591" t="s">
        <v>46</v>
      </c>
      <c r="E22" s="592" t="s">
        <v>617</v>
      </c>
      <c r="F22" s="593">
        <v>54104</v>
      </c>
      <c r="G22" s="594" t="s">
        <v>135</v>
      </c>
      <c r="H22" s="625">
        <v>7194.4</v>
      </c>
      <c r="I22" s="625">
        <v>2000</v>
      </c>
      <c r="J22" s="625"/>
      <c r="K22" s="625"/>
      <c r="L22" s="625"/>
      <c r="M22" s="625"/>
      <c r="N22" s="577"/>
      <c r="O22" s="577"/>
      <c r="P22" s="577"/>
      <c r="Q22" s="577">
        <f t="shared" ref="Q22:Q71" si="3">SUM(I22:P22)</f>
        <v>2000</v>
      </c>
      <c r="R22" s="738">
        <f t="shared" ref="R22:R71" si="4">H22-Q22</f>
        <v>5194.3999999999996</v>
      </c>
      <c r="S22" s="577"/>
      <c r="T22" s="577">
        <v>400</v>
      </c>
      <c r="U22" s="577">
        <v>100</v>
      </c>
      <c r="V22" s="577"/>
      <c r="W22" s="577">
        <v>2000</v>
      </c>
      <c r="X22" s="577"/>
      <c r="Y22" s="577">
        <v>100</v>
      </c>
      <c r="Z22" s="577">
        <v>200</v>
      </c>
      <c r="AA22" s="577">
        <v>900</v>
      </c>
      <c r="AB22" s="577">
        <v>200</v>
      </c>
      <c r="AC22" s="577">
        <v>100</v>
      </c>
      <c r="AD22" s="577"/>
      <c r="AE22" s="577">
        <v>200</v>
      </c>
      <c r="AF22" s="577"/>
      <c r="AG22" s="738">
        <f t="shared" si="1"/>
        <v>4200</v>
      </c>
      <c r="AH22" s="738">
        <f t="shared" si="2"/>
        <v>994.39999999999964</v>
      </c>
    </row>
    <row r="23" spans="1:34" s="596" customFormat="1" ht="15.75" customHeight="1" x14ac:dyDescent="0.25">
      <c r="A23" s="590">
        <v>1</v>
      </c>
      <c r="B23" s="591" t="s">
        <v>44</v>
      </c>
      <c r="C23" s="591" t="s">
        <v>44</v>
      </c>
      <c r="D23" s="591" t="s">
        <v>46</v>
      </c>
      <c r="E23" s="592" t="s">
        <v>617</v>
      </c>
      <c r="F23" s="593">
        <v>54105</v>
      </c>
      <c r="G23" s="594" t="s">
        <v>35</v>
      </c>
      <c r="H23" s="910">
        <v>6000</v>
      </c>
      <c r="I23" s="625">
        <v>3000</v>
      </c>
      <c r="J23" s="625"/>
      <c r="K23" s="625"/>
      <c r="L23" s="625"/>
      <c r="M23" s="625"/>
      <c r="N23" s="577"/>
      <c r="O23" s="577"/>
      <c r="P23" s="577"/>
      <c r="Q23" s="577">
        <f t="shared" si="3"/>
        <v>3000</v>
      </c>
      <c r="R23" s="738">
        <f t="shared" si="4"/>
        <v>3000</v>
      </c>
      <c r="S23" s="577"/>
      <c r="T23" s="577"/>
      <c r="U23" s="577">
        <v>80</v>
      </c>
      <c r="V23" s="577">
        <v>200</v>
      </c>
      <c r="W23" s="577">
        <v>250</v>
      </c>
      <c r="X23" s="577"/>
      <c r="Y23" s="577">
        <v>45</v>
      </c>
      <c r="Z23" s="577">
        <v>50</v>
      </c>
      <c r="AA23" s="577">
        <v>800</v>
      </c>
      <c r="AB23" s="577">
        <v>800</v>
      </c>
      <c r="AC23" s="577">
        <v>18</v>
      </c>
      <c r="AD23" s="577">
        <v>200</v>
      </c>
      <c r="AE23" s="747"/>
      <c r="AF23" s="747"/>
      <c r="AG23" s="738">
        <f t="shared" si="1"/>
        <v>2443</v>
      </c>
      <c r="AH23" s="738">
        <f>R23-AG23</f>
        <v>557</v>
      </c>
    </row>
    <row r="24" spans="1:34" s="596" customFormat="1" ht="15.75" customHeight="1" x14ac:dyDescent="0.2">
      <c r="A24" s="590">
        <v>1</v>
      </c>
      <c r="B24" s="591" t="s">
        <v>44</v>
      </c>
      <c r="C24" s="591" t="s">
        <v>44</v>
      </c>
      <c r="D24" s="591" t="s">
        <v>46</v>
      </c>
      <c r="E24" s="592" t="s">
        <v>617</v>
      </c>
      <c r="F24" s="593">
        <v>54106</v>
      </c>
      <c r="G24" s="594" t="s">
        <v>559</v>
      </c>
      <c r="H24" s="625">
        <f>[1]CONSOLIDADO!$J$9</f>
        <v>1500</v>
      </c>
      <c r="I24" s="625"/>
      <c r="J24" s="625"/>
      <c r="K24" s="625"/>
      <c r="L24" s="625"/>
      <c r="M24" s="625"/>
      <c r="N24" s="577"/>
      <c r="O24" s="577"/>
      <c r="P24" s="577"/>
      <c r="Q24" s="577">
        <f t="shared" si="3"/>
        <v>0</v>
      </c>
      <c r="R24" s="738">
        <f t="shared" si="4"/>
        <v>1500</v>
      </c>
      <c r="S24" s="577"/>
      <c r="T24" s="577"/>
      <c r="U24" s="577"/>
      <c r="V24" s="577"/>
      <c r="W24" s="577">
        <v>1000</v>
      </c>
      <c r="X24" s="577"/>
      <c r="Y24" s="577">
        <v>9</v>
      </c>
      <c r="Z24" s="577"/>
      <c r="AA24" s="577"/>
      <c r="AB24" s="577"/>
      <c r="AC24" s="577"/>
      <c r="AD24" s="577"/>
      <c r="AE24" s="577"/>
      <c r="AF24" s="577"/>
      <c r="AG24" s="738">
        <f t="shared" si="1"/>
        <v>1009</v>
      </c>
      <c r="AH24" s="738">
        <f t="shared" si="2"/>
        <v>491</v>
      </c>
    </row>
    <row r="25" spans="1:34" s="596" customFormat="1" ht="15.75" customHeight="1" x14ac:dyDescent="0.2">
      <c r="A25" s="590">
        <v>1</v>
      </c>
      <c r="B25" s="591" t="s">
        <v>44</v>
      </c>
      <c r="C25" s="591" t="s">
        <v>44</v>
      </c>
      <c r="D25" s="591" t="s">
        <v>46</v>
      </c>
      <c r="E25" s="592" t="s">
        <v>617</v>
      </c>
      <c r="F25" s="593">
        <v>54107</v>
      </c>
      <c r="G25" s="594" t="s">
        <v>137</v>
      </c>
      <c r="H25" s="625">
        <v>4000</v>
      </c>
      <c r="I25" s="625">
        <v>1000</v>
      </c>
      <c r="J25" s="625"/>
      <c r="K25" s="625"/>
      <c r="L25" s="625"/>
      <c r="M25" s="625"/>
      <c r="N25" s="577"/>
      <c r="O25" s="577"/>
      <c r="P25" s="577"/>
      <c r="Q25" s="577">
        <f t="shared" si="3"/>
        <v>1000</v>
      </c>
      <c r="R25" s="738">
        <f t="shared" si="4"/>
        <v>3000</v>
      </c>
      <c r="S25" s="577"/>
      <c r="T25" s="577"/>
      <c r="U25" s="577">
        <v>25</v>
      </c>
      <c r="V25" s="577"/>
      <c r="W25" s="577">
        <v>2000</v>
      </c>
      <c r="X25" s="577"/>
      <c r="Y25" s="577">
        <v>15</v>
      </c>
      <c r="Z25" s="577"/>
      <c r="AA25" s="577">
        <v>36</v>
      </c>
      <c r="AB25" s="577"/>
      <c r="AC25" s="577"/>
      <c r="AD25" s="577">
        <v>100</v>
      </c>
      <c r="AE25" s="577"/>
      <c r="AF25" s="577"/>
      <c r="AG25" s="738">
        <f t="shared" si="1"/>
        <v>2176</v>
      </c>
      <c r="AH25" s="738">
        <f t="shared" si="2"/>
        <v>824</v>
      </c>
    </row>
    <row r="26" spans="1:34" ht="15.75" customHeight="1" x14ac:dyDescent="0.2">
      <c r="A26" s="312">
        <v>1</v>
      </c>
      <c r="B26" s="313" t="s">
        <v>44</v>
      </c>
      <c r="C26" s="313" t="s">
        <v>44</v>
      </c>
      <c r="D26" s="313" t="s">
        <v>46</v>
      </c>
      <c r="E26" s="311" t="s">
        <v>617</v>
      </c>
      <c r="F26" s="2">
        <v>54108</v>
      </c>
      <c r="G26" s="314" t="s">
        <v>197</v>
      </c>
      <c r="H26" s="186">
        <v>100</v>
      </c>
      <c r="I26" s="186"/>
      <c r="J26" s="186"/>
      <c r="K26" s="186"/>
      <c r="L26" s="186"/>
      <c r="M26" s="186"/>
      <c r="N26" s="739"/>
      <c r="O26" s="739"/>
      <c r="P26" s="739"/>
      <c r="Q26" s="577">
        <f t="shared" si="3"/>
        <v>0</v>
      </c>
      <c r="R26" s="738">
        <f t="shared" si="4"/>
        <v>100</v>
      </c>
      <c r="S26" s="577"/>
      <c r="T26" s="577"/>
      <c r="U26" s="577"/>
      <c r="V26" s="577"/>
      <c r="W26" s="577"/>
      <c r="X26" s="577"/>
      <c r="Y26" s="577"/>
      <c r="Z26" s="577"/>
      <c r="AA26" s="577"/>
      <c r="AB26" s="577"/>
      <c r="AC26" s="577"/>
      <c r="AD26" s="577"/>
      <c r="AE26" s="577"/>
      <c r="AF26" s="577"/>
      <c r="AG26" s="738">
        <f t="shared" si="1"/>
        <v>0</v>
      </c>
      <c r="AH26" s="738">
        <f t="shared" si="2"/>
        <v>100</v>
      </c>
    </row>
    <row r="27" spans="1:34" s="733" customFormat="1" ht="15.75" customHeight="1" x14ac:dyDescent="0.2">
      <c r="A27" s="727">
        <v>1</v>
      </c>
      <c r="B27" s="728" t="s">
        <v>44</v>
      </c>
      <c r="C27" s="728" t="s">
        <v>44</v>
      </c>
      <c r="D27" s="728" t="s">
        <v>46</v>
      </c>
      <c r="E27" s="729" t="s">
        <v>617</v>
      </c>
      <c r="F27" s="730">
        <v>54109</v>
      </c>
      <c r="G27" s="731" t="s">
        <v>138</v>
      </c>
      <c r="H27" s="732">
        <v>5700</v>
      </c>
      <c r="I27" s="732">
        <v>1000</v>
      </c>
      <c r="J27" s="732"/>
      <c r="K27" s="732">
        <v>2200</v>
      </c>
      <c r="L27" s="732"/>
      <c r="M27" s="732"/>
      <c r="N27" s="742"/>
      <c r="O27" s="742"/>
      <c r="P27" s="742"/>
      <c r="Q27" s="577">
        <f t="shared" si="3"/>
        <v>3200</v>
      </c>
      <c r="R27" s="738">
        <f>H27-Q27</f>
        <v>2500</v>
      </c>
      <c r="S27" s="577"/>
      <c r="T27" s="577"/>
      <c r="U27" s="577"/>
      <c r="V27" s="577"/>
      <c r="W27" s="577">
        <v>2500</v>
      </c>
      <c r="X27" s="577"/>
      <c r="Y27" s="577"/>
      <c r="Z27" s="577"/>
      <c r="AA27" s="577"/>
      <c r="AB27" s="577"/>
      <c r="AC27" s="577"/>
      <c r="AD27" s="577"/>
      <c r="AE27" s="577"/>
      <c r="AF27" s="577"/>
      <c r="AG27" s="738">
        <f t="shared" si="1"/>
        <v>2500</v>
      </c>
      <c r="AH27" s="738">
        <f>R27-AG27</f>
        <v>0</v>
      </c>
    </row>
    <row r="28" spans="1:34" s="733" customFormat="1" ht="15.75" customHeight="1" x14ac:dyDescent="0.2">
      <c r="A28" s="727">
        <v>1</v>
      </c>
      <c r="B28" s="728" t="s">
        <v>44</v>
      </c>
      <c r="C28" s="728" t="s">
        <v>44</v>
      </c>
      <c r="D28" s="728" t="s">
        <v>46</v>
      </c>
      <c r="E28" s="729" t="s">
        <v>617</v>
      </c>
      <c r="F28" s="730">
        <v>54110</v>
      </c>
      <c r="G28" s="731" t="s">
        <v>36</v>
      </c>
      <c r="H28" s="732">
        <v>20000</v>
      </c>
      <c r="I28" s="732">
        <v>2000</v>
      </c>
      <c r="J28" s="732"/>
      <c r="K28" s="732">
        <v>3333.33</v>
      </c>
      <c r="L28" s="732"/>
      <c r="M28" s="732"/>
      <c r="N28" s="742"/>
      <c r="O28" s="742"/>
      <c r="P28" s="742"/>
      <c r="Q28" s="577">
        <f t="shared" si="3"/>
        <v>5333.33</v>
      </c>
      <c r="R28" s="738">
        <f t="shared" si="4"/>
        <v>14666.67</v>
      </c>
      <c r="S28" s="577"/>
      <c r="T28" s="577"/>
      <c r="U28" s="577"/>
      <c r="V28" s="577"/>
      <c r="W28" s="577"/>
      <c r="X28" s="577"/>
      <c r="Y28" s="577"/>
      <c r="Z28" s="577"/>
      <c r="AA28" s="577"/>
      <c r="AB28" s="577"/>
      <c r="AC28" s="577"/>
      <c r="AD28" s="577"/>
      <c r="AE28" s="577"/>
      <c r="AF28" s="577"/>
      <c r="AG28" s="738">
        <f t="shared" si="1"/>
        <v>0</v>
      </c>
      <c r="AH28" s="738">
        <f t="shared" si="2"/>
        <v>14666.67</v>
      </c>
    </row>
    <row r="29" spans="1:34" s="733" customFormat="1" ht="15.75" customHeight="1" x14ac:dyDescent="0.2">
      <c r="A29" s="727">
        <v>1</v>
      </c>
      <c r="B29" s="728" t="s">
        <v>44</v>
      </c>
      <c r="C29" s="728" t="s">
        <v>44</v>
      </c>
      <c r="D29" s="728" t="s">
        <v>46</v>
      </c>
      <c r="E29" s="729" t="s">
        <v>617</v>
      </c>
      <c r="F29" s="730">
        <v>54111</v>
      </c>
      <c r="G29" s="731" t="s">
        <v>42</v>
      </c>
      <c r="H29" s="732">
        <v>72000</v>
      </c>
      <c r="I29" s="732">
        <v>2000</v>
      </c>
      <c r="J29" s="732">
        <v>11620</v>
      </c>
      <c r="K29" s="732">
        <v>4000</v>
      </c>
      <c r="L29" s="732">
        <v>23000</v>
      </c>
      <c r="M29" s="732">
        <v>27613.61</v>
      </c>
      <c r="N29" s="742"/>
      <c r="O29" s="742"/>
      <c r="P29" s="742"/>
      <c r="Q29" s="577">
        <f t="shared" si="3"/>
        <v>68233.61</v>
      </c>
      <c r="R29" s="738">
        <f t="shared" si="4"/>
        <v>3766.3899999999994</v>
      </c>
      <c r="S29" s="577"/>
      <c r="T29" s="577"/>
      <c r="U29" s="577"/>
      <c r="V29" s="577"/>
      <c r="W29" s="577">
        <v>500</v>
      </c>
      <c r="X29" s="577"/>
      <c r="Y29" s="577"/>
      <c r="Z29" s="577"/>
      <c r="AA29" s="577"/>
      <c r="AB29" s="577"/>
      <c r="AC29" s="577"/>
      <c r="AD29" s="577"/>
      <c r="AE29" s="577"/>
      <c r="AF29" s="577"/>
      <c r="AG29" s="738">
        <f t="shared" si="1"/>
        <v>500</v>
      </c>
      <c r="AH29" s="738">
        <f t="shared" si="2"/>
        <v>3266.3899999999994</v>
      </c>
    </row>
    <row r="30" spans="1:34" s="733" customFormat="1" ht="15.75" customHeight="1" x14ac:dyDescent="0.2">
      <c r="A30" s="727">
        <v>1</v>
      </c>
      <c r="B30" s="728" t="s">
        <v>44</v>
      </c>
      <c r="C30" s="728" t="s">
        <v>44</v>
      </c>
      <c r="D30" s="728" t="s">
        <v>46</v>
      </c>
      <c r="E30" s="729" t="s">
        <v>617</v>
      </c>
      <c r="F30" s="730">
        <v>54112</v>
      </c>
      <c r="G30" s="731" t="s">
        <v>41</v>
      </c>
      <c r="H30" s="732">
        <v>31000</v>
      </c>
      <c r="I30" s="732">
        <v>1000</v>
      </c>
      <c r="J30" s="732">
        <f>7985+1000</f>
        <v>8985</v>
      </c>
      <c r="K30" s="732">
        <v>6000</v>
      </c>
      <c r="L30" s="732">
        <v>10000</v>
      </c>
      <c r="M30" s="732">
        <v>2000</v>
      </c>
      <c r="N30" s="742"/>
      <c r="O30" s="742"/>
      <c r="P30" s="742"/>
      <c r="Q30" s="577">
        <f t="shared" si="3"/>
        <v>27985</v>
      </c>
      <c r="R30" s="738">
        <f t="shared" si="4"/>
        <v>3015</v>
      </c>
      <c r="S30" s="577"/>
      <c r="T30" s="577"/>
      <c r="U30" s="577"/>
      <c r="V30" s="577"/>
      <c r="W30" s="577">
        <v>1000</v>
      </c>
      <c r="X30" s="577"/>
      <c r="Y30" s="577"/>
      <c r="Z30" s="577"/>
      <c r="AA30" s="577"/>
      <c r="AB30" s="577"/>
      <c r="AC30" s="577"/>
      <c r="AD30" s="577"/>
      <c r="AE30" s="577"/>
      <c r="AF30" s="577"/>
      <c r="AG30" s="738">
        <f t="shared" si="1"/>
        <v>1000</v>
      </c>
      <c r="AH30" s="738">
        <f t="shared" si="2"/>
        <v>2015</v>
      </c>
    </row>
    <row r="31" spans="1:34" s="596" customFormat="1" ht="15.75" customHeight="1" x14ac:dyDescent="0.2">
      <c r="A31" s="590">
        <v>1</v>
      </c>
      <c r="B31" s="591" t="s">
        <v>44</v>
      </c>
      <c r="C31" s="591" t="s">
        <v>44</v>
      </c>
      <c r="D31" s="591" t="s">
        <v>46</v>
      </c>
      <c r="E31" s="592" t="s">
        <v>617</v>
      </c>
      <c r="F31" s="593">
        <v>54114</v>
      </c>
      <c r="G31" s="594" t="s">
        <v>37</v>
      </c>
      <c r="H31" s="625">
        <v>5000</v>
      </c>
      <c r="I31" s="625">
        <v>1000</v>
      </c>
      <c r="J31" s="625"/>
      <c r="K31" s="625"/>
      <c r="L31" s="625"/>
      <c r="M31" s="625"/>
      <c r="N31" s="577"/>
      <c r="O31" s="577"/>
      <c r="P31" s="577"/>
      <c r="Q31" s="577">
        <f t="shared" si="3"/>
        <v>1000</v>
      </c>
      <c r="R31" s="738">
        <f t="shared" si="4"/>
        <v>4000</v>
      </c>
      <c r="S31" s="577"/>
      <c r="T31" s="577">
        <v>1500</v>
      </c>
      <c r="U31" s="577">
        <v>41.05</v>
      </c>
      <c r="V31" s="577">
        <v>200</v>
      </c>
      <c r="W31" s="577">
        <v>200</v>
      </c>
      <c r="X31" s="577"/>
      <c r="Y31" s="577">
        <v>128.69999999999999</v>
      </c>
      <c r="Z31" s="577">
        <v>20</v>
      </c>
      <c r="AA31" s="577">
        <v>400</v>
      </c>
      <c r="AB31" s="577">
        <v>400</v>
      </c>
      <c r="AC31" s="577">
        <v>5</v>
      </c>
      <c r="AD31" s="577">
        <v>500</v>
      </c>
      <c r="AE31" s="577">
        <v>300</v>
      </c>
      <c r="AF31" s="577"/>
      <c r="AG31" s="738">
        <f t="shared" si="1"/>
        <v>3694.75</v>
      </c>
      <c r="AH31" s="738">
        <f t="shared" si="2"/>
        <v>305.25</v>
      </c>
    </row>
    <row r="32" spans="1:34" s="596" customFormat="1" ht="15.75" customHeight="1" x14ac:dyDescent="0.2">
      <c r="A32" s="590">
        <v>1</v>
      </c>
      <c r="B32" s="591" t="s">
        <v>44</v>
      </c>
      <c r="C32" s="591" t="s">
        <v>44</v>
      </c>
      <c r="D32" s="591" t="s">
        <v>46</v>
      </c>
      <c r="E32" s="592" t="s">
        <v>617</v>
      </c>
      <c r="F32" s="593">
        <v>54115</v>
      </c>
      <c r="G32" s="594" t="s">
        <v>68</v>
      </c>
      <c r="H32" s="625">
        <v>6000</v>
      </c>
      <c r="I32" s="625">
        <v>1000</v>
      </c>
      <c r="J32" s="625"/>
      <c r="K32" s="625"/>
      <c r="L32" s="625"/>
      <c r="M32" s="625"/>
      <c r="N32" s="577"/>
      <c r="O32" s="577"/>
      <c r="P32" s="577"/>
      <c r="Q32" s="577">
        <f t="shared" si="3"/>
        <v>1000</v>
      </c>
      <c r="R32" s="738">
        <f t="shared" si="4"/>
        <v>5000</v>
      </c>
      <c r="S32" s="577"/>
      <c r="T32" s="577">
        <v>800</v>
      </c>
      <c r="U32" s="577">
        <v>150</v>
      </c>
      <c r="V32" s="577">
        <v>200</v>
      </c>
      <c r="W32" s="577">
        <v>150</v>
      </c>
      <c r="X32" s="577"/>
      <c r="Y32" s="577">
        <v>500</v>
      </c>
      <c r="Z32" s="577"/>
      <c r="AA32" s="577">
        <v>1500</v>
      </c>
      <c r="AB32" s="577">
        <v>300</v>
      </c>
      <c r="AC32" s="577">
        <v>500</v>
      </c>
      <c r="AD32" s="577"/>
      <c r="AE32" s="577"/>
      <c r="AF32" s="577"/>
      <c r="AG32" s="738">
        <f t="shared" si="1"/>
        <v>4100</v>
      </c>
      <c r="AH32" s="738">
        <f t="shared" si="2"/>
        <v>900</v>
      </c>
    </row>
    <row r="33" spans="1:34" s="596" customFormat="1" ht="15.75" customHeight="1" x14ac:dyDescent="0.2">
      <c r="A33" s="590">
        <v>1</v>
      </c>
      <c r="B33" s="591" t="s">
        <v>44</v>
      </c>
      <c r="C33" s="591" t="s">
        <v>44</v>
      </c>
      <c r="D33" s="591" t="s">
        <v>46</v>
      </c>
      <c r="E33" s="592" t="s">
        <v>617</v>
      </c>
      <c r="F33" s="593">
        <v>54116</v>
      </c>
      <c r="G33" s="594" t="s">
        <v>207</v>
      </c>
      <c r="H33" s="625">
        <f>[1]CONSOLIDADO!$J$17</f>
        <v>200</v>
      </c>
      <c r="I33" s="625"/>
      <c r="J33" s="625"/>
      <c r="K33" s="625"/>
      <c r="L33" s="625"/>
      <c r="M33" s="625"/>
      <c r="N33" s="577"/>
      <c r="O33" s="577"/>
      <c r="P33" s="577"/>
      <c r="Q33" s="577">
        <f t="shared" si="3"/>
        <v>0</v>
      </c>
      <c r="R33" s="738">
        <f t="shared" si="4"/>
        <v>200</v>
      </c>
      <c r="S33" s="577"/>
      <c r="T33" s="577"/>
      <c r="U33" s="577"/>
      <c r="V33" s="577">
        <v>50</v>
      </c>
      <c r="W33" s="577"/>
      <c r="X33" s="577"/>
      <c r="Y33" s="577"/>
      <c r="Z33" s="577">
        <v>20</v>
      </c>
      <c r="AA33" s="577"/>
      <c r="AB33" s="577"/>
      <c r="AC33" s="577"/>
      <c r="AD33" s="577"/>
      <c r="AE33" s="577"/>
      <c r="AF33" s="577"/>
      <c r="AG33" s="738">
        <f t="shared" si="1"/>
        <v>70</v>
      </c>
      <c r="AH33" s="738">
        <f t="shared" si="2"/>
        <v>130</v>
      </c>
    </row>
    <row r="34" spans="1:34" s="596" customFormat="1" ht="15.75" customHeight="1" x14ac:dyDescent="0.2">
      <c r="A34" s="590">
        <v>1</v>
      </c>
      <c r="B34" s="591" t="s">
        <v>44</v>
      </c>
      <c r="C34" s="591" t="s">
        <v>44</v>
      </c>
      <c r="D34" s="591" t="s">
        <v>46</v>
      </c>
      <c r="E34" s="592" t="s">
        <v>617</v>
      </c>
      <c r="F34" s="593">
        <v>54117</v>
      </c>
      <c r="G34" s="594" t="s">
        <v>533</v>
      </c>
      <c r="H34" s="625">
        <f>[1]CONSOLIDADO!$J$18</f>
        <v>0</v>
      </c>
      <c r="I34" s="625"/>
      <c r="J34" s="625"/>
      <c r="K34" s="625"/>
      <c r="L34" s="625"/>
      <c r="M34" s="625"/>
      <c r="N34" s="577"/>
      <c r="O34" s="577"/>
      <c r="P34" s="577"/>
      <c r="Q34" s="577">
        <f t="shared" si="3"/>
        <v>0</v>
      </c>
      <c r="R34" s="738">
        <f t="shared" si="4"/>
        <v>0</v>
      </c>
      <c r="S34" s="577"/>
      <c r="T34" s="577"/>
      <c r="U34" s="577"/>
      <c r="V34" s="577"/>
      <c r="W34" s="577"/>
      <c r="X34" s="577"/>
      <c r="Y34" s="577"/>
      <c r="Z34" s="577"/>
      <c r="AA34" s="577"/>
      <c r="AB34" s="577"/>
      <c r="AC34" s="577"/>
      <c r="AD34" s="577"/>
      <c r="AE34" s="577"/>
      <c r="AF34" s="577"/>
      <c r="AG34" s="738">
        <f t="shared" si="1"/>
        <v>0</v>
      </c>
      <c r="AH34" s="738">
        <f t="shared" si="2"/>
        <v>0</v>
      </c>
    </row>
    <row r="35" spans="1:34" s="733" customFormat="1" ht="15.75" customHeight="1" x14ac:dyDescent="0.2">
      <c r="A35" s="727">
        <v>1</v>
      </c>
      <c r="B35" s="728" t="s">
        <v>44</v>
      </c>
      <c r="C35" s="728" t="s">
        <v>44</v>
      </c>
      <c r="D35" s="728" t="s">
        <v>46</v>
      </c>
      <c r="E35" s="729" t="s">
        <v>617</v>
      </c>
      <c r="F35" s="730">
        <v>54118</v>
      </c>
      <c r="G35" s="731" t="s">
        <v>185</v>
      </c>
      <c r="H35" s="732">
        <v>9423</v>
      </c>
      <c r="I35" s="732"/>
      <c r="J35" s="732"/>
      <c r="K35" s="732">
        <v>1009</v>
      </c>
      <c r="L35" s="732">
        <v>3000</v>
      </c>
      <c r="M35" s="732">
        <v>2000</v>
      </c>
      <c r="N35" s="742"/>
      <c r="O35" s="742"/>
      <c r="P35" s="742"/>
      <c r="Q35" s="577">
        <f t="shared" si="3"/>
        <v>6009</v>
      </c>
      <c r="R35" s="738">
        <f t="shared" si="4"/>
        <v>3414</v>
      </c>
      <c r="S35" s="577"/>
      <c r="T35" s="577"/>
      <c r="U35" s="577"/>
      <c r="V35" s="577"/>
      <c r="W35" s="577">
        <v>2000</v>
      </c>
      <c r="X35" s="577"/>
      <c r="Y35" s="577"/>
      <c r="Z35" s="577"/>
      <c r="AA35" s="577">
        <v>500</v>
      </c>
      <c r="AB35" s="577"/>
      <c r="AC35" s="577"/>
      <c r="AD35" s="577"/>
      <c r="AE35" s="577"/>
      <c r="AF35" s="577"/>
      <c r="AG35" s="738">
        <f t="shared" si="1"/>
        <v>2500</v>
      </c>
      <c r="AH35" s="738">
        <f t="shared" si="2"/>
        <v>914</v>
      </c>
    </row>
    <row r="36" spans="1:34" s="596" customFormat="1" ht="15.75" customHeight="1" x14ac:dyDescent="0.2">
      <c r="A36" s="590">
        <v>1</v>
      </c>
      <c r="B36" s="591" t="s">
        <v>44</v>
      </c>
      <c r="C36" s="591" t="s">
        <v>44</v>
      </c>
      <c r="D36" s="591" t="s">
        <v>46</v>
      </c>
      <c r="E36" s="592" t="s">
        <v>617</v>
      </c>
      <c r="F36" s="593">
        <v>54119</v>
      </c>
      <c r="G36" s="594" t="s">
        <v>79</v>
      </c>
      <c r="H36" s="625">
        <v>5000</v>
      </c>
      <c r="I36" s="625">
        <v>1000</v>
      </c>
      <c r="J36" s="625"/>
      <c r="K36" s="625"/>
      <c r="L36" s="625"/>
      <c r="M36" s="625"/>
      <c r="N36" s="577"/>
      <c r="O36" s="577"/>
      <c r="P36" s="577"/>
      <c r="Q36" s="577">
        <f t="shared" si="3"/>
        <v>1000</v>
      </c>
      <c r="R36" s="738">
        <f t="shared" si="4"/>
        <v>4000</v>
      </c>
      <c r="S36" s="577"/>
      <c r="T36" s="577"/>
      <c r="U36" s="577"/>
      <c r="V36" s="577"/>
      <c r="W36" s="577">
        <v>1000</v>
      </c>
      <c r="X36" s="577"/>
      <c r="Y36" s="577"/>
      <c r="Z36" s="577"/>
      <c r="AA36" s="577">
        <v>1000</v>
      </c>
      <c r="AB36" s="577"/>
      <c r="AC36" s="577"/>
      <c r="AD36" s="577"/>
      <c r="AE36" s="577"/>
      <c r="AF36" s="577"/>
      <c r="AG36" s="738">
        <f t="shared" si="1"/>
        <v>2000</v>
      </c>
      <c r="AH36" s="738">
        <f t="shared" si="2"/>
        <v>2000</v>
      </c>
    </row>
    <row r="37" spans="1:34" s="596" customFormat="1" ht="15.75" customHeight="1" x14ac:dyDescent="0.2">
      <c r="A37" s="590">
        <v>1</v>
      </c>
      <c r="B37" s="591" t="s">
        <v>44</v>
      </c>
      <c r="C37" s="591" t="s">
        <v>44</v>
      </c>
      <c r="D37" s="591" t="s">
        <v>46</v>
      </c>
      <c r="E37" s="592" t="s">
        <v>617</v>
      </c>
      <c r="F37" s="593">
        <v>54121</v>
      </c>
      <c r="G37" s="594" t="s">
        <v>70</v>
      </c>
      <c r="H37" s="625">
        <f>[1]CONSOLIDADO!$J$21</f>
        <v>3000</v>
      </c>
      <c r="I37" s="625">
        <v>1000</v>
      </c>
      <c r="J37" s="625"/>
      <c r="K37" s="625"/>
      <c r="L37" s="625"/>
      <c r="M37" s="625"/>
      <c r="N37" s="577"/>
      <c r="O37" s="577"/>
      <c r="P37" s="577"/>
      <c r="Q37" s="577">
        <f t="shared" si="3"/>
        <v>1000</v>
      </c>
      <c r="R37" s="738">
        <f t="shared" si="4"/>
        <v>2000</v>
      </c>
      <c r="S37" s="577">
        <v>485</v>
      </c>
      <c r="T37" s="577"/>
      <c r="U37" s="577"/>
      <c r="V37" s="577"/>
      <c r="W37" s="577"/>
      <c r="X37" s="577"/>
      <c r="Y37" s="577"/>
      <c r="Z37" s="577"/>
      <c r="AA37" s="577"/>
      <c r="AB37" s="577"/>
      <c r="AC37" s="577"/>
      <c r="AD37" s="577"/>
      <c r="AE37" s="577"/>
      <c r="AF37" s="577"/>
      <c r="AG37" s="738">
        <f t="shared" si="1"/>
        <v>485</v>
      </c>
      <c r="AH37" s="738">
        <f t="shared" si="2"/>
        <v>1515</v>
      </c>
    </row>
    <row r="38" spans="1:34" s="733" customFormat="1" ht="15.75" customHeight="1" x14ac:dyDescent="0.2">
      <c r="A38" s="727">
        <v>1</v>
      </c>
      <c r="B38" s="728" t="s">
        <v>44</v>
      </c>
      <c r="C38" s="728" t="s">
        <v>44</v>
      </c>
      <c r="D38" s="728" t="s">
        <v>46</v>
      </c>
      <c r="E38" s="729" t="s">
        <v>617</v>
      </c>
      <c r="F38" s="730">
        <v>54199</v>
      </c>
      <c r="G38" s="731" t="s">
        <v>190</v>
      </c>
      <c r="H38" s="910">
        <v>14865</v>
      </c>
      <c r="I38" s="732"/>
      <c r="J38" s="732"/>
      <c r="K38" s="732">
        <v>1000</v>
      </c>
      <c r="L38" s="732">
        <v>2000</v>
      </c>
      <c r="M38" s="732">
        <v>2500</v>
      </c>
      <c r="N38" s="742"/>
      <c r="O38" s="742"/>
      <c r="P38" s="742"/>
      <c r="Q38" s="577">
        <f t="shared" si="3"/>
        <v>5500</v>
      </c>
      <c r="R38" s="738">
        <f t="shared" si="4"/>
        <v>9365</v>
      </c>
      <c r="S38" s="577"/>
      <c r="T38" s="577"/>
      <c r="U38" s="577">
        <v>150</v>
      </c>
      <c r="V38" s="577">
        <v>200</v>
      </c>
      <c r="W38" s="577">
        <v>2000</v>
      </c>
      <c r="X38" s="577"/>
      <c r="Y38" s="577">
        <v>81</v>
      </c>
      <c r="Z38" s="577"/>
      <c r="AA38" s="577">
        <v>2000</v>
      </c>
      <c r="AB38" s="577"/>
      <c r="AC38" s="577"/>
      <c r="AD38" s="577">
        <v>500</v>
      </c>
      <c r="AE38" s="577">
        <v>500</v>
      </c>
      <c r="AF38" s="577">
        <v>1200</v>
      </c>
      <c r="AG38" s="738">
        <f>SUM(S38:AF38)</f>
        <v>6631</v>
      </c>
      <c r="AH38" s="738">
        <f t="shared" si="2"/>
        <v>2734</v>
      </c>
    </row>
    <row r="39" spans="1:34" s="596" customFormat="1" ht="15.75" customHeight="1" x14ac:dyDescent="0.2">
      <c r="A39" s="590">
        <v>1</v>
      </c>
      <c r="B39" s="591" t="s">
        <v>44</v>
      </c>
      <c r="C39" s="591" t="s">
        <v>44</v>
      </c>
      <c r="D39" s="591" t="s">
        <v>46</v>
      </c>
      <c r="E39" s="592" t="s">
        <v>617</v>
      </c>
      <c r="F39" s="593">
        <v>54201</v>
      </c>
      <c r="G39" s="594" t="s">
        <v>38</v>
      </c>
      <c r="H39" s="625"/>
      <c r="I39" s="625"/>
      <c r="J39" s="625"/>
      <c r="K39" s="625"/>
      <c r="L39" s="625"/>
      <c r="M39" s="625"/>
      <c r="N39" s="577"/>
      <c r="O39" s="577"/>
      <c r="P39" s="577"/>
      <c r="Q39" s="577">
        <f t="shared" si="3"/>
        <v>0</v>
      </c>
      <c r="R39" s="738">
        <f t="shared" si="4"/>
        <v>0</v>
      </c>
      <c r="S39" s="577"/>
      <c r="T39" s="577"/>
      <c r="U39" s="577"/>
      <c r="V39" s="577"/>
      <c r="W39" s="577"/>
      <c r="X39" s="577"/>
      <c r="Y39" s="577"/>
      <c r="Z39" s="577"/>
      <c r="AA39" s="577"/>
      <c r="AB39" s="577"/>
      <c r="AC39" s="577"/>
      <c r="AD39" s="577"/>
      <c r="AE39" s="577"/>
      <c r="AF39" s="577"/>
      <c r="AG39" s="738">
        <f t="shared" si="1"/>
        <v>0</v>
      </c>
      <c r="AH39" s="738">
        <f t="shared" si="2"/>
        <v>0</v>
      </c>
    </row>
    <row r="40" spans="1:34" s="596" customFormat="1" ht="15.75" customHeight="1" x14ac:dyDescent="0.2">
      <c r="A40" s="590">
        <v>1</v>
      </c>
      <c r="B40" s="591" t="s">
        <v>44</v>
      </c>
      <c r="C40" s="591" t="s">
        <v>44</v>
      </c>
      <c r="D40" s="591" t="s">
        <v>46</v>
      </c>
      <c r="E40" s="592" t="s">
        <v>617</v>
      </c>
      <c r="F40" s="593">
        <v>54202</v>
      </c>
      <c r="G40" s="594" t="s">
        <v>39</v>
      </c>
      <c r="H40" s="625"/>
      <c r="I40" s="625"/>
      <c r="J40" s="625"/>
      <c r="K40" s="625"/>
      <c r="L40" s="625"/>
      <c r="M40" s="625"/>
      <c r="N40" s="577"/>
      <c r="O40" s="577"/>
      <c r="P40" s="577"/>
      <c r="Q40" s="577">
        <f t="shared" si="3"/>
        <v>0</v>
      </c>
      <c r="R40" s="738">
        <f t="shared" si="4"/>
        <v>0</v>
      </c>
      <c r="S40" s="577"/>
      <c r="T40" s="577"/>
      <c r="U40" s="577"/>
      <c r="V40" s="577"/>
      <c r="W40" s="577"/>
      <c r="X40" s="577"/>
      <c r="Y40" s="577"/>
      <c r="Z40" s="577"/>
      <c r="AA40" s="577"/>
      <c r="AB40" s="577"/>
      <c r="AC40" s="577"/>
      <c r="AD40" s="577"/>
      <c r="AE40" s="577"/>
      <c r="AF40" s="577"/>
      <c r="AG40" s="738">
        <f t="shared" si="1"/>
        <v>0</v>
      </c>
      <c r="AH40" s="738">
        <f t="shared" si="2"/>
        <v>0</v>
      </c>
    </row>
    <row r="41" spans="1:34" s="596" customFormat="1" ht="15.75" customHeight="1" x14ac:dyDescent="0.2">
      <c r="A41" s="590">
        <v>1</v>
      </c>
      <c r="B41" s="591" t="s">
        <v>44</v>
      </c>
      <c r="C41" s="591" t="s">
        <v>44</v>
      </c>
      <c r="D41" s="591" t="s">
        <v>46</v>
      </c>
      <c r="E41" s="592" t="s">
        <v>617</v>
      </c>
      <c r="F41" s="593">
        <v>54203</v>
      </c>
      <c r="G41" s="594" t="s">
        <v>40</v>
      </c>
      <c r="H41" s="625"/>
      <c r="I41" s="625"/>
      <c r="J41" s="625"/>
      <c r="K41" s="625"/>
      <c r="L41" s="625"/>
      <c r="M41" s="625"/>
      <c r="N41" s="577"/>
      <c r="O41" s="577"/>
      <c r="P41" s="577"/>
      <c r="Q41" s="577">
        <f t="shared" si="3"/>
        <v>0</v>
      </c>
      <c r="R41" s="738">
        <f t="shared" si="4"/>
        <v>0</v>
      </c>
      <c r="S41" s="577"/>
      <c r="T41" s="577"/>
      <c r="U41" s="577"/>
      <c r="V41" s="577"/>
      <c r="W41" s="577"/>
      <c r="X41" s="577"/>
      <c r="Y41" s="577"/>
      <c r="Z41" s="577"/>
      <c r="AA41" s="577"/>
      <c r="AB41" s="577"/>
      <c r="AC41" s="577"/>
      <c r="AD41" s="577"/>
      <c r="AE41" s="577"/>
      <c r="AF41" s="577"/>
      <c r="AG41" s="738">
        <f t="shared" si="1"/>
        <v>0</v>
      </c>
      <c r="AH41" s="738">
        <f t="shared" si="2"/>
        <v>0</v>
      </c>
    </row>
    <row r="42" spans="1:34" s="733" customFormat="1" ht="15.75" customHeight="1" x14ac:dyDescent="0.2">
      <c r="A42" s="727">
        <v>1</v>
      </c>
      <c r="B42" s="728" t="s">
        <v>44</v>
      </c>
      <c r="C42" s="728" t="s">
        <v>44</v>
      </c>
      <c r="D42" s="728" t="s">
        <v>46</v>
      </c>
      <c r="E42" s="729" t="s">
        <v>617</v>
      </c>
      <c r="F42" s="730">
        <v>54301</v>
      </c>
      <c r="G42" s="731" t="s">
        <v>188</v>
      </c>
      <c r="H42" s="732">
        <v>24000</v>
      </c>
      <c r="I42" s="732">
        <v>1000</v>
      </c>
      <c r="J42" s="732"/>
      <c r="K42" s="732">
        <v>18500</v>
      </c>
      <c r="L42" s="732"/>
      <c r="M42" s="732"/>
      <c r="N42" s="742"/>
      <c r="O42" s="742"/>
      <c r="P42" s="742"/>
      <c r="Q42" s="577">
        <f t="shared" si="3"/>
        <v>19500</v>
      </c>
      <c r="R42" s="738">
        <f t="shared" si="4"/>
        <v>4500</v>
      </c>
      <c r="S42" s="577">
        <v>1030</v>
      </c>
      <c r="T42" s="577"/>
      <c r="U42" s="577">
        <v>360</v>
      </c>
      <c r="V42" s="577"/>
      <c r="W42" s="577">
        <v>200</v>
      </c>
      <c r="X42" s="577"/>
      <c r="Y42" s="577"/>
      <c r="Z42" s="577"/>
      <c r="AA42" s="577">
        <v>800</v>
      </c>
      <c r="AB42" s="577"/>
      <c r="AC42" s="577">
        <v>400</v>
      </c>
      <c r="AD42" s="577"/>
      <c r="AE42" s="577"/>
      <c r="AF42" s="577"/>
      <c r="AG42" s="738">
        <f t="shared" si="1"/>
        <v>2790</v>
      </c>
      <c r="AH42" s="738">
        <f t="shared" si="2"/>
        <v>1710</v>
      </c>
    </row>
    <row r="43" spans="1:34" s="596" customFormat="1" ht="15.75" customHeight="1" x14ac:dyDescent="0.2">
      <c r="A43" s="590">
        <v>1</v>
      </c>
      <c r="B43" s="591" t="s">
        <v>44</v>
      </c>
      <c r="C43" s="591" t="s">
        <v>44</v>
      </c>
      <c r="D43" s="591" t="s">
        <v>46</v>
      </c>
      <c r="E43" s="592" t="s">
        <v>617</v>
      </c>
      <c r="F43" s="593">
        <v>54302</v>
      </c>
      <c r="G43" s="594" t="s">
        <v>187</v>
      </c>
      <c r="H43" s="625">
        <v>7500</v>
      </c>
      <c r="I43" s="625">
        <v>1000</v>
      </c>
      <c r="J43" s="625"/>
      <c r="K43" s="625"/>
      <c r="L43" s="625"/>
      <c r="M43" s="625"/>
      <c r="N43" s="577"/>
      <c r="O43" s="577"/>
      <c r="P43" s="577"/>
      <c r="Q43" s="577">
        <f t="shared" si="3"/>
        <v>1000</v>
      </c>
      <c r="R43" s="738">
        <f t="shared" si="4"/>
        <v>6500</v>
      </c>
      <c r="S43" s="577"/>
      <c r="T43" s="577"/>
      <c r="U43" s="577"/>
      <c r="V43" s="577"/>
      <c r="W43" s="577"/>
      <c r="X43" s="577"/>
      <c r="Y43" s="577"/>
      <c r="Z43" s="577"/>
      <c r="AA43" s="577"/>
      <c r="AB43" s="577"/>
      <c r="AC43" s="577"/>
      <c r="AD43" s="577"/>
      <c r="AE43" s="577"/>
      <c r="AF43" s="577"/>
      <c r="AG43" s="738">
        <f t="shared" si="1"/>
        <v>0</v>
      </c>
      <c r="AH43" s="738">
        <f t="shared" si="2"/>
        <v>6500</v>
      </c>
    </row>
    <row r="44" spans="1:34" s="596" customFormat="1" ht="15.75" customHeight="1" x14ac:dyDescent="0.2">
      <c r="A44" s="590">
        <v>1</v>
      </c>
      <c r="B44" s="591" t="s">
        <v>44</v>
      </c>
      <c r="C44" s="591" t="s">
        <v>44</v>
      </c>
      <c r="D44" s="591" t="s">
        <v>46</v>
      </c>
      <c r="E44" s="592" t="s">
        <v>617</v>
      </c>
      <c r="F44" s="593">
        <v>54303</v>
      </c>
      <c r="G44" s="594" t="s">
        <v>186</v>
      </c>
      <c r="H44" s="625">
        <v>5000</v>
      </c>
      <c r="I44" s="625">
        <v>2000</v>
      </c>
      <c r="J44" s="625">
        <v>2000</v>
      </c>
      <c r="K44" s="625"/>
      <c r="L44" s="625"/>
      <c r="M44" s="625"/>
      <c r="N44" s="577"/>
      <c r="O44" s="577"/>
      <c r="P44" s="577"/>
      <c r="Q44" s="577">
        <f t="shared" si="3"/>
        <v>4000</v>
      </c>
      <c r="R44" s="738">
        <f t="shared" si="4"/>
        <v>1000</v>
      </c>
      <c r="S44" s="577"/>
      <c r="T44" s="577"/>
      <c r="U44" s="577"/>
      <c r="V44" s="577"/>
      <c r="W44" s="577"/>
      <c r="X44" s="577"/>
      <c r="Y44" s="577"/>
      <c r="Z44" s="577"/>
      <c r="AA44" s="577"/>
      <c r="AB44" s="577"/>
      <c r="AC44" s="577"/>
      <c r="AD44" s="577"/>
      <c r="AE44" s="577"/>
      <c r="AF44" s="577"/>
      <c r="AG44" s="738">
        <f t="shared" si="1"/>
        <v>0</v>
      </c>
      <c r="AH44" s="738">
        <f t="shared" si="2"/>
        <v>1000</v>
      </c>
    </row>
    <row r="45" spans="1:34" s="596" customFormat="1" ht="15.75" customHeight="1" x14ac:dyDescent="0.2">
      <c r="A45" s="590">
        <v>1</v>
      </c>
      <c r="B45" s="591" t="s">
        <v>44</v>
      </c>
      <c r="C45" s="591" t="s">
        <v>44</v>
      </c>
      <c r="D45" s="591" t="s">
        <v>46</v>
      </c>
      <c r="E45" s="592" t="s">
        <v>617</v>
      </c>
      <c r="F45" s="593">
        <v>54304</v>
      </c>
      <c r="G45" s="594" t="s">
        <v>76</v>
      </c>
      <c r="H45" s="625">
        <v>2000</v>
      </c>
      <c r="I45" s="625">
        <v>1000</v>
      </c>
      <c r="J45" s="625"/>
      <c r="K45" s="625"/>
      <c r="L45" s="625"/>
      <c r="M45" s="625"/>
      <c r="N45" s="577"/>
      <c r="O45" s="577"/>
      <c r="P45" s="577"/>
      <c r="Q45" s="577">
        <f t="shared" si="3"/>
        <v>1000</v>
      </c>
      <c r="R45" s="738">
        <f t="shared" si="4"/>
        <v>1000</v>
      </c>
      <c r="S45" s="577"/>
      <c r="T45" s="577"/>
      <c r="U45" s="577"/>
      <c r="V45" s="577"/>
      <c r="W45" s="577"/>
      <c r="X45" s="577"/>
      <c r="Y45" s="577"/>
      <c r="Z45" s="577"/>
      <c r="AA45" s="577"/>
      <c r="AB45" s="577"/>
      <c r="AC45" s="577"/>
      <c r="AD45" s="577"/>
      <c r="AE45" s="577"/>
      <c r="AF45" s="577"/>
      <c r="AG45" s="738">
        <f t="shared" si="1"/>
        <v>0</v>
      </c>
      <c r="AH45" s="738">
        <f t="shared" si="2"/>
        <v>1000</v>
      </c>
    </row>
    <row r="46" spans="1:34" s="596" customFormat="1" ht="15.75" customHeight="1" x14ac:dyDescent="0.2">
      <c r="A46" s="590">
        <v>1</v>
      </c>
      <c r="B46" s="591" t="s">
        <v>44</v>
      </c>
      <c r="C46" s="591" t="s">
        <v>44</v>
      </c>
      <c r="D46" s="591" t="s">
        <v>46</v>
      </c>
      <c r="E46" s="592" t="s">
        <v>617</v>
      </c>
      <c r="F46" s="593">
        <v>54305</v>
      </c>
      <c r="G46" s="594" t="s">
        <v>65</v>
      </c>
      <c r="H46" s="625">
        <f>[1]CONSOLIDADO!$J$26</f>
        <v>2000</v>
      </c>
      <c r="I46" s="625">
        <v>1000</v>
      </c>
      <c r="J46" s="625"/>
      <c r="K46" s="625"/>
      <c r="L46" s="625"/>
      <c r="M46" s="625"/>
      <c r="N46" s="577"/>
      <c r="O46" s="577"/>
      <c r="P46" s="577"/>
      <c r="Q46" s="577">
        <f t="shared" si="3"/>
        <v>1000</v>
      </c>
      <c r="R46" s="738">
        <f t="shared" si="4"/>
        <v>1000</v>
      </c>
      <c r="S46" s="577"/>
      <c r="T46" s="577"/>
      <c r="U46" s="577"/>
      <c r="V46" s="577"/>
      <c r="W46" s="577"/>
      <c r="X46" s="577"/>
      <c r="Y46" s="577"/>
      <c r="Z46" s="577"/>
      <c r="AA46" s="577">
        <v>200</v>
      </c>
      <c r="AB46" s="577"/>
      <c r="AC46" s="577"/>
      <c r="AD46" s="577"/>
      <c r="AE46" s="577"/>
      <c r="AF46" s="577"/>
      <c r="AG46" s="738">
        <f t="shared" si="1"/>
        <v>200</v>
      </c>
      <c r="AH46" s="738">
        <f t="shared" si="2"/>
        <v>800</v>
      </c>
    </row>
    <row r="47" spans="1:34" s="596" customFormat="1" ht="15.75" customHeight="1" x14ac:dyDescent="0.2">
      <c r="A47" s="590">
        <v>1</v>
      </c>
      <c r="B47" s="591" t="s">
        <v>44</v>
      </c>
      <c r="C47" s="591" t="s">
        <v>44</v>
      </c>
      <c r="D47" s="591" t="s">
        <v>46</v>
      </c>
      <c r="E47" s="592" t="s">
        <v>617</v>
      </c>
      <c r="F47" s="593">
        <v>54313</v>
      </c>
      <c r="G47" s="594" t="s">
        <v>158</v>
      </c>
      <c r="H47" s="625">
        <v>3500</v>
      </c>
      <c r="I47" s="625">
        <v>1000</v>
      </c>
      <c r="J47" s="625"/>
      <c r="K47" s="625"/>
      <c r="L47" s="625"/>
      <c r="M47" s="625"/>
      <c r="N47" s="577"/>
      <c r="O47" s="577"/>
      <c r="P47" s="577"/>
      <c r="Q47" s="577">
        <f t="shared" si="3"/>
        <v>1000</v>
      </c>
      <c r="R47" s="738">
        <f t="shared" si="4"/>
        <v>2500</v>
      </c>
      <c r="S47" s="577">
        <v>600</v>
      </c>
      <c r="T47" s="577">
        <v>400</v>
      </c>
      <c r="U47" s="577"/>
      <c r="V47" s="577">
        <v>150</v>
      </c>
      <c r="W47" s="577"/>
      <c r="X47" s="577"/>
      <c r="Y47" s="577"/>
      <c r="Z47" s="577"/>
      <c r="AA47" s="577">
        <v>1200</v>
      </c>
      <c r="AB47" s="577"/>
      <c r="AC47" s="577"/>
      <c r="AD47" s="577"/>
      <c r="AE47" s="577"/>
      <c r="AF47" s="577"/>
      <c r="AG47" s="738">
        <f t="shared" si="1"/>
        <v>2350</v>
      </c>
      <c r="AH47" s="738">
        <f t="shared" si="2"/>
        <v>150</v>
      </c>
    </row>
    <row r="48" spans="1:34" s="596" customFormat="1" ht="15.75" customHeight="1" x14ac:dyDescent="0.2">
      <c r="A48" s="590">
        <v>1</v>
      </c>
      <c r="B48" s="591" t="s">
        <v>44</v>
      </c>
      <c r="C48" s="591" t="s">
        <v>44</v>
      </c>
      <c r="D48" s="591" t="s">
        <v>46</v>
      </c>
      <c r="E48" s="592" t="s">
        <v>617</v>
      </c>
      <c r="F48" s="593">
        <v>54314</v>
      </c>
      <c r="G48" s="594" t="s">
        <v>71</v>
      </c>
      <c r="H48" s="625">
        <v>2000</v>
      </c>
      <c r="I48" s="625">
        <v>1000</v>
      </c>
      <c r="J48" s="625"/>
      <c r="K48" s="625"/>
      <c r="L48" s="625"/>
      <c r="M48" s="625"/>
      <c r="N48" s="577"/>
      <c r="O48" s="577"/>
      <c r="P48" s="577"/>
      <c r="Q48" s="577">
        <f t="shared" si="3"/>
        <v>1000</v>
      </c>
      <c r="R48" s="738">
        <f t="shared" si="4"/>
        <v>1000</v>
      </c>
      <c r="S48" s="577"/>
      <c r="T48" s="577"/>
      <c r="U48" s="577"/>
      <c r="V48" s="577"/>
      <c r="W48" s="577"/>
      <c r="X48" s="577"/>
      <c r="Y48" s="577"/>
      <c r="Z48" s="577"/>
      <c r="AA48" s="577"/>
      <c r="AB48" s="577"/>
      <c r="AC48" s="577"/>
      <c r="AD48" s="577"/>
      <c r="AE48" s="577"/>
      <c r="AF48" s="577"/>
      <c r="AG48" s="738">
        <f t="shared" si="1"/>
        <v>0</v>
      </c>
      <c r="AH48" s="738">
        <f t="shared" si="2"/>
        <v>1000</v>
      </c>
    </row>
    <row r="49" spans="1:34" s="596" customFormat="1" ht="15.75" customHeight="1" x14ac:dyDescent="0.2">
      <c r="A49" s="590">
        <v>1</v>
      </c>
      <c r="B49" s="591" t="s">
        <v>44</v>
      </c>
      <c r="C49" s="591" t="s">
        <v>44</v>
      </c>
      <c r="D49" s="591" t="s">
        <v>46</v>
      </c>
      <c r="E49" s="592" t="s">
        <v>617</v>
      </c>
      <c r="F49" s="593">
        <v>54316</v>
      </c>
      <c r="G49" s="594" t="s">
        <v>501</v>
      </c>
      <c r="H49" s="625">
        <v>1500</v>
      </c>
      <c r="I49" s="625"/>
      <c r="J49" s="625"/>
      <c r="K49" s="625"/>
      <c r="L49" s="625"/>
      <c r="M49" s="625"/>
      <c r="N49" s="577"/>
      <c r="O49" s="577"/>
      <c r="P49" s="577"/>
      <c r="Q49" s="577">
        <f t="shared" si="3"/>
        <v>0</v>
      </c>
      <c r="R49" s="738">
        <f t="shared" si="4"/>
        <v>1500</v>
      </c>
      <c r="S49" s="577"/>
      <c r="T49" s="577"/>
      <c r="U49" s="577"/>
      <c r="V49" s="577"/>
      <c r="W49" s="577"/>
      <c r="X49" s="577"/>
      <c r="Y49" s="577"/>
      <c r="Z49" s="577"/>
      <c r="AA49" s="577"/>
      <c r="AB49" s="577"/>
      <c r="AC49" s="577"/>
      <c r="AD49" s="577"/>
      <c r="AE49" s="577"/>
      <c r="AF49" s="577"/>
      <c r="AG49" s="738">
        <f t="shared" si="1"/>
        <v>0</v>
      </c>
      <c r="AH49" s="738">
        <f t="shared" si="2"/>
        <v>1500</v>
      </c>
    </row>
    <row r="50" spans="1:34" s="596" customFormat="1" ht="15.75" customHeight="1" x14ac:dyDescent="0.2">
      <c r="A50" s="590">
        <v>1</v>
      </c>
      <c r="B50" s="591" t="s">
        <v>44</v>
      </c>
      <c r="C50" s="591" t="s">
        <v>44</v>
      </c>
      <c r="D50" s="591" t="s">
        <v>46</v>
      </c>
      <c r="E50" s="592" t="s">
        <v>617</v>
      </c>
      <c r="F50" s="593">
        <v>54317</v>
      </c>
      <c r="G50" s="594" t="s">
        <v>502</v>
      </c>
      <c r="H50" s="625">
        <v>4000</v>
      </c>
      <c r="I50" s="625">
        <v>2000</v>
      </c>
      <c r="J50" s="625"/>
      <c r="K50" s="625"/>
      <c r="L50" s="625"/>
      <c r="M50" s="625"/>
      <c r="N50" s="577"/>
      <c r="O50" s="577"/>
      <c r="P50" s="577"/>
      <c r="Q50" s="577">
        <f t="shared" si="3"/>
        <v>2000</v>
      </c>
      <c r="R50" s="738">
        <f t="shared" si="4"/>
        <v>2000</v>
      </c>
      <c r="S50" s="577"/>
      <c r="T50" s="577"/>
      <c r="U50" s="577"/>
      <c r="V50" s="577">
        <v>300</v>
      </c>
      <c r="W50" s="577"/>
      <c r="X50" s="577"/>
      <c r="Y50" s="577"/>
      <c r="Z50" s="577"/>
      <c r="AA50" s="577"/>
      <c r="AB50" s="577"/>
      <c r="AC50" s="577"/>
      <c r="AD50" s="577"/>
      <c r="AE50" s="577"/>
      <c r="AF50" s="577"/>
      <c r="AG50" s="738">
        <f t="shared" si="1"/>
        <v>300</v>
      </c>
      <c r="AH50" s="738">
        <f t="shared" si="2"/>
        <v>1700</v>
      </c>
    </row>
    <row r="51" spans="1:34" s="733" customFormat="1" ht="15.75" customHeight="1" x14ac:dyDescent="0.2">
      <c r="A51" s="727">
        <v>1</v>
      </c>
      <c r="B51" s="728" t="s">
        <v>44</v>
      </c>
      <c r="C51" s="728" t="s">
        <v>44</v>
      </c>
      <c r="D51" s="728" t="s">
        <v>46</v>
      </c>
      <c r="E51" s="729" t="s">
        <v>617</v>
      </c>
      <c r="F51" s="730">
        <v>54399</v>
      </c>
      <c r="G51" s="731" t="s">
        <v>319</v>
      </c>
      <c r="H51" s="732">
        <v>11000</v>
      </c>
      <c r="I51" s="732">
        <v>1000</v>
      </c>
      <c r="J51" s="732">
        <v>2395</v>
      </c>
      <c r="K51" s="732">
        <v>820</v>
      </c>
      <c r="L51" s="732">
        <v>2000</v>
      </c>
      <c r="M51" s="732">
        <v>1695.5</v>
      </c>
      <c r="N51" s="742"/>
      <c r="O51" s="742"/>
      <c r="P51" s="742"/>
      <c r="Q51" s="577">
        <f t="shared" si="3"/>
        <v>7910.5</v>
      </c>
      <c r="R51" s="738">
        <f t="shared" si="4"/>
        <v>3089.5</v>
      </c>
      <c r="S51" s="577"/>
      <c r="T51" s="577"/>
      <c r="U51" s="577"/>
      <c r="V51" s="577">
        <v>900</v>
      </c>
      <c r="W51" s="577"/>
      <c r="X51" s="577"/>
      <c r="Y51" s="577"/>
      <c r="Z51" s="577">
        <v>1000</v>
      </c>
      <c r="AA51" s="577"/>
      <c r="AB51" s="577"/>
      <c r="AC51" s="577"/>
      <c r="AD51" s="577"/>
      <c r="AE51" s="577">
        <v>1000</v>
      </c>
      <c r="AF51" s="577"/>
      <c r="AG51" s="738">
        <f t="shared" si="1"/>
        <v>2900</v>
      </c>
      <c r="AH51" s="738">
        <f>R51-AG51</f>
        <v>189.5</v>
      </c>
    </row>
    <row r="52" spans="1:34" ht="15.75" customHeight="1" x14ac:dyDescent="0.2">
      <c r="A52" s="312">
        <v>1</v>
      </c>
      <c r="B52" s="313" t="s">
        <v>44</v>
      </c>
      <c r="C52" s="313" t="s">
        <v>44</v>
      </c>
      <c r="D52" s="313" t="s">
        <v>46</v>
      </c>
      <c r="E52" s="311" t="s">
        <v>617</v>
      </c>
      <c r="F52" s="2">
        <v>54503</v>
      </c>
      <c r="G52" s="314" t="s">
        <v>67</v>
      </c>
      <c r="H52" s="186"/>
      <c r="I52" s="186"/>
      <c r="J52" s="186"/>
      <c r="K52" s="186"/>
      <c r="L52" s="186"/>
      <c r="M52" s="186"/>
      <c r="N52" s="739"/>
      <c r="O52" s="739"/>
      <c r="P52" s="739"/>
      <c r="Q52" s="577">
        <f t="shared" si="3"/>
        <v>0</v>
      </c>
      <c r="R52" s="738">
        <f t="shared" si="4"/>
        <v>0</v>
      </c>
      <c r="S52" s="577"/>
      <c r="T52" s="577"/>
      <c r="U52" s="577"/>
      <c r="V52" s="577"/>
      <c r="W52" s="577"/>
      <c r="X52" s="577"/>
      <c r="Y52" s="577"/>
      <c r="Z52" s="577"/>
      <c r="AA52" s="577"/>
      <c r="AB52" s="577"/>
      <c r="AC52" s="577"/>
      <c r="AD52" s="577"/>
      <c r="AE52" s="577"/>
      <c r="AF52" s="577"/>
      <c r="AG52" s="738">
        <f t="shared" si="1"/>
        <v>0</v>
      </c>
      <c r="AH52" s="738">
        <f t="shared" si="2"/>
        <v>0</v>
      </c>
    </row>
    <row r="53" spans="1:34" s="596" customFormat="1" ht="15.75" customHeight="1" x14ac:dyDescent="0.2">
      <c r="A53" s="590">
        <v>1</v>
      </c>
      <c r="B53" s="591" t="s">
        <v>44</v>
      </c>
      <c r="C53" s="591" t="s">
        <v>44</v>
      </c>
      <c r="D53" s="591" t="s">
        <v>46</v>
      </c>
      <c r="E53" s="592" t="s">
        <v>617</v>
      </c>
      <c r="F53" s="593">
        <v>54504</v>
      </c>
      <c r="G53" s="594" t="s">
        <v>72</v>
      </c>
      <c r="H53" s="625">
        <f>[1]CONSOLIDADO!$J$33</f>
        <v>4000</v>
      </c>
      <c r="I53" s="625"/>
      <c r="J53" s="625"/>
      <c r="K53" s="625"/>
      <c r="L53" s="625"/>
      <c r="M53" s="625"/>
      <c r="N53" s="577"/>
      <c r="O53" s="577"/>
      <c r="P53" s="577"/>
      <c r="Q53" s="577">
        <f t="shared" si="3"/>
        <v>0</v>
      </c>
      <c r="R53" s="738">
        <f t="shared" si="4"/>
        <v>4000</v>
      </c>
      <c r="S53" s="577"/>
      <c r="T53" s="577"/>
      <c r="U53" s="577"/>
      <c r="V53" s="577"/>
      <c r="W53" s="577"/>
      <c r="X53" s="577"/>
      <c r="Y53" s="577"/>
      <c r="Z53" s="577"/>
      <c r="AA53" s="577"/>
      <c r="AB53" s="577"/>
      <c r="AC53" s="577"/>
      <c r="AD53" s="577"/>
      <c r="AE53" s="577"/>
      <c r="AF53" s="577"/>
      <c r="AG53" s="738">
        <f t="shared" si="1"/>
        <v>0</v>
      </c>
      <c r="AH53" s="738">
        <f t="shared" si="2"/>
        <v>4000</v>
      </c>
    </row>
    <row r="54" spans="1:34" s="596" customFormat="1" ht="15.75" customHeight="1" x14ac:dyDescent="0.2">
      <c r="A54" s="590">
        <v>1</v>
      </c>
      <c r="B54" s="591" t="s">
        <v>44</v>
      </c>
      <c r="C54" s="591" t="s">
        <v>44</v>
      </c>
      <c r="D54" s="591" t="s">
        <v>46</v>
      </c>
      <c r="E54" s="592" t="s">
        <v>617</v>
      </c>
      <c r="F54" s="593">
        <v>54599</v>
      </c>
      <c r="G54" s="594" t="s">
        <v>210</v>
      </c>
      <c r="H54" s="625">
        <v>10000</v>
      </c>
      <c r="I54" s="625"/>
      <c r="J54" s="625"/>
      <c r="K54" s="625"/>
      <c r="L54" s="625"/>
      <c r="M54" s="625"/>
      <c r="N54" s="577"/>
      <c r="O54" s="577"/>
      <c r="P54" s="577"/>
      <c r="Q54" s="577">
        <f t="shared" si="3"/>
        <v>0</v>
      </c>
      <c r="R54" s="738">
        <f t="shared" si="4"/>
        <v>10000</v>
      </c>
      <c r="S54" s="577"/>
      <c r="T54" s="577"/>
      <c r="U54" s="577"/>
      <c r="V54" s="577"/>
      <c r="W54" s="577"/>
      <c r="X54" s="577"/>
      <c r="Y54" s="577"/>
      <c r="Z54" s="577"/>
      <c r="AA54" s="577"/>
      <c r="AB54" s="577"/>
      <c r="AC54" s="577"/>
      <c r="AD54" s="577"/>
      <c r="AE54" s="577"/>
      <c r="AF54" s="577"/>
      <c r="AG54" s="738">
        <f t="shared" si="1"/>
        <v>0</v>
      </c>
      <c r="AH54" s="738">
        <f t="shared" si="2"/>
        <v>10000</v>
      </c>
    </row>
    <row r="55" spans="1:34" ht="15.75" customHeight="1" x14ac:dyDescent="0.2">
      <c r="A55" s="312">
        <v>1</v>
      </c>
      <c r="B55" s="313" t="s">
        <v>44</v>
      </c>
      <c r="C55" s="313" t="s">
        <v>44</v>
      </c>
      <c r="D55" s="313" t="s">
        <v>46</v>
      </c>
      <c r="E55" s="311" t="s">
        <v>617</v>
      </c>
      <c r="F55" s="2">
        <v>55601</v>
      </c>
      <c r="G55" s="314" t="s">
        <v>83</v>
      </c>
      <c r="H55" s="186"/>
      <c r="I55" s="186"/>
      <c r="J55" s="186"/>
      <c r="K55" s="186"/>
      <c r="L55" s="186"/>
      <c r="M55" s="186"/>
      <c r="N55" s="739"/>
      <c r="O55" s="739"/>
      <c r="P55" s="739"/>
      <c r="Q55" s="577">
        <f t="shared" si="3"/>
        <v>0</v>
      </c>
      <c r="R55" s="738">
        <f t="shared" si="4"/>
        <v>0</v>
      </c>
      <c r="S55" s="577"/>
      <c r="T55" s="577"/>
      <c r="U55" s="577"/>
      <c r="V55" s="577"/>
      <c r="W55" s="577"/>
      <c r="X55" s="577"/>
      <c r="Y55" s="577"/>
      <c r="Z55" s="577"/>
      <c r="AA55" s="577"/>
      <c r="AB55" s="577"/>
      <c r="AC55" s="577"/>
      <c r="AD55" s="577"/>
      <c r="AE55" s="577"/>
      <c r="AF55" s="577"/>
      <c r="AG55" s="738">
        <f t="shared" si="1"/>
        <v>0</v>
      </c>
      <c r="AH55" s="738">
        <f t="shared" si="2"/>
        <v>0</v>
      </c>
    </row>
    <row r="56" spans="1:34" s="596" customFormat="1" ht="15.75" customHeight="1" x14ac:dyDescent="0.2">
      <c r="A56" s="590">
        <v>1</v>
      </c>
      <c r="B56" s="591" t="s">
        <v>44</v>
      </c>
      <c r="C56" s="591" t="s">
        <v>44</v>
      </c>
      <c r="D56" s="591" t="s">
        <v>46</v>
      </c>
      <c r="E56" s="592" t="s">
        <v>617</v>
      </c>
      <c r="F56" s="593">
        <v>55602</v>
      </c>
      <c r="G56" s="594" t="s">
        <v>211</v>
      </c>
      <c r="H56" s="625">
        <f>[1]CONSOLIDADO!$J$36</f>
        <v>500</v>
      </c>
      <c r="I56" s="625"/>
      <c r="J56" s="625"/>
      <c r="K56" s="625"/>
      <c r="L56" s="625"/>
      <c r="M56" s="625"/>
      <c r="N56" s="577"/>
      <c r="O56" s="577"/>
      <c r="P56" s="577"/>
      <c r="Q56" s="577">
        <f t="shared" si="3"/>
        <v>0</v>
      </c>
      <c r="R56" s="738">
        <f t="shared" si="4"/>
        <v>500</v>
      </c>
      <c r="S56" s="577"/>
      <c r="T56" s="577"/>
      <c r="U56" s="577"/>
      <c r="V56" s="577"/>
      <c r="W56" s="577"/>
      <c r="X56" s="577"/>
      <c r="Y56" s="577"/>
      <c r="Z56" s="577"/>
      <c r="AA56" s="577"/>
      <c r="AB56" s="577"/>
      <c r="AC56" s="577"/>
      <c r="AD56" s="577"/>
      <c r="AE56" s="577"/>
      <c r="AF56" s="577"/>
      <c r="AG56" s="738">
        <f t="shared" si="1"/>
        <v>0</v>
      </c>
      <c r="AH56" s="738">
        <f t="shared" si="2"/>
        <v>500</v>
      </c>
    </row>
    <row r="57" spans="1:34" s="596" customFormat="1" ht="15.75" customHeight="1" x14ac:dyDescent="0.2">
      <c r="A57" s="590">
        <v>1</v>
      </c>
      <c r="B57" s="591" t="s">
        <v>44</v>
      </c>
      <c r="C57" s="591" t="s">
        <v>44</v>
      </c>
      <c r="D57" s="591" t="s">
        <v>46</v>
      </c>
      <c r="E57" s="592" t="s">
        <v>617</v>
      </c>
      <c r="F57" s="593">
        <v>55603</v>
      </c>
      <c r="G57" s="594" t="s">
        <v>74</v>
      </c>
      <c r="H57" s="625">
        <v>100</v>
      </c>
      <c r="I57" s="625"/>
      <c r="J57" s="625"/>
      <c r="K57" s="625"/>
      <c r="L57" s="625"/>
      <c r="M57" s="625"/>
      <c r="N57" s="577"/>
      <c r="O57" s="577"/>
      <c r="P57" s="577"/>
      <c r="Q57" s="577">
        <f t="shared" si="3"/>
        <v>0</v>
      </c>
      <c r="R57" s="738">
        <f t="shared" si="4"/>
        <v>100</v>
      </c>
      <c r="S57" s="577"/>
      <c r="T57" s="577"/>
      <c r="U57" s="577"/>
      <c r="V57" s="577"/>
      <c r="W57" s="577"/>
      <c r="X57" s="577"/>
      <c r="Y57" s="577"/>
      <c r="Z57" s="577"/>
      <c r="AA57" s="577"/>
      <c r="AB57" s="577"/>
      <c r="AC57" s="577"/>
      <c r="AD57" s="577"/>
      <c r="AE57" s="577"/>
      <c r="AF57" s="577"/>
      <c r="AG57" s="738">
        <f t="shared" si="1"/>
        <v>0</v>
      </c>
      <c r="AH57" s="738">
        <f t="shared" si="2"/>
        <v>100</v>
      </c>
    </row>
    <row r="58" spans="1:34" s="596" customFormat="1" ht="15.75" customHeight="1" x14ac:dyDescent="0.2">
      <c r="A58" s="590">
        <v>1</v>
      </c>
      <c r="B58" s="591" t="s">
        <v>44</v>
      </c>
      <c r="C58" s="591" t="s">
        <v>44</v>
      </c>
      <c r="D58" s="591" t="s">
        <v>46</v>
      </c>
      <c r="E58" s="592" t="s">
        <v>617</v>
      </c>
      <c r="F58" s="593">
        <v>55703</v>
      </c>
      <c r="G58" s="594" t="s">
        <v>75</v>
      </c>
      <c r="H58" s="625">
        <v>100</v>
      </c>
      <c r="I58" s="625"/>
      <c r="J58" s="625"/>
      <c r="K58" s="625"/>
      <c r="L58" s="625"/>
      <c r="M58" s="625"/>
      <c r="N58" s="577"/>
      <c r="O58" s="577"/>
      <c r="P58" s="577"/>
      <c r="Q58" s="577">
        <f t="shared" si="3"/>
        <v>0</v>
      </c>
      <c r="R58" s="738">
        <f t="shared" si="4"/>
        <v>100</v>
      </c>
      <c r="S58" s="577"/>
      <c r="T58" s="577"/>
      <c r="U58" s="577"/>
      <c r="V58" s="577"/>
      <c r="W58" s="577"/>
      <c r="X58" s="577"/>
      <c r="Y58" s="577"/>
      <c r="Z58" s="577"/>
      <c r="AA58" s="577"/>
      <c r="AB58" s="577"/>
      <c r="AC58" s="577"/>
      <c r="AD58" s="577"/>
      <c r="AE58" s="577"/>
      <c r="AF58" s="577"/>
      <c r="AG58" s="738">
        <f t="shared" si="1"/>
        <v>0</v>
      </c>
      <c r="AH58" s="738">
        <f t="shared" si="2"/>
        <v>100</v>
      </c>
    </row>
    <row r="59" spans="1:34" ht="15.75" customHeight="1" x14ac:dyDescent="0.2">
      <c r="A59" s="312">
        <v>1</v>
      </c>
      <c r="B59" s="313" t="s">
        <v>44</v>
      </c>
      <c r="C59" s="313" t="s">
        <v>44</v>
      </c>
      <c r="D59" s="313" t="s">
        <v>46</v>
      </c>
      <c r="E59" s="311" t="s">
        <v>617</v>
      </c>
      <c r="F59" s="2">
        <v>55799</v>
      </c>
      <c r="G59" s="314" t="s">
        <v>191</v>
      </c>
      <c r="H59" s="186"/>
      <c r="I59" s="186"/>
      <c r="J59" s="186"/>
      <c r="K59" s="186"/>
      <c r="L59" s="186"/>
      <c r="M59" s="186"/>
      <c r="N59" s="739"/>
      <c r="O59" s="739"/>
      <c r="P59" s="739"/>
      <c r="Q59" s="577">
        <f t="shared" si="3"/>
        <v>0</v>
      </c>
      <c r="R59" s="738">
        <f t="shared" si="4"/>
        <v>0</v>
      </c>
      <c r="S59" s="577"/>
      <c r="T59" s="577"/>
      <c r="U59" s="577"/>
      <c r="V59" s="577"/>
      <c r="W59" s="577"/>
      <c r="X59" s="577"/>
      <c r="Y59" s="577"/>
      <c r="Z59" s="577"/>
      <c r="AA59" s="577"/>
      <c r="AB59" s="577"/>
      <c r="AC59" s="577"/>
      <c r="AD59" s="577"/>
      <c r="AE59" s="577"/>
      <c r="AF59" s="577"/>
      <c r="AG59" s="738">
        <f t="shared" si="1"/>
        <v>0</v>
      </c>
      <c r="AH59" s="738">
        <f t="shared" si="2"/>
        <v>0</v>
      </c>
    </row>
    <row r="60" spans="1:34" ht="15.75" customHeight="1" x14ac:dyDescent="0.2">
      <c r="A60" s="312"/>
      <c r="B60" s="313"/>
      <c r="C60" s="313"/>
      <c r="D60" s="313"/>
      <c r="E60" s="311"/>
      <c r="F60" s="2"/>
      <c r="G60" s="314"/>
      <c r="H60" s="186"/>
      <c r="I60" s="186"/>
      <c r="J60" s="186"/>
      <c r="K60" s="186"/>
      <c r="L60" s="186"/>
      <c r="M60" s="186"/>
      <c r="N60" s="739"/>
      <c r="O60" s="739"/>
      <c r="P60" s="739"/>
      <c r="Q60" s="577">
        <f t="shared" si="3"/>
        <v>0</v>
      </c>
      <c r="R60" s="738">
        <f t="shared" si="4"/>
        <v>0</v>
      </c>
      <c r="S60" s="577"/>
      <c r="T60" s="577"/>
      <c r="U60" s="577"/>
      <c r="V60" s="577"/>
      <c r="W60" s="577"/>
      <c r="X60" s="577"/>
      <c r="Y60" s="577"/>
      <c r="Z60" s="577"/>
      <c r="AA60" s="577"/>
      <c r="AB60" s="577"/>
      <c r="AC60" s="577"/>
      <c r="AD60" s="577"/>
      <c r="AE60" s="577"/>
      <c r="AF60" s="577"/>
      <c r="AG60" s="738">
        <f t="shared" si="1"/>
        <v>0</v>
      </c>
      <c r="AH60" s="738">
        <f t="shared" si="2"/>
        <v>0</v>
      </c>
    </row>
    <row r="61" spans="1:34" ht="15.75" customHeight="1" x14ac:dyDescent="0.2">
      <c r="A61" s="312"/>
      <c r="B61" s="313"/>
      <c r="C61" s="313"/>
      <c r="D61" s="313"/>
      <c r="E61" s="311"/>
      <c r="F61" s="2"/>
      <c r="G61" s="314"/>
      <c r="H61" s="186"/>
      <c r="I61" s="186"/>
      <c r="J61" s="186"/>
      <c r="K61" s="186"/>
      <c r="L61" s="186"/>
      <c r="M61" s="186"/>
      <c r="N61" s="739"/>
      <c r="O61" s="739"/>
      <c r="P61" s="739"/>
      <c r="Q61" s="577">
        <f t="shared" si="3"/>
        <v>0</v>
      </c>
      <c r="R61" s="738">
        <f t="shared" si="4"/>
        <v>0</v>
      </c>
      <c r="S61" s="577"/>
      <c r="T61" s="577"/>
      <c r="U61" s="577"/>
      <c r="V61" s="577"/>
      <c r="W61" s="577"/>
      <c r="X61" s="577"/>
      <c r="Y61" s="577"/>
      <c r="Z61" s="577"/>
      <c r="AA61" s="577"/>
      <c r="AB61" s="577"/>
      <c r="AC61" s="577"/>
      <c r="AD61" s="577"/>
      <c r="AE61" s="577"/>
      <c r="AF61" s="577"/>
      <c r="AG61" s="738">
        <f t="shared" si="1"/>
        <v>0</v>
      </c>
      <c r="AH61" s="738">
        <f t="shared" si="2"/>
        <v>0</v>
      </c>
    </row>
    <row r="62" spans="1:34" ht="15.75" customHeight="1" x14ac:dyDescent="0.2">
      <c r="A62" s="312"/>
      <c r="B62" s="313"/>
      <c r="C62" s="313"/>
      <c r="D62" s="313"/>
      <c r="E62" s="311"/>
      <c r="F62" s="2"/>
      <c r="G62" s="314"/>
      <c r="H62" s="186"/>
      <c r="I62" s="186"/>
      <c r="J62" s="186"/>
      <c r="K62" s="186"/>
      <c r="L62" s="186"/>
      <c r="M62" s="186"/>
      <c r="N62" s="739"/>
      <c r="O62" s="739"/>
      <c r="P62" s="739"/>
      <c r="Q62" s="577">
        <f t="shared" si="3"/>
        <v>0</v>
      </c>
      <c r="R62" s="738">
        <f t="shared" si="4"/>
        <v>0</v>
      </c>
      <c r="S62" s="577"/>
      <c r="T62" s="577"/>
      <c r="U62" s="577"/>
      <c r="V62" s="577"/>
      <c r="W62" s="577"/>
      <c r="X62" s="577"/>
      <c r="Y62" s="577"/>
      <c r="Z62" s="577"/>
      <c r="AA62" s="577"/>
      <c r="AB62" s="577"/>
      <c r="AC62" s="577"/>
      <c r="AD62" s="577"/>
      <c r="AE62" s="577"/>
      <c r="AF62" s="577"/>
      <c r="AG62" s="738">
        <f t="shared" si="1"/>
        <v>0</v>
      </c>
      <c r="AH62" s="738">
        <f t="shared" si="2"/>
        <v>0</v>
      </c>
    </row>
    <row r="63" spans="1:34" s="596" customFormat="1" ht="26.25" customHeight="1" x14ac:dyDescent="0.2">
      <c r="A63" s="590">
        <v>1</v>
      </c>
      <c r="B63" s="591" t="s">
        <v>44</v>
      </c>
      <c r="C63" s="591" t="s">
        <v>44</v>
      </c>
      <c r="D63" s="591" t="s">
        <v>46</v>
      </c>
      <c r="E63" s="592" t="s">
        <v>617</v>
      </c>
      <c r="F63" s="593">
        <v>56201</v>
      </c>
      <c r="G63" s="677" t="s">
        <v>600</v>
      </c>
      <c r="H63" s="625">
        <v>1900</v>
      </c>
      <c r="I63" s="625">
        <v>1000</v>
      </c>
      <c r="J63" s="625"/>
      <c r="K63" s="625"/>
      <c r="L63" s="625"/>
      <c r="M63" s="625"/>
      <c r="N63" s="577"/>
      <c r="O63" s="577"/>
      <c r="P63" s="577"/>
      <c r="Q63" s="577">
        <f t="shared" si="3"/>
        <v>1000</v>
      </c>
      <c r="R63" s="738">
        <f>H63-Q63</f>
        <v>900</v>
      </c>
      <c r="S63" s="577"/>
      <c r="T63" s="577"/>
      <c r="U63" s="577"/>
      <c r="V63" s="577"/>
      <c r="W63" s="577"/>
      <c r="X63" s="577"/>
      <c r="Y63" s="577"/>
      <c r="Z63" s="577"/>
      <c r="AA63" s="577"/>
      <c r="AB63" s="577"/>
      <c r="AC63" s="577"/>
      <c r="AD63" s="577"/>
      <c r="AE63" s="577"/>
      <c r="AF63" s="577"/>
      <c r="AG63" s="738">
        <f t="shared" si="1"/>
        <v>0</v>
      </c>
      <c r="AH63" s="738">
        <f>R63-AG63</f>
        <v>900</v>
      </c>
    </row>
    <row r="64" spans="1:34" s="596" customFormat="1" ht="16.5" customHeight="1" x14ac:dyDescent="0.2">
      <c r="A64" s="590">
        <v>1</v>
      </c>
      <c r="B64" s="591" t="s">
        <v>44</v>
      </c>
      <c r="C64" s="591" t="s">
        <v>44</v>
      </c>
      <c r="D64" s="591" t="s">
        <v>46</v>
      </c>
      <c r="E64" s="592" t="s">
        <v>617</v>
      </c>
      <c r="F64" s="593">
        <v>56301</v>
      </c>
      <c r="G64" s="679" t="s">
        <v>557</v>
      </c>
      <c r="H64" s="625">
        <v>500</v>
      </c>
      <c r="I64" s="625"/>
      <c r="J64" s="625"/>
      <c r="K64" s="625"/>
      <c r="L64" s="625"/>
      <c r="M64" s="625"/>
      <c r="N64" s="577"/>
      <c r="O64" s="577"/>
      <c r="P64" s="577"/>
      <c r="Q64" s="577">
        <f t="shared" si="3"/>
        <v>0</v>
      </c>
      <c r="R64" s="738">
        <f>H64-Q64</f>
        <v>500</v>
      </c>
      <c r="S64" s="577"/>
      <c r="T64" s="577"/>
      <c r="U64" s="577"/>
      <c r="V64" s="577"/>
      <c r="W64" s="577"/>
      <c r="X64" s="577"/>
      <c r="Y64" s="577"/>
      <c r="Z64" s="577"/>
      <c r="AA64" s="577"/>
      <c r="AB64" s="577"/>
      <c r="AC64" s="577"/>
      <c r="AD64" s="577"/>
      <c r="AE64" s="577"/>
      <c r="AF64" s="577"/>
      <c r="AG64" s="738">
        <f t="shared" si="1"/>
        <v>0</v>
      </c>
      <c r="AH64" s="738">
        <f t="shared" si="2"/>
        <v>500</v>
      </c>
    </row>
    <row r="65" spans="1:34" ht="15.75" customHeight="1" x14ac:dyDescent="0.2">
      <c r="A65" s="312">
        <v>1</v>
      </c>
      <c r="B65" s="313" t="s">
        <v>44</v>
      </c>
      <c r="C65" s="313" t="s">
        <v>44</v>
      </c>
      <c r="D65" s="313" t="s">
        <v>46</v>
      </c>
      <c r="E65" s="311" t="s">
        <v>617</v>
      </c>
      <c r="F65" s="2">
        <v>56303</v>
      </c>
      <c r="G65" s="314" t="s">
        <v>212</v>
      </c>
      <c r="H65" s="186"/>
      <c r="I65" s="186"/>
      <c r="J65" s="186"/>
      <c r="K65" s="186"/>
      <c r="L65" s="186"/>
      <c r="M65" s="186"/>
      <c r="N65" s="739"/>
      <c r="O65" s="739"/>
      <c r="P65" s="739"/>
      <c r="Q65" s="577">
        <f t="shared" si="3"/>
        <v>0</v>
      </c>
      <c r="R65" s="738">
        <f t="shared" si="4"/>
        <v>0</v>
      </c>
      <c r="S65" s="577"/>
      <c r="T65" s="577"/>
      <c r="U65" s="577"/>
      <c r="V65" s="577"/>
      <c r="W65" s="577"/>
      <c r="X65" s="577"/>
      <c r="Y65" s="577"/>
      <c r="Z65" s="577"/>
      <c r="AA65" s="577"/>
      <c r="AB65" s="577"/>
      <c r="AC65" s="577"/>
      <c r="AD65" s="577"/>
      <c r="AE65" s="577"/>
      <c r="AF65" s="577"/>
      <c r="AG65" s="738">
        <f t="shared" si="1"/>
        <v>0</v>
      </c>
      <c r="AH65" s="738">
        <f t="shared" si="2"/>
        <v>0</v>
      </c>
    </row>
    <row r="66" spans="1:34" ht="15.75" customHeight="1" x14ac:dyDescent="0.2">
      <c r="A66" s="312">
        <v>1</v>
      </c>
      <c r="B66" s="313" t="s">
        <v>44</v>
      </c>
      <c r="C66" s="313" t="s">
        <v>44</v>
      </c>
      <c r="D66" s="313" t="s">
        <v>46</v>
      </c>
      <c r="E66" s="311" t="s">
        <v>617</v>
      </c>
      <c r="F66" s="2">
        <v>61599</v>
      </c>
      <c r="G66" s="314" t="s">
        <v>623</v>
      </c>
      <c r="H66" s="186"/>
      <c r="I66" s="186"/>
      <c r="J66" s="186"/>
      <c r="K66" s="186"/>
      <c r="L66" s="186"/>
      <c r="M66" s="186"/>
      <c r="N66" s="739"/>
      <c r="O66" s="739"/>
      <c r="P66" s="739"/>
      <c r="Q66" s="577">
        <f t="shared" si="3"/>
        <v>0</v>
      </c>
      <c r="R66" s="738">
        <f t="shared" si="4"/>
        <v>0</v>
      </c>
      <c r="S66" s="577"/>
      <c r="T66" s="577"/>
      <c r="U66" s="577"/>
      <c r="V66" s="577"/>
      <c r="W66" s="577"/>
      <c r="X66" s="577"/>
      <c r="Y66" s="577"/>
      <c r="Z66" s="577"/>
      <c r="AA66" s="577"/>
      <c r="AB66" s="577"/>
      <c r="AC66" s="577"/>
      <c r="AD66" s="577"/>
      <c r="AE66" s="577"/>
      <c r="AF66" s="577"/>
      <c r="AG66" s="738">
        <f t="shared" si="1"/>
        <v>0</v>
      </c>
      <c r="AH66" s="738">
        <f t="shared" si="2"/>
        <v>0</v>
      </c>
    </row>
    <row r="67" spans="1:34" s="596" customFormat="1" ht="15.75" customHeight="1" x14ac:dyDescent="0.2">
      <c r="A67" s="590">
        <v>1</v>
      </c>
      <c r="B67" s="591" t="s">
        <v>44</v>
      </c>
      <c r="C67" s="591" t="s">
        <v>44</v>
      </c>
      <c r="D67" s="591" t="s">
        <v>46</v>
      </c>
      <c r="E67" s="592" t="s">
        <v>617</v>
      </c>
      <c r="F67" s="593">
        <v>61101</v>
      </c>
      <c r="G67" s="680" t="s">
        <v>213</v>
      </c>
      <c r="H67" s="681">
        <v>3288.3</v>
      </c>
      <c r="I67" s="681"/>
      <c r="J67" s="681"/>
      <c r="K67" s="681"/>
      <c r="L67" s="681"/>
      <c r="M67" s="681"/>
      <c r="N67" s="743"/>
      <c r="O67" s="743"/>
      <c r="P67" s="743"/>
      <c r="Q67" s="577">
        <f t="shared" si="3"/>
        <v>0</v>
      </c>
      <c r="R67" s="738">
        <f>H67-Q67</f>
        <v>3288.3</v>
      </c>
      <c r="S67" s="577"/>
      <c r="T67" s="577"/>
      <c r="U67" s="577"/>
      <c r="V67" s="577">
        <v>200</v>
      </c>
      <c r="W67" s="577">
        <v>600</v>
      </c>
      <c r="X67" s="577"/>
      <c r="Y67" s="577">
        <v>500</v>
      </c>
      <c r="Z67" s="577"/>
      <c r="AA67" s="577">
        <v>350</v>
      </c>
      <c r="AB67" s="577"/>
      <c r="AC67" s="577"/>
      <c r="AD67" s="577"/>
      <c r="AE67" s="577"/>
      <c r="AF67" s="577"/>
      <c r="AG67" s="738">
        <f t="shared" si="1"/>
        <v>1650</v>
      </c>
      <c r="AH67" s="738">
        <f>R67-AG67</f>
        <v>1638.3000000000002</v>
      </c>
    </row>
    <row r="68" spans="1:34" ht="15.75" customHeight="1" x14ac:dyDescent="0.25">
      <c r="A68" s="312">
        <v>1</v>
      </c>
      <c r="B68" s="313" t="s">
        <v>44</v>
      </c>
      <c r="C68" s="313" t="s">
        <v>44</v>
      </c>
      <c r="D68" s="313" t="s">
        <v>46</v>
      </c>
      <c r="E68" s="311" t="s">
        <v>617</v>
      </c>
      <c r="F68" s="2">
        <v>61102</v>
      </c>
      <c r="G68" s="317" t="s">
        <v>534</v>
      </c>
      <c r="H68" s="187">
        <v>2000</v>
      </c>
      <c r="I68" s="187"/>
      <c r="J68" s="187"/>
      <c r="K68" s="187"/>
      <c r="L68" s="187"/>
      <c r="M68" s="187"/>
      <c r="N68" s="744"/>
      <c r="O68" s="744"/>
      <c r="P68" s="744"/>
      <c r="Q68" s="577">
        <f t="shared" si="3"/>
        <v>0</v>
      </c>
      <c r="R68" s="738">
        <f t="shared" si="4"/>
        <v>2000</v>
      </c>
      <c r="S68" s="577">
        <v>500</v>
      </c>
      <c r="T68" s="577"/>
      <c r="U68" s="577"/>
      <c r="V68" s="577"/>
      <c r="W68" s="577"/>
      <c r="X68" s="577"/>
      <c r="Y68" s="577"/>
      <c r="Z68" s="577"/>
      <c r="AA68" s="747">
        <v>500</v>
      </c>
      <c r="AB68" s="747"/>
      <c r="AC68" s="747"/>
      <c r="AD68" s="747"/>
      <c r="AE68" s="747"/>
      <c r="AF68" s="747"/>
      <c r="AG68" s="738">
        <f t="shared" si="1"/>
        <v>1000</v>
      </c>
      <c r="AH68" s="738">
        <f t="shared" si="2"/>
        <v>1000</v>
      </c>
    </row>
    <row r="69" spans="1:34" ht="15.75" customHeight="1" x14ac:dyDescent="0.2">
      <c r="A69" s="312">
        <v>1</v>
      </c>
      <c r="B69" s="313" t="s">
        <v>44</v>
      </c>
      <c r="C69" s="313" t="s">
        <v>44</v>
      </c>
      <c r="D69" s="313" t="s">
        <v>46</v>
      </c>
      <c r="E69" s="311" t="s">
        <v>617</v>
      </c>
      <c r="F69" s="2">
        <v>61104</v>
      </c>
      <c r="G69" s="317" t="s">
        <v>214</v>
      </c>
      <c r="H69" s="187">
        <v>4500</v>
      </c>
      <c r="I69" s="187"/>
      <c r="J69" s="187"/>
      <c r="K69" s="187"/>
      <c r="L69" s="187"/>
      <c r="M69" s="187"/>
      <c r="N69" s="744"/>
      <c r="O69" s="744"/>
      <c r="P69" s="744"/>
      <c r="Q69" s="577">
        <f t="shared" si="3"/>
        <v>0</v>
      </c>
      <c r="R69" s="738">
        <f t="shared" si="4"/>
        <v>4500</v>
      </c>
      <c r="S69" s="577">
        <v>350</v>
      </c>
      <c r="T69" s="577">
        <v>1000</v>
      </c>
      <c r="U69" s="577"/>
      <c r="V69" s="577">
        <v>300</v>
      </c>
      <c r="W69" s="577">
        <v>700</v>
      </c>
      <c r="X69" s="577">
        <v>650</v>
      </c>
      <c r="Y69" s="577"/>
      <c r="Z69" s="577"/>
      <c r="AA69" s="577"/>
      <c r="AB69" s="577"/>
      <c r="AC69" s="577">
        <v>1000</v>
      </c>
      <c r="AD69" s="577"/>
      <c r="AE69" s="577"/>
      <c r="AF69" s="577"/>
      <c r="AG69" s="738">
        <f t="shared" si="1"/>
        <v>4000</v>
      </c>
      <c r="AH69" s="738">
        <f>R69-AG69</f>
        <v>500</v>
      </c>
    </row>
    <row r="70" spans="1:34" ht="15.75" customHeight="1" x14ac:dyDescent="0.2">
      <c r="A70" s="8">
        <v>1</v>
      </c>
      <c r="B70" s="1" t="s">
        <v>44</v>
      </c>
      <c r="C70" s="1" t="s">
        <v>44</v>
      </c>
      <c r="D70" s="1" t="s">
        <v>46</v>
      </c>
      <c r="E70" s="311" t="s">
        <v>617</v>
      </c>
      <c r="F70" s="2">
        <v>61199</v>
      </c>
      <c r="G70" s="78" t="s">
        <v>149</v>
      </c>
      <c r="H70" s="361">
        <v>1500</v>
      </c>
      <c r="I70" s="361"/>
      <c r="J70" s="361"/>
      <c r="K70" s="361"/>
      <c r="L70" s="361"/>
      <c r="M70" s="361"/>
      <c r="N70" s="745"/>
      <c r="O70" s="745"/>
      <c r="P70" s="745"/>
      <c r="Q70" s="577">
        <f t="shared" si="3"/>
        <v>0</v>
      </c>
      <c r="R70" s="738">
        <f t="shared" si="4"/>
        <v>1500</v>
      </c>
      <c r="S70" s="577"/>
      <c r="T70" s="577"/>
      <c r="U70" s="577"/>
      <c r="V70" s="577"/>
      <c r="W70" s="577"/>
      <c r="X70" s="577"/>
      <c r="Y70" s="577"/>
      <c r="Z70" s="577"/>
      <c r="AA70" s="577"/>
      <c r="AB70" s="577"/>
      <c r="AC70" s="577"/>
      <c r="AD70" s="577">
        <v>500</v>
      </c>
      <c r="AE70" s="577"/>
      <c r="AF70" s="577"/>
      <c r="AG70" s="738">
        <f t="shared" si="1"/>
        <v>500</v>
      </c>
      <c r="AH70" s="738">
        <f>R70-AG70</f>
        <v>1000</v>
      </c>
    </row>
    <row r="71" spans="1:34" ht="24.75" customHeight="1" thickBot="1" x14ac:dyDescent="0.25">
      <c r="A71" s="8">
        <v>1</v>
      </c>
      <c r="B71" s="1" t="s">
        <v>44</v>
      </c>
      <c r="C71" s="1" t="s">
        <v>44</v>
      </c>
      <c r="D71" s="1" t="s">
        <v>46</v>
      </c>
      <c r="E71" s="311" t="s">
        <v>617</v>
      </c>
      <c r="F71" s="2">
        <v>72101</v>
      </c>
      <c r="G71" s="354" t="s">
        <v>630</v>
      </c>
      <c r="H71" s="305"/>
      <c r="I71" s="305"/>
      <c r="J71" s="305"/>
      <c r="K71" s="305"/>
      <c r="L71" s="305"/>
      <c r="M71" s="305"/>
      <c r="N71" s="746"/>
      <c r="O71" s="746"/>
      <c r="P71" s="746"/>
      <c r="Q71" s="577">
        <f t="shared" si="3"/>
        <v>0</v>
      </c>
      <c r="R71" s="738">
        <f t="shared" si="4"/>
        <v>0</v>
      </c>
      <c r="S71" s="577"/>
      <c r="T71" s="577"/>
      <c r="U71" s="577"/>
      <c r="V71" s="577"/>
      <c r="W71" s="577"/>
      <c r="X71" s="577"/>
      <c r="Y71" s="577"/>
      <c r="Z71" s="577"/>
      <c r="AA71" s="577"/>
      <c r="AB71" s="577"/>
      <c r="AC71" s="577"/>
      <c r="AD71" s="577"/>
      <c r="AE71" s="577"/>
      <c r="AF71" s="577"/>
      <c r="AG71" s="738">
        <f t="shared" si="1"/>
        <v>0</v>
      </c>
      <c r="AH71" s="738">
        <f t="shared" si="2"/>
        <v>0</v>
      </c>
    </row>
    <row r="72" spans="1:34" ht="28.5" customHeight="1" thickBot="1" x14ac:dyDescent="0.6">
      <c r="A72" s="1064"/>
      <c r="B72" s="1065"/>
      <c r="C72" s="1065"/>
      <c r="D72" s="1065"/>
      <c r="E72" s="1065"/>
      <c r="F72" s="1066"/>
      <c r="G72" s="342" t="s">
        <v>618</v>
      </c>
      <c r="H72" s="239">
        <f t="shared" ref="H72:M72" si="5">SUM(H11:H71)</f>
        <v>728922.06875000009</v>
      </c>
      <c r="I72" s="239">
        <f t="shared" si="5"/>
        <v>29000</v>
      </c>
      <c r="J72" s="239">
        <f t="shared" si="5"/>
        <v>25000</v>
      </c>
      <c r="K72" s="239">
        <f t="shared" si="5"/>
        <v>36862.33</v>
      </c>
      <c r="L72" s="239">
        <f t="shared" si="5"/>
        <v>40000</v>
      </c>
      <c r="M72" s="239">
        <f t="shared" si="5"/>
        <v>35809.11</v>
      </c>
      <c r="N72" s="239"/>
      <c r="O72" s="239"/>
      <c r="P72" s="239"/>
      <c r="Q72" s="239">
        <f>SUM(Q11:Q71)</f>
        <v>166671.44</v>
      </c>
      <c r="R72" s="239">
        <f>SUM(R11:R71)</f>
        <v>119199.26</v>
      </c>
      <c r="S72" s="239">
        <f t="shared" ref="S72:Y72" si="6">SUM(S11:S71)</f>
        <v>2965</v>
      </c>
      <c r="T72" s="239">
        <f>SUM(T11:T71)</f>
        <v>4100</v>
      </c>
      <c r="U72" s="239">
        <f t="shared" si="6"/>
        <v>956.05</v>
      </c>
      <c r="V72" s="239">
        <f t="shared" si="6"/>
        <v>2750</v>
      </c>
      <c r="W72" s="239">
        <f t="shared" si="6"/>
        <v>16100</v>
      </c>
      <c r="X72" s="239">
        <f t="shared" si="6"/>
        <v>650</v>
      </c>
      <c r="Y72" s="239">
        <f t="shared" si="6"/>
        <v>1418.7</v>
      </c>
      <c r="Z72" s="239">
        <f t="shared" ref="Z72:AF72" si="7">SUM(Z11:Z71)</f>
        <v>1350</v>
      </c>
      <c r="AA72" s="239">
        <f t="shared" si="7"/>
        <v>10436</v>
      </c>
      <c r="AB72" s="239">
        <f t="shared" si="7"/>
        <v>1800</v>
      </c>
      <c r="AC72" s="239">
        <f t="shared" si="7"/>
        <v>2047</v>
      </c>
      <c r="AD72" s="239">
        <f t="shared" si="7"/>
        <v>1800</v>
      </c>
      <c r="AE72" s="239">
        <f t="shared" si="7"/>
        <v>2050</v>
      </c>
      <c r="AF72" s="239">
        <f t="shared" si="7"/>
        <v>1200</v>
      </c>
      <c r="AG72" s="751">
        <f>SUM(AG11:AG71)</f>
        <v>49622.75</v>
      </c>
      <c r="AH72" s="751">
        <f>SUM(AH11:AH71)</f>
        <v>69576.509999999995</v>
      </c>
    </row>
    <row r="73" spans="1:34" x14ac:dyDescent="0.2">
      <c r="T73" s="21">
        <f>4100-1500</f>
        <v>2600</v>
      </c>
    </row>
    <row r="74" spans="1:34" x14ac:dyDescent="0.2">
      <c r="I74" s="4" t="s">
        <v>910</v>
      </c>
      <c r="J74" s="734">
        <f>SUM(H11:H20)</f>
        <v>443051.36875000002</v>
      </c>
    </row>
    <row r="75" spans="1:34" x14ac:dyDescent="0.2">
      <c r="I75" s="4" t="s">
        <v>930</v>
      </c>
      <c r="J75" s="734">
        <f>SUM(I72:M72)</f>
        <v>166671.44</v>
      </c>
    </row>
    <row r="76" spans="1:34" ht="20.25" x14ac:dyDescent="0.25">
      <c r="A76" s="1046"/>
      <c r="B76" s="1046"/>
      <c r="C76" s="1046"/>
      <c r="D76" s="1046"/>
      <c r="E76" s="1046"/>
      <c r="F76" s="1046"/>
      <c r="G76" s="1046"/>
      <c r="H76" s="1046"/>
      <c r="I76" s="184" t="s">
        <v>931</v>
      </c>
      <c r="J76" s="184">
        <f>H72-J74-J75</f>
        <v>119199.26000000007</v>
      </c>
      <c r="K76" s="184">
        <f>J76-SUM(S72:Y72)</f>
        <v>90259.510000000068</v>
      </c>
      <c r="L76" s="184"/>
      <c r="M76" s="184"/>
      <c r="N76" s="184"/>
      <c r="O76" s="184"/>
      <c r="P76" s="184"/>
      <c r="Q76" s="184"/>
    </row>
    <row r="77" spans="1:34" ht="18" x14ac:dyDescent="0.2">
      <c r="A77" s="1045" t="s">
        <v>329</v>
      </c>
      <c r="B77" s="1045"/>
      <c r="C77" s="1045"/>
      <c r="D77" s="1045"/>
      <c r="E77" s="1045"/>
      <c r="F77" s="1045"/>
      <c r="G77" s="1045"/>
      <c r="H77" s="1045"/>
      <c r="I77" s="196"/>
      <c r="J77" s="196"/>
      <c r="K77" s="196"/>
      <c r="L77" s="196"/>
      <c r="M77" s="196"/>
      <c r="N77" s="196"/>
      <c r="O77" s="196"/>
      <c r="P77" s="196"/>
      <c r="Q77" s="196"/>
    </row>
    <row r="78" spans="1:34" ht="15.75" x14ac:dyDescent="0.25">
      <c r="A78" s="1062" t="s">
        <v>154</v>
      </c>
      <c r="B78" s="1063"/>
      <c r="C78" s="1063"/>
      <c r="D78" s="1063"/>
      <c r="E78" s="1063"/>
      <c r="F78" s="1063"/>
      <c r="G78" s="1063"/>
      <c r="H78" s="1063"/>
      <c r="I78" s="152"/>
      <c r="J78" s="152"/>
      <c r="K78" s="152"/>
      <c r="L78" s="152"/>
      <c r="M78" s="152"/>
      <c r="N78" s="152"/>
      <c r="O78" s="152"/>
      <c r="P78" s="152"/>
      <c r="Q78" s="152"/>
    </row>
    <row r="79" spans="1:34" ht="15.75" x14ac:dyDescent="0.25">
      <c r="A79" s="1062" t="s">
        <v>592</v>
      </c>
      <c r="B79" s="1063"/>
      <c r="C79" s="1063"/>
      <c r="D79" s="1063"/>
      <c r="E79" s="1063"/>
      <c r="F79" s="1063"/>
      <c r="G79" s="1063"/>
      <c r="H79" s="1063"/>
      <c r="I79" s="152"/>
      <c r="J79" s="152"/>
      <c r="K79" s="152"/>
      <c r="L79" s="152"/>
      <c r="M79" s="152"/>
      <c r="N79" s="152"/>
      <c r="O79" s="152"/>
      <c r="P79" s="152"/>
      <c r="Q79" s="152"/>
    </row>
    <row r="80" spans="1:34" ht="15" x14ac:dyDescent="0.2">
      <c r="A80" s="1076" t="s">
        <v>7</v>
      </c>
      <c r="B80" s="1077"/>
      <c r="C80" s="1077"/>
      <c r="D80" s="1077"/>
      <c r="E80" s="1077"/>
      <c r="F80" s="1077"/>
      <c r="G80" s="1077"/>
      <c r="H80" s="1077"/>
      <c r="I80" s="152"/>
      <c r="J80" s="152"/>
      <c r="K80" s="152"/>
      <c r="L80" s="152"/>
      <c r="M80" s="152"/>
      <c r="N80" s="152"/>
      <c r="O80" s="152"/>
      <c r="P80" s="152"/>
      <c r="Q80" s="152"/>
    </row>
    <row r="81" spans="1:17" ht="18" x14ac:dyDescent="0.25">
      <c r="A81" s="1080"/>
      <c r="B81" s="1081"/>
      <c r="C81" s="1081"/>
      <c r="D81" s="1081"/>
      <c r="E81" s="1081"/>
      <c r="F81" s="1081"/>
      <c r="G81" s="1081"/>
      <c r="H81" s="1081"/>
      <c r="I81" s="152"/>
      <c r="J81" s="152"/>
      <c r="K81" s="152"/>
      <c r="L81" s="152"/>
      <c r="M81" s="152"/>
      <c r="N81" s="152"/>
      <c r="O81" s="152"/>
      <c r="P81" s="152"/>
      <c r="Q81" s="152"/>
    </row>
    <row r="82" spans="1:17" ht="15" x14ac:dyDescent="0.25">
      <c r="A82" s="1082" t="s">
        <v>9</v>
      </c>
      <c r="B82" s="1082"/>
      <c r="C82" s="1082"/>
      <c r="D82" s="1082"/>
      <c r="E82" s="1082"/>
      <c r="F82" s="1082"/>
      <c r="G82" s="1082"/>
      <c r="H82" s="1082"/>
      <c r="I82" s="152"/>
      <c r="J82" s="152"/>
      <c r="K82" s="152"/>
      <c r="L82" s="152"/>
      <c r="M82" s="152"/>
      <c r="N82" s="152"/>
      <c r="O82" s="152"/>
      <c r="P82" s="152"/>
      <c r="Q82" s="152"/>
    </row>
    <row r="83" spans="1:17" ht="15.75" thickBot="1" x14ac:dyDescent="0.3">
      <c r="A83" s="1083" t="s">
        <v>594</v>
      </c>
      <c r="B83" s="1083"/>
      <c r="C83" s="1083"/>
      <c r="D83" s="1083"/>
      <c r="E83" s="1083"/>
      <c r="F83" s="1083"/>
      <c r="G83" s="1083"/>
      <c r="H83" s="1083"/>
      <c r="I83" s="152"/>
      <c r="J83" s="152"/>
      <c r="K83" s="152"/>
      <c r="L83" s="152"/>
      <c r="M83" s="152"/>
      <c r="N83" s="152"/>
      <c r="O83" s="152"/>
      <c r="P83" s="152"/>
      <c r="Q83" s="152"/>
    </row>
    <row r="84" spans="1:17" ht="13.5" thickBot="1" x14ac:dyDescent="0.25">
      <c r="A84" s="1070" t="s">
        <v>0</v>
      </c>
      <c r="B84" s="1071"/>
      <c r="C84" s="1071"/>
      <c r="D84" s="1071"/>
      <c r="E84" s="1071"/>
      <c r="F84" s="1071"/>
      <c r="G84" s="1072" t="s">
        <v>130</v>
      </c>
      <c r="H84" s="1074" t="s">
        <v>131</v>
      </c>
      <c r="I84" s="1074"/>
      <c r="J84" s="725"/>
      <c r="K84" s="725"/>
      <c r="L84" s="725"/>
      <c r="M84" s="725"/>
      <c r="N84" s="725"/>
      <c r="O84" s="725"/>
      <c r="P84" s="725"/>
      <c r="Q84" s="1074"/>
    </row>
    <row r="85" spans="1:17" ht="121.5" customHeight="1" thickBot="1" x14ac:dyDescent="0.25">
      <c r="A85" s="235" t="s">
        <v>124</v>
      </c>
      <c r="B85" s="236" t="s">
        <v>125</v>
      </c>
      <c r="C85" s="236" t="s">
        <v>104</v>
      </c>
      <c r="D85" s="236" t="s">
        <v>129</v>
      </c>
      <c r="E85" s="237" t="s">
        <v>127</v>
      </c>
      <c r="F85" s="238" t="s">
        <v>128</v>
      </c>
      <c r="G85" s="1073"/>
      <c r="H85" s="1075"/>
      <c r="I85" s="1075"/>
      <c r="J85" s="726"/>
      <c r="K85" s="726"/>
      <c r="L85" s="726"/>
      <c r="M85" s="726"/>
      <c r="N85" s="726"/>
      <c r="O85" s="726"/>
      <c r="P85" s="726"/>
      <c r="Q85" s="1075"/>
    </row>
    <row r="86" spans="1:17" s="596" customFormat="1" ht="15" x14ac:dyDescent="0.2">
      <c r="A86" s="597">
        <v>1</v>
      </c>
      <c r="B86" s="598" t="s">
        <v>44</v>
      </c>
      <c r="C86" s="598" t="s">
        <v>193</v>
      </c>
      <c r="D86" s="598" t="s">
        <v>46</v>
      </c>
      <c r="E86" s="592" t="s">
        <v>617</v>
      </c>
      <c r="F86" s="599" t="s">
        <v>30</v>
      </c>
      <c r="G86" s="600" t="s">
        <v>31</v>
      </c>
      <c r="H86" s="577">
        <f>'ok-Planillas 2023'!G90</f>
        <v>78159.375</v>
      </c>
      <c r="I86" s="577"/>
      <c r="J86" s="577"/>
      <c r="K86" s="577"/>
      <c r="L86" s="577"/>
      <c r="M86" s="577"/>
      <c r="N86" s="577"/>
      <c r="O86" s="577"/>
      <c r="P86" s="577"/>
      <c r="Q86" s="577"/>
    </row>
    <row r="87" spans="1:17" ht="15" x14ac:dyDescent="0.2">
      <c r="A87" s="8">
        <v>1</v>
      </c>
      <c r="B87" s="1" t="s">
        <v>44</v>
      </c>
      <c r="C87" s="10" t="s">
        <v>193</v>
      </c>
      <c r="D87" s="1" t="s">
        <v>46</v>
      </c>
      <c r="E87" s="52" t="s">
        <v>617</v>
      </c>
      <c r="F87" s="2">
        <v>51103</v>
      </c>
      <c r="G87" s="6" t="s">
        <v>32</v>
      </c>
      <c r="H87" s="15"/>
      <c r="I87" s="15"/>
      <c r="J87" s="15"/>
      <c r="K87" s="15"/>
      <c r="L87" s="15"/>
      <c r="M87" s="15"/>
      <c r="N87" s="15"/>
      <c r="O87" s="15"/>
      <c r="P87" s="15"/>
      <c r="Q87" s="15"/>
    </row>
    <row r="88" spans="1:17" ht="15" x14ac:dyDescent="0.2">
      <c r="A88" s="8">
        <v>1</v>
      </c>
      <c r="B88" s="1" t="s">
        <v>44</v>
      </c>
      <c r="C88" s="10" t="s">
        <v>193</v>
      </c>
      <c r="D88" s="1" t="s">
        <v>46</v>
      </c>
      <c r="E88" s="52" t="s">
        <v>617</v>
      </c>
      <c r="F88" s="2">
        <v>51105</v>
      </c>
      <c r="G88" s="6" t="s">
        <v>63</v>
      </c>
      <c r="H88" s="13"/>
      <c r="I88" s="13"/>
      <c r="J88" s="13"/>
      <c r="K88" s="13"/>
      <c r="L88" s="13"/>
      <c r="M88" s="13"/>
      <c r="N88" s="13"/>
      <c r="O88" s="13"/>
      <c r="P88" s="13"/>
      <c r="Q88" s="13"/>
    </row>
    <row r="89" spans="1:17" ht="15" x14ac:dyDescent="0.2">
      <c r="A89" s="8">
        <v>1</v>
      </c>
      <c r="B89" s="1" t="s">
        <v>44</v>
      </c>
      <c r="C89" s="10" t="s">
        <v>193</v>
      </c>
      <c r="D89" s="1" t="s">
        <v>46</v>
      </c>
      <c r="E89" s="52" t="s">
        <v>617</v>
      </c>
      <c r="F89" s="2">
        <v>51201</v>
      </c>
      <c r="G89" s="6" t="s">
        <v>31</v>
      </c>
      <c r="H89" s="13"/>
      <c r="I89" s="13"/>
      <c r="J89" s="13"/>
      <c r="K89" s="13"/>
      <c r="L89" s="13"/>
      <c r="M89" s="13"/>
      <c r="N89" s="13"/>
      <c r="O89" s="13"/>
      <c r="P89" s="13"/>
      <c r="Q89" s="13"/>
    </row>
    <row r="90" spans="1:17" ht="15" x14ac:dyDescent="0.2">
      <c r="A90" s="8">
        <v>1</v>
      </c>
      <c r="B90" s="1" t="s">
        <v>44</v>
      </c>
      <c r="C90" s="10" t="s">
        <v>193</v>
      </c>
      <c r="D90" s="1" t="s">
        <v>46</v>
      </c>
      <c r="E90" s="52" t="s">
        <v>617</v>
      </c>
      <c r="F90" s="2">
        <v>51401</v>
      </c>
      <c r="G90" s="6" t="s">
        <v>474</v>
      </c>
      <c r="H90" s="15"/>
      <c r="I90" s="15"/>
      <c r="J90" s="15"/>
      <c r="K90" s="15"/>
      <c r="L90" s="15"/>
      <c r="M90" s="15"/>
      <c r="N90" s="15"/>
      <c r="O90" s="15"/>
      <c r="P90" s="15"/>
      <c r="Q90" s="15"/>
    </row>
    <row r="91" spans="1:17" ht="15" x14ac:dyDescent="0.2">
      <c r="A91" s="8">
        <v>1</v>
      </c>
      <c r="B91" s="1" t="s">
        <v>44</v>
      </c>
      <c r="C91" s="10" t="s">
        <v>193</v>
      </c>
      <c r="D91" s="1" t="s">
        <v>46</v>
      </c>
      <c r="E91" s="52" t="s">
        <v>617</v>
      </c>
      <c r="F91" s="2">
        <v>51501</v>
      </c>
      <c r="G91" s="6" t="s">
        <v>475</v>
      </c>
      <c r="H91" s="15"/>
      <c r="I91" s="15"/>
      <c r="J91" s="15"/>
      <c r="K91" s="15"/>
      <c r="L91" s="15"/>
      <c r="M91" s="15"/>
      <c r="N91" s="15"/>
      <c r="O91" s="15"/>
      <c r="P91" s="15"/>
      <c r="Q91" s="15"/>
    </row>
    <row r="92" spans="1:17" ht="15" x14ac:dyDescent="0.2">
      <c r="A92" s="8"/>
      <c r="B92" s="1"/>
      <c r="C92" s="10" t="s">
        <v>193</v>
      </c>
      <c r="D92" s="1"/>
      <c r="E92" s="52" t="s">
        <v>617</v>
      </c>
      <c r="F92" s="2">
        <v>51107</v>
      </c>
      <c r="G92" s="6" t="s">
        <v>473</v>
      </c>
      <c r="H92" s="15"/>
      <c r="I92" s="15"/>
      <c r="J92" s="15"/>
      <c r="K92" s="15"/>
      <c r="L92" s="15"/>
      <c r="M92" s="15"/>
      <c r="N92" s="15"/>
      <c r="O92" s="15"/>
      <c r="P92" s="15"/>
      <c r="Q92" s="15"/>
    </row>
    <row r="93" spans="1:17" ht="15" x14ac:dyDescent="0.2">
      <c r="A93" s="8">
        <v>1</v>
      </c>
      <c r="B93" s="1" t="s">
        <v>44</v>
      </c>
      <c r="C93" s="10" t="s">
        <v>193</v>
      </c>
      <c r="D93" s="1" t="s">
        <v>46</v>
      </c>
      <c r="E93" s="52" t="s">
        <v>617</v>
      </c>
      <c r="F93" s="2">
        <v>54104</v>
      </c>
      <c r="G93" s="6" t="s">
        <v>135</v>
      </c>
      <c r="H93" s="15"/>
      <c r="I93" s="15"/>
      <c r="J93" s="15"/>
      <c r="K93" s="15"/>
      <c r="L93" s="15"/>
      <c r="M93" s="15"/>
      <c r="N93" s="15"/>
      <c r="O93" s="15"/>
      <c r="P93" s="15"/>
      <c r="Q93" s="15"/>
    </row>
    <row r="94" spans="1:17" ht="15" x14ac:dyDescent="0.2">
      <c r="A94" s="8">
        <v>1</v>
      </c>
      <c r="B94" s="1" t="s">
        <v>44</v>
      </c>
      <c r="C94" s="10" t="s">
        <v>193</v>
      </c>
      <c r="D94" s="1" t="s">
        <v>46</v>
      </c>
      <c r="E94" s="52" t="s">
        <v>617</v>
      </c>
      <c r="F94" s="2">
        <v>54105</v>
      </c>
      <c r="G94" s="6" t="s">
        <v>35</v>
      </c>
      <c r="H94" s="15"/>
      <c r="I94" s="15"/>
      <c r="J94" s="15"/>
      <c r="K94" s="15"/>
      <c r="L94" s="15"/>
      <c r="M94" s="15"/>
      <c r="N94" s="15"/>
      <c r="O94" s="15"/>
      <c r="P94" s="15"/>
      <c r="Q94" s="15"/>
    </row>
    <row r="95" spans="1:17" ht="15" x14ac:dyDescent="0.2">
      <c r="A95" s="8">
        <v>1</v>
      </c>
      <c r="B95" s="1" t="s">
        <v>44</v>
      </c>
      <c r="C95" s="1" t="s">
        <v>193</v>
      </c>
      <c r="D95" s="1" t="s">
        <v>46</v>
      </c>
      <c r="E95" s="52" t="s">
        <v>617</v>
      </c>
      <c r="F95" s="2">
        <v>54114</v>
      </c>
      <c r="G95" s="6" t="s">
        <v>37</v>
      </c>
      <c r="H95" s="15"/>
      <c r="I95" s="15"/>
      <c r="J95" s="15"/>
      <c r="K95" s="15"/>
      <c r="L95" s="15"/>
      <c r="M95" s="15"/>
      <c r="N95" s="15"/>
      <c r="O95" s="15"/>
      <c r="P95" s="15"/>
      <c r="Q95" s="15"/>
    </row>
    <row r="96" spans="1:17" ht="15" x14ac:dyDescent="0.2">
      <c r="A96" s="8">
        <v>1</v>
      </c>
      <c r="B96" s="1" t="s">
        <v>44</v>
      </c>
      <c r="C96" s="1" t="s">
        <v>193</v>
      </c>
      <c r="D96" s="1" t="s">
        <v>46</v>
      </c>
      <c r="E96" s="52" t="s">
        <v>617</v>
      </c>
      <c r="F96" s="2">
        <v>54115</v>
      </c>
      <c r="G96" s="6" t="s">
        <v>68</v>
      </c>
      <c r="H96" s="15"/>
      <c r="I96" s="15"/>
      <c r="J96" s="15"/>
      <c r="K96" s="15"/>
      <c r="L96" s="15"/>
      <c r="M96" s="15"/>
      <c r="N96" s="15"/>
      <c r="O96" s="15"/>
      <c r="P96" s="15"/>
      <c r="Q96" s="15"/>
    </row>
    <row r="97" spans="1:17" ht="15" x14ac:dyDescent="0.2">
      <c r="A97" s="8">
        <v>1</v>
      </c>
      <c r="B97" s="1" t="s">
        <v>44</v>
      </c>
      <c r="C97" s="1" t="s">
        <v>193</v>
      </c>
      <c r="D97" s="1" t="s">
        <v>46</v>
      </c>
      <c r="E97" s="52" t="s">
        <v>617</v>
      </c>
      <c r="F97" s="2">
        <v>54116</v>
      </c>
      <c r="G97" s="6" t="s">
        <v>207</v>
      </c>
      <c r="H97" s="15"/>
      <c r="I97" s="15"/>
      <c r="J97" s="15"/>
      <c r="K97" s="15"/>
      <c r="L97" s="15"/>
      <c r="M97" s="15"/>
      <c r="N97" s="15"/>
      <c r="O97" s="15"/>
      <c r="P97" s="15"/>
      <c r="Q97" s="15"/>
    </row>
    <row r="98" spans="1:17" ht="15" x14ac:dyDescent="0.2">
      <c r="A98" s="8">
        <v>1</v>
      </c>
      <c r="B98" s="1" t="s">
        <v>44</v>
      </c>
      <c r="C98" s="1" t="s">
        <v>193</v>
      </c>
      <c r="D98" s="1" t="s">
        <v>46</v>
      </c>
      <c r="E98" s="52" t="s">
        <v>617</v>
      </c>
      <c r="F98" s="2">
        <v>54118</v>
      </c>
      <c r="G98" s="6" t="s">
        <v>185</v>
      </c>
      <c r="H98" s="15"/>
      <c r="I98" s="15"/>
      <c r="J98" s="15"/>
      <c r="K98" s="15"/>
      <c r="L98" s="15"/>
      <c r="M98" s="15"/>
      <c r="N98" s="15"/>
      <c r="O98" s="15"/>
      <c r="P98" s="15"/>
      <c r="Q98" s="15"/>
    </row>
    <row r="99" spans="1:17" ht="15" x14ac:dyDescent="0.2">
      <c r="A99" s="8">
        <v>1</v>
      </c>
      <c r="B99" s="1" t="s">
        <v>44</v>
      </c>
      <c r="C99" s="1" t="s">
        <v>193</v>
      </c>
      <c r="D99" s="1" t="s">
        <v>46</v>
      </c>
      <c r="E99" s="52" t="s">
        <v>617</v>
      </c>
      <c r="F99" s="2">
        <v>54119</v>
      </c>
      <c r="G99" s="6" t="s">
        <v>79</v>
      </c>
      <c r="H99" s="15"/>
      <c r="I99" s="15"/>
      <c r="J99" s="15"/>
      <c r="K99" s="15"/>
      <c r="L99" s="15"/>
      <c r="M99" s="15"/>
      <c r="N99" s="15"/>
      <c r="O99" s="15"/>
      <c r="P99" s="15"/>
      <c r="Q99" s="15"/>
    </row>
    <row r="100" spans="1:17" ht="15" x14ac:dyDescent="0.2">
      <c r="A100" s="8">
        <v>1</v>
      </c>
      <c r="B100" s="1" t="s">
        <v>44</v>
      </c>
      <c r="C100" s="1" t="s">
        <v>193</v>
      </c>
      <c r="D100" s="1" t="s">
        <v>46</v>
      </c>
      <c r="E100" s="52" t="s">
        <v>617</v>
      </c>
      <c r="F100" s="2">
        <v>54121</v>
      </c>
      <c r="G100" s="6" t="s">
        <v>70</v>
      </c>
      <c r="H100" s="15"/>
      <c r="I100" s="15"/>
      <c r="J100" s="15"/>
      <c r="K100" s="15"/>
      <c r="L100" s="15"/>
      <c r="M100" s="15"/>
      <c r="N100" s="15"/>
      <c r="O100" s="15"/>
      <c r="P100" s="15"/>
      <c r="Q100" s="15"/>
    </row>
    <row r="101" spans="1:17" ht="15" x14ac:dyDescent="0.2">
      <c r="A101" s="8">
        <v>1</v>
      </c>
      <c r="B101" s="1" t="s">
        <v>44</v>
      </c>
      <c r="C101" s="1" t="s">
        <v>193</v>
      </c>
      <c r="D101" s="1" t="s">
        <v>46</v>
      </c>
      <c r="E101" s="52" t="s">
        <v>617</v>
      </c>
      <c r="F101" s="2">
        <v>54199</v>
      </c>
      <c r="G101" s="6" t="s">
        <v>190</v>
      </c>
      <c r="H101" s="15"/>
      <c r="I101" s="15"/>
      <c r="J101" s="15"/>
      <c r="K101" s="15"/>
      <c r="L101" s="15"/>
      <c r="M101" s="15"/>
      <c r="N101" s="15"/>
      <c r="O101" s="15"/>
      <c r="P101" s="15"/>
      <c r="Q101" s="15"/>
    </row>
    <row r="102" spans="1:17" ht="15" x14ac:dyDescent="0.2">
      <c r="A102" s="8">
        <v>1</v>
      </c>
      <c r="B102" s="1" t="s">
        <v>44</v>
      </c>
      <c r="C102" s="1" t="s">
        <v>193</v>
      </c>
      <c r="D102" s="1" t="s">
        <v>46</v>
      </c>
      <c r="E102" s="52" t="s">
        <v>617</v>
      </c>
      <c r="F102" s="2">
        <v>54201</v>
      </c>
      <c r="G102" s="6" t="s">
        <v>38</v>
      </c>
      <c r="H102" s="15"/>
      <c r="I102" s="15"/>
      <c r="J102" s="15"/>
      <c r="K102" s="15"/>
      <c r="L102" s="15"/>
      <c r="M102" s="15"/>
      <c r="N102" s="15"/>
      <c r="O102" s="15"/>
      <c r="P102" s="15"/>
      <c r="Q102" s="15"/>
    </row>
    <row r="103" spans="1:17" ht="15" x14ac:dyDescent="0.2">
      <c r="A103" s="8">
        <v>1</v>
      </c>
      <c r="B103" s="1" t="s">
        <v>44</v>
      </c>
      <c r="C103" s="1" t="s">
        <v>193</v>
      </c>
      <c r="D103" s="1" t="s">
        <v>46</v>
      </c>
      <c r="E103" s="52" t="s">
        <v>617</v>
      </c>
      <c r="F103" s="2">
        <v>54202</v>
      </c>
      <c r="G103" s="6" t="s">
        <v>39</v>
      </c>
      <c r="H103" s="15"/>
      <c r="I103" s="15"/>
      <c r="J103" s="15"/>
      <c r="K103" s="15"/>
      <c r="L103" s="15"/>
      <c r="M103" s="15"/>
      <c r="N103" s="15"/>
      <c r="O103" s="15"/>
      <c r="P103" s="15"/>
      <c r="Q103" s="15"/>
    </row>
    <row r="104" spans="1:17" ht="15" x14ac:dyDescent="0.2">
      <c r="A104" s="8">
        <v>1</v>
      </c>
      <c r="B104" s="1" t="s">
        <v>44</v>
      </c>
      <c r="C104" s="1" t="s">
        <v>193</v>
      </c>
      <c r="D104" s="1" t="s">
        <v>46</v>
      </c>
      <c r="E104" s="52" t="s">
        <v>617</v>
      </c>
      <c r="F104" s="2">
        <v>54203</v>
      </c>
      <c r="G104" s="6" t="s">
        <v>40</v>
      </c>
      <c r="H104" s="15"/>
      <c r="I104" s="15"/>
      <c r="J104" s="15"/>
      <c r="K104" s="15"/>
      <c r="L104" s="15"/>
      <c r="M104" s="15"/>
      <c r="N104" s="15"/>
      <c r="O104" s="15"/>
      <c r="P104" s="15"/>
      <c r="Q104" s="15"/>
    </row>
    <row r="105" spans="1:17" ht="15" x14ac:dyDescent="0.2">
      <c r="A105" s="8">
        <v>1</v>
      </c>
      <c r="B105" s="1" t="s">
        <v>44</v>
      </c>
      <c r="C105" s="1" t="s">
        <v>193</v>
      </c>
      <c r="D105" s="1" t="s">
        <v>46</v>
      </c>
      <c r="E105" s="52" t="s">
        <v>617</v>
      </c>
      <c r="F105" s="2">
        <v>54204</v>
      </c>
      <c r="G105" s="6" t="s">
        <v>208</v>
      </c>
      <c r="H105" s="15"/>
      <c r="I105" s="15"/>
      <c r="J105" s="15"/>
      <c r="K105" s="15"/>
      <c r="L105" s="15"/>
      <c r="M105" s="15"/>
      <c r="N105" s="15"/>
      <c r="O105" s="15"/>
      <c r="P105" s="15"/>
      <c r="Q105" s="15"/>
    </row>
    <row r="106" spans="1:17" ht="15" x14ac:dyDescent="0.2">
      <c r="A106" s="8">
        <v>1</v>
      </c>
      <c r="B106" s="1" t="s">
        <v>44</v>
      </c>
      <c r="C106" s="1" t="s">
        <v>193</v>
      </c>
      <c r="D106" s="1" t="s">
        <v>46</v>
      </c>
      <c r="E106" s="52" t="s">
        <v>617</v>
      </c>
      <c r="F106" s="2">
        <v>54301</v>
      </c>
      <c r="G106" s="6" t="s">
        <v>188</v>
      </c>
      <c r="H106" s="15"/>
      <c r="I106" s="15"/>
      <c r="J106" s="15"/>
      <c r="K106" s="15"/>
      <c r="L106" s="15"/>
      <c r="M106" s="15"/>
      <c r="N106" s="15"/>
      <c r="O106" s="15"/>
      <c r="P106" s="15"/>
      <c r="Q106" s="15"/>
    </row>
    <row r="107" spans="1:17" ht="15" x14ac:dyDescent="0.2">
      <c r="A107" s="8">
        <v>1</v>
      </c>
      <c r="B107" s="1" t="s">
        <v>44</v>
      </c>
      <c r="C107" s="1" t="s">
        <v>193</v>
      </c>
      <c r="D107" s="1" t="s">
        <v>46</v>
      </c>
      <c r="E107" s="52" t="s">
        <v>617</v>
      </c>
      <c r="F107" s="2">
        <v>54302</v>
      </c>
      <c r="G107" s="6" t="s">
        <v>187</v>
      </c>
      <c r="H107" s="15"/>
      <c r="I107" s="15"/>
      <c r="J107" s="15"/>
      <c r="K107" s="15"/>
      <c r="L107" s="15"/>
      <c r="M107" s="15"/>
      <c r="N107" s="15"/>
      <c r="O107" s="15"/>
      <c r="P107" s="15"/>
      <c r="Q107" s="15"/>
    </row>
    <row r="108" spans="1:17" ht="15" x14ac:dyDescent="0.2">
      <c r="A108" s="8">
        <v>1</v>
      </c>
      <c r="B108" s="1" t="s">
        <v>44</v>
      </c>
      <c r="C108" s="1" t="s">
        <v>193</v>
      </c>
      <c r="D108" s="1" t="s">
        <v>46</v>
      </c>
      <c r="E108" s="52" t="s">
        <v>617</v>
      </c>
      <c r="F108" s="2">
        <v>54303</v>
      </c>
      <c r="G108" s="6" t="s">
        <v>186</v>
      </c>
      <c r="H108" s="15"/>
      <c r="I108" s="15"/>
      <c r="J108" s="15"/>
      <c r="K108" s="15"/>
      <c r="L108" s="15"/>
      <c r="M108" s="15"/>
      <c r="N108" s="15"/>
      <c r="O108" s="15"/>
      <c r="P108" s="15"/>
      <c r="Q108" s="15"/>
    </row>
    <row r="109" spans="1:17" ht="15" x14ac:dyDescent="0.2">
      <c r="A109" s="8">
        <v>1</v>
      </c>
      <c r="B109" s="1" t="s">
        <v>44</v>
      </c>
      <c r="C109" s="1" t="s">
        <v>193</v>
      </c>
      <c r="D109" s="1" t="s">
        <v>46</v>
      </c>
      <c r="E109" s="52" t="s">
        <v>617</v>
      </c>
      <c r="F109" s="2">
        <v>54304</v>
      </c>
      <c r="G109" s="6" t="s">
        <v>76</v>
      </c>
      <c r="H109" s="15"/>
      <c r="I109" s="15"/>
      <c r="J109" s="15"/>
      <c r="K109" s="15"/>
      <c r="L109" s="15"/>
      <c r="M109" s="15"/>
      <c r="N109" s="15"/>
      <c r="O109" s="15"/>
      <c r="P109" s="15"/>
      <c r="Q109" s="15"/>
    </row>
    <row r="110" spans="1:17" ht="15" x14ac:dyDescent="0.2">
      <c r="A110" s="8">
        <v>1</v>
      </c>
      <c r="B110" s="1" t="s">
        <v>44</v>
      </c>
      <c r="C110" s="1" t="s">
        <v>193</v>
      </c>
      <c r="D110" s="1" t="s">
        <v>46</v>
      </c>
      <c r="E110" s="52" t="s">
        <v>617</v>
      </c>
      <c r="F110" s="2">
        <v>54305</v>
      </c>
      <c r="G110" s="6" t="s">
        <v>65</v>
      </c>
      <c r="H110" s="15"/>
      <c r="I110" s="15"/>
      <c r="J110" s="15"/>
      <c r="K110" s="15"/>
      <c r="L110" s="15"/>
      <c r="M110" s="15"/>
      <c r="N110" s="15"/>
      <c r="O110" s="15"/>
      <c r="P110" s="15"/>
      <c r="Q110" s="15"/>
    </row>
    <row r="111" spans="1:17" ht="15" x14ac:dyDescent="0.2">
      <c r="A111" s="8">
        <v>1</v>
      </c>
      <c r="B111" s="1" t="s">
        <v>44</v>
      </c>
      <c r="C111" s="1" t="s">
        <v>193</v>
      </c>
      <c r="D111" s="1" t="s">
        <v>46</v>
      </c>
      <c r="E111" s="52" t="s">
        <v>617</v>
      </c>
      <c r="F111" s="2">
        <v>54399</v>
      </c>
      <c r="G111" s="6" t="s">
        <v>319</v>
      </c>
      <c r="H111" s="15"/>
      <c r="I111" s="15"/>
      <c r="J111" s="15"/>
      <c r="K111" s="15"/>
      <c r="L111" s="15"/>
      <c r="M111" s="15"/>
      <c r="N111" s="15"/>
      <c r="O111" s="15"/>
      <c r="P111" s="15"/>
      <c r="Q111" s="15"/>
    </row>
    <row r="112" spans="1:17" ht="15" x14ac:dyDescent="0.2">
      <c r="A112" s="8">
        <v>1</v>
      </c>
      <c r="B112" s="1" t="s">
        <v>44</v>
      </c>
      <c r="C112" s="1" t="s">
        <v>193</v>
      </c>
      <c r="D112" s="1" t="s">
        <v>46</v>
      </c>
      <c r="E112" s="52" t="s">
        <v>617</v>
      </c>
      <c r="F112" s="2">
        <v>54310</v>
      </c>
      <c r="G112" s="6" t="s">
        <v>146</v>
      </c>
      <c r="H112" s="15"/>
      <c r="I112" s="15"/>
      <c r="J112" s="15"/>
      <c r="K112" s="15"/>
      <c r="L112" s="15"/>
      <c r="M112" s="15"/>
      <c r="N112" s="15"/>
      <c r="O112" s="15"/>
      <c r="P112" s="15"/>
      <c r="Q112" s="15"/>
    </row>
    <row r="113" spans="1:17" ht="15" x14ac:dyDescent="0.2">
      <c r="A113" s="8">
        <v>1</v>
      </c>
      <c r="B113" s="1" t="s">
        <v>44</v>
      </c>
      <c r="C113" s="1" t="s">
        <v>193</v>
      </c>
      <c r="D113" s="1" t="s">
        <v>46</v>
      </c>
      <c r="E113" s="52" t="s">
        <v>617</v>
      </c>
      <c r="F113" s="2">
        <v>54313</v>
      </c>
      <c r="G113" s="6" t="s">
        <v>158</v>
      </c>
      <c r="H113" s="15"/>
      <c r="I113" s="15"/>
      <c r="J113" s="15"/>
      <c r="K113" s="15"/>
      <c r="L113" s="15"/>
      <c r="M113" s="15"/>
      <c r="N113" s="15"/>
      <c r="O113" s="15"/>
      <c r="P113" s="15"/>
      <c r="Q113" s="15"/>
    </row>
    <row r="114" spans="1:17" ht="15" x14ac:dyDescent="0.2">
      <c r="A114" s="8">
        <v>1</v>
      </c>
      <c r="B114" s="1" t="s">
        <v>44</v>
      </c>
      <c r="C114" s="1" t="s">
        <v>193</v>
      </c>
      <c r="D114" s="1" t="s">
        <v>46</v>
      </c>
      <c r="E114" s="52" t="s">
        <v>617</v>
      </c>
      <c r="F114" s="2">
        <v>54314</v>
      </c>
      <c r="G114" s="6" t="s">
        <v>71</v>
      </c>
      <c r="H114" s="15"/>
      <c r="I114" s="15"/>
      <c r="J114" s="15"/>
      <c r="K114" s="15"/>
      <c r="L114" s="15"/>
      <c r="M114" s="15"/>
      <c r="N114" s="15"/>
      <c r="O114" s="15"/>
      <c r="P114" s="15"/>
      <c r="Q114" s="15"/>
    </row>
    <row r="115" spans="1:17" ht="15" x14ac:dyDescent="0.2">
      <c r="A115" s="8">
        <v>1</v>
      </c>
      <c r="B115" s="1" t="s">
        <v>44</v>
      </c>
      <c r="C115" s="1" t="s">
        <v>193</v>
      </c>
      <c r="D115" s="1" t="s">
        <v>46</v>
      </c>
      <c r="E115" s="52" t="s">
        <v>617</v>
      </c>
      <c r="F115" s="2">
        <v>54401</v>
      </c>
      <c r="G115" s="6" t="s">
        <v>189</v>
      </c>
      <c r="H115" s="15"/>
      <c r="I115" s="15"/>
      <c r="J115" s="15"/>
      <c r="K115" s="15"/>
      <c r="L115" s="15"/>
      <c r="M115" s="15"/>
      <c r="N115" s="15"/>
      <c r="O115" s="15"/>
      <c r="P115" s="15"/>
      <c r="Q115" s="15"/>
    </row>
    <row r="116" spans="1:17" ht="15" x14ac:dyDescent="0.2">
      <c r="A116" s="8">
        <v>1</v>
      </c>
      <c r="B116" s="1" t="s">
        <v>44</v>
      </c>
      <c r="C116" s="1" t="s">
        <v>193</v>
      </c>
      <c r="D116" s="1" t="s">
        <v>46</v>
      </c>
      <c r="E116" s="52" t="s">
        <v>617</v>
      </c>
      <c r="F116" s="2">
        <v>54403</v>
      </c>
      <c r="G116" s="6" t="s">
        <v>183</v>
      </c>
      <c r="H116" s="15"/>
      <c r="I116" s="15"/>
      <c r="J116" s="15"/>
      <c r="K116" s="15"/>
      <c r="L116" s="15"/>
      <c r="M116" s="15"/>
      <c r="N116" s="15"/>
      <c r="O116" s="15"/>
      <c r="P116" s="15"/>
      <c r="Q116" s="15"/>
    </row>
    <row r="117" spans="1:17" ht="15" x14ac:dyDescent="0.2">
      <c r="A117" s="8">
        <v>1</v>
      </c>
      <c r="B117" s="1" t="s">
        <v>44</v>
      </c>
      <c r="C117" s="1" t="s">
        <v>193</v>
      </c>
      <c r="D117" s="1" t="s">
        <v>46</v>
      </c>
      <c r="E117" s="52" t="s">
        <v>617</v>
      </c>
      <c r="F117" s="2">
        <v>54503</v>
      </c>
      <c r="G117" s="6" t="s">
        <v>67</v>
      </c>
      <c r="H117" s="15"/>
      <c r="I117" s="15"/>
      <c r="J117" s="15"/>
      <c r="K117" s="15"/>
      <c r="L117" s="15"/>
      <c r="M117" s="15"/>
      <c r="N117" s="15"/>
      <c r="O117" s="15"/>
      <c r="P117" s="15"/>
      <c r="Q117" s="15"/>
    </row>
    <row r="118" spans="1:17" ht="15" x14ac:dyDescent="0.2">
      <c r="A118" s="8">
        <v>1</v>
      </c>
      <c r="B118" s="1" t="s">
        <v>44</v>
      </c>
      <c r="C118" s="1" t="s">
        <v>193</v>
      </c>
      <c r="D118" s="1" t="s">
        <v>46</v>
      </c>
      <c r="E118" s="52" t="s">
        <v>617</v>
      </c>
      <c r="F118" s="2">
        <v>54504</v>
      </c>
      <c r="G118" s="6" t="s">
        <v>72</v>
      </c>
      <c r="H118" s="15"/>
      <c r="I118" s="15"/>
      <c r="J118" s="15"/>
      <c r="K118" s="15"/>
      <c r="L118" s="15"/>
      <c r="M118" s="15"/>
      <c r="N118" s="15"/>
      <c r="O118" s="15"/>
      <c r="P118" s="15"/>
      <c r="Q118" s="15"/>
    </row>
    <row r="119" spans="1:17" ht="15" x14ac:dyDescent="0.2">
      <c r="A119" s="8">
        <v>1</v>
      </c>
      <c r="B119" s="1" t="s">
        <v>44</v>
      </c>
      <c r="C119" s="1" t="s">
        <v>193</v>
      </c>
      <c r="D119" s="1" t="s">
        <v>46</v>
      </c>
      <c r="E119" s="52" t="s">
        <v>617</v>
      </c>
      <c r="F119" s="2">
        <v>54507</v>
      </c>
      <c r="G119" s="6" t="s">
        <v>209</v>
      </c>
      <c r="H119" s="15"/>
      <c r="I119" s="15"/>
      <c r="J119" s="15"/>
      <c r="K119" s="15"/>
      <c r="L119" s="15"/>
      <c r="M119" s="15"/>
      <c r="N119" s="15"/>
      <c r="O119" s="15"/>
      <c r="P119" s="15"/>
      <c r="Q119" s="15"/>
    </row>
    <row r="120" spans="1:17" ht="15" x14ac:dyDescent="0.2">
      <c r="A120" s="8">
        <v>1</v>
      </c>
      <c r="B120" s="1" t="s">
        <v>44</v>
      </c>
      <c r="C120" s="1" t="s">
        <v>193</v>
      </c>
      <c r="D120" s="1" t="s">
        <v>46</v>
      </c>
      <c r="E120" s="52" t="s">
        <v>617</v>
      </c>
      <c r="F120" s="2">
        <v>54508</v>
      </c>
      <c r="G120" s="6" t="s">
        <v>161</v>
      </c>
      <c r="H120" s="15"/>
      <c r="I120" s="15"/>
      <c r="J120" s="15"/>
      <c r="K120" s="15"/>
      <c r="L120" s="15"/>
      <c r="M120" s="15"/>
      <c r="N120" s="15"/>
      <c r="O120" s="15"/>
      <c r="P120" s="15"/>
      <c r="Q120" s="15"/>
    </row>
    <row r="121" spans="1:17" ht="15" x14ac:dyDescent="0.2">
      <c r="A121" s="8">
        <v>1</v>
      </c>
      <c r="B121" s="1" t="s">
        <v>44</v>
      </c>
      <c r="C121" s="1" t="s">
        <v>193</v>
      </c>
      <c r="D121" s="1" t="s">
        <v>46</v>
      </c>
      <c r="E121" s="52" t="s">
        <v>617</v>
      </c>
      <c r="F121" s="2">
        <v>55601</v>
      </c>
      <c r="G121" s="6" t="s">
        <v>83</v>
      </c>
      <c r="H121" s="15"/>
      <c r="I121" s="15"/>
      <c r="J121" s="15"/>
      <c r="K121" s="15"/>
      <c r="L121" s="15"/>
      <c r="M121" s="15"/>
      <c r="N121" s="15"/>
      <c r="O121" s="15"/>
      <c r="P121" s="15"/>
      <c r="Q121" s="15"/>
    </row>
    <row r="122" spans="1:17" ht="15" x14ac:dyDescent="0.2">
      <c r="A122" s="8">
        <v>1</v>
      </c>
      <c r="B122" s="1" t="s">
        <v>44</v>
      </c>
      <c r="C122" s="1" t="s">
        <v>193</v>
      </c>
      <c r="D122" s="1" t="s">
        <v>46</v>
      </c>
      <c r="E122" s="52" t="s">
        <v>617</v>
      </c>
      <c r="F122" s="2">
        <v>55602</v>
      </c>
      <c r="G122" s="6" t="s">
        <v>211</v>
      </c>
      <c r="H122" s="15"/>
      <c r="I122" s="15"/>
      <c r="J122" s="15"/>
      <c r="K122" s="15"/>
      <c r="L122" s="15"/>
      <c r="M122" s="15"/>
      <c r="N122" s="15"/>
      <c r="O122" s="15"/>
      <c r="P122" s="15"/>
      <c r="Q122" s="15"/>
    </row>
    <row r="123" spans="1:17" ht="15" x14ac:dyDescent="0.2">
      <c r="A123" s="8">
        <v>1</v>
      </c>
      <c r="B123" s="1" t="s">
        <v>44</v>
      </c>
      <c r="C123" s="1" t="s">
        <v>193</v>
      </c>
      <c r="D123" s="1" t="s">
        <v>46</v>
      </c>
      <c r="E123" s="52" t="s">
        <v>617</v>
      </c>
      <c r="F123" s="2">
        <v>55603</v>
      </c>
      <c r="G123" s="6" t="s">
        <v>74</v>
      </c>
      <c r="H123" s="15"/>
      <c r="I123" s="15"/>
      <c r="J123" s="15"/>
      <c r="K123" s="15"/>
      <c r="L123" s="15"/>
      <c r="M123" s="15"/>
      <c r="N123" s="15"/>
      <c r="O123" s="15"/>
      <c r="P123" s="15"/>
      <c r="Q123" s="15"/>
    </row>
    <row r="124" spans="1:17" ht="15" x14ac:dyDescent="0.2">
      <c r="A124" s="8">
        <v>1</v>
      </c>
      <c r="B124" s="1" t="s">
        <v>44</v>
      </c>
      <c r="C124" s="1" t="s">
        <v>193</v>
      </c>
      <c r="D124" s="1" t="s">
        <v>46</v>
      </c>
      <c r="E124" s="52" t="s">
        <v>617</v>
      </c>
      <c r="F124" s="2">
        <v>55703</v>
      </c>
      <c r="G124" s="6" t="s">
        <v>75</v>
      </c>
      <c r="H124" s="15"/>
      <c r="I124" s="15"/>
      <c r="J124" s="15"/>
      <c r="K124" s="15"/>
      <c r="L124" s="15"/>
      <c r="M124" s="15"/>
      <c r="N124" s="15"/>
      <c r="O124" s="15"/>
      <c r="P124" s="15"/>
      <c r="Q124" s="15"/>
    </row>
    <row r="125" spans="1:17" ht="15" x14ac:dyDescent="0.2">
      <c r="A125" s="8">
        <v>1</v>
      </c>
      <c r="B125" s="1" t="s">
        <v>44</v>
      </c>
      <c r="C125" s="1" t="s">
        <v>193</v>
      </c>
      <c r="D125" s="1" t="s">
        <v>46</v>
      </c>
      <c r="E125" s="52" t="s">
        <v>617</v>
      </c>
      <c r="F125" s="2">
        <v>55799</v>
      </c>
      <c r="G125" s="6" t="s">
        <v>191</v>
      </c>
      <c r="H125" s="15"/>
      <c r="I125" s="15"/>
      <c r="J125" s="15"/>
      <c r="K125" s="15"/>
      <c r="L125" s="15"/>
      <c r="M125" s="15"/>
      <c r="N125" s="15"/>
      <c r="O125" s="15"/>
      <c r="P125" s="15"/>
      <c r="Q125" s="15"/>
    </row>
    <row r="126" spans="1:17" ht="15" x14ac:dyDescent="0.2">
      <c r="A126" s="8">
        <v>1</v>
      </c>
      <c r="B126" s="1" t="s">
        <v>44</v>
      </c>
      <c r="C126" s="1" t="s">
        <v>193</v>
      </c>
      <c r="D126" s="1" t="s">
        <v>46</v>
      </c>
      <c r="E126" s="52" t="s">
        <v>617</v>
      </c>
      <c r="F126" s="2">
        <v>56303</v>
      </c>
      <c r="G126" s="6" t="s">
        <v>212</v>
      </c>
      <c r="H126" s="15"/>
      <c r="I126" s="15"/>
      <c r="J126" s="15"/>
      <c r="K126" s="15"/>
      <c r="L126" s="15"/>
      <c r="M126" s="15"/>
      <c r="N126" s="15"/>
      <c r="O126" s="15"/>
      <c r="P126" s="15"/>
      <c r="Q126" s="15"/>
    </row>
    <row r="127" spans="1:17" ht="15" x14ac:dyDescent="0.2">
      <c r="A127" s="8">
        <v>1</v>
      </c>
      <c r="B127" s="1" t="s">
        <v>44</v>
      </c>
      <c r="C127" s="1" t="s">
        <v>193</v>
      </c>
      <c r="D127" s="1" t="s">
        <v>46</v>
      </c>
      <c r="E127" s="52" t="s">
        <v>617</v>
      </c>
      <c r="F127" s="2">
        <v>56304</v>
      </c>
      <c r="G127" s="6" t="s">
        <v>184</v>
      </c>
      <c r="H127" s="15"/>
      <c r="I127" s="15"/>
      <c r="J127" s="15"/>
      <c r="K127" s="15"/>
      <c r="L127" s="15"/>
      <c r="M127" s="15"/>
      <c r="N127" s="15"/>
      <c r="O127" s="15"/>
      <c r="P127" s="15"/>
      <c r="Q127" s="15"/>
    </row>
    <row r="128" spans="1:17" ht="15" x14ac:dyDescent="0.2">
      <c r="A128" s="8">
        <v>1</v>
      </c>
      <c r="B128" s="1" t="s">
        <v>44</v>
      </c>
      <c r="C128" s="1" t="s">
        <v>193</v>
      </c>
      <c r="D128" s="1" t="s">
        <v>46</v>
      </c>
      <c r="E128" s="52" t="s">
        <v>617</v>
      </c>
      <c r="F128" s="2">
        <v>61101</v>
      </c>
      <c r="G128" s="7" t="s">
        <v>213</v>
      </c>
      <c r="H128" s="17"/>
      <c r="I128" s="17"/>
      <c r="J128" s="17"/>
      <c r="K128" s="17"/>
      <c r="L128" s="17"/>
      <c r="M128" s="17"/>
      <c r="N128" s="17"/>
      <c r="O128" s="17"/>
      <c r="P128" s="17"/>
      <c r="Q128" s="17"/>
    </row>
    <row r="129" spans="1:17" ht="15" x14ac:dyDescent="0.2">
      <c r="A129" s="8">
        <v>1</v>
      </c>
      <c r="B129" s="1" t="s">
        <v>44</v>
      </c>
      <c r="C129" s="1" t="s">
        <v>193</v>
      </c>
      <c r="D129" s="1" t="s">
        <v>46</v>
      </c>
      <c r="E129" s="52" t="s">
        <v>617</v>
      </c>
      <c r="F129" s="2">
        <v>61104</v>
      </c>
      <c r="G129" s="7" t="s">
        <v>214</v>
      </c>
      <c r="H129" s="17"/>
      <c r="I129" s="17"/>
      <c r="J129" s="17"/>
      <c r="K129" s="17"/>
      <c r="L129" s="17"/>
      <c r="M129" s="17"/>
      <c r="N129" s="17"/>
      <c r="O129" s="17"/>
      <c r="P129" s="17"/>
      <c r="Q129" s="17"/>
    </row>
    <row r="130" spans="1:17" ht="15" x14ac:dyDescent="0.2">
      <c r="A130" s="8">
        <v>1</v>
      </c>
      <c r="B130" s="1" t="s">
        <v>44</v>
      </c>
      <c r="C130" s="1" t="s">
        <v>193</v>
      </c>
      <c r="D130" s="1" t="s">
        <v>46</v>
      </c>
      <c r="E130" s="52" t="s">
        <v>617</v>
      </c>
      <c r="F130" s="2">
        <v>72101</v>
      </c>
      <c r="G130" s="7" t="s">
        <v>215</v>
      </c>
      <c r="H130" s="17"/>
      <c r="I130" s="17"/>
      <c r="J130" s="17"/>
      <c r="K130" s="17"/>
      <c r="L130" s="17"/>
      <c r="M130" s="17"/>
      <c r="N130" s="17"/>
      <c r="O130" s="17"/>
      <c r="P130" s="17"/>
      <c r="Q130" s="17"/>
    </row>
    <row r="131" spans="1:17" ht="15.75" thickBot="1" x14ac:dyDescent="0.25">
      <c r="A131" s="18"/>
      <c r="B131" s="16"/>
      <c r="C131" s="1"/>
      <c r="D131" s="16"/>
      <c r="E131" s="53"/>
      <c r="F131" s="3"/>
      <c r="G131" s="7"/>
      <c r="H131" s="17"/>
      <c r="I131" s="17"/>
      <c r="J131" s="17"/>
      <c r="K131" s="17"/>
      <c r="L131" s="17"/>
      <c r="M131" s="17"/>
      <c r="N131" s="17"/>
      <c r="O131" s="17"/>
      <c r="P131" s="17"/>
      <c r="Q131" s="17"/>
    </row>
    <row r="132" spans="1:17" ht="23.25" thickBot="1" x14ac:dyDescent="0.6">
      <c r="A132" s="1067"/>
      <c r="B132" s="1068"/>
      <c r="C132" s="1068"/>
      <c r="D132" s="1068"/>
      <c r="E132" s="1068"/>
      <c r="F132" s="1069"/>
      <c r="G132" s="342" t="s">
        <v>619</v>
      </c>
      <c r="H132" s="239">
        <f>SUM(H86:H131)</f>
        <v>78159.375</v>
      </c>
      <c r="I132" s="239"/>
      <c r="J132" s="239"/>
      <c r="K132" s="239"/>
      <c r="L132" s="239"/>
      <c r="M132" s="239"/>
      <c r="N132" s="239"/>
      <c r="O132" s="239"/>
      <c r="P132" s="239"/>
      <c r="Q132" s="239"/>
    </row>
    <row r="136" spans="1:17" ht="20.25" x14ac:dyDescent="0.25">
      <c r="A136" s="1046"/>
      <c r="B136" s="1046"/>
      <c r="C136" s="1046"/>
      <c r="D136" s="1046"/>
      <c r="E136" s="1046"/>
      <c r="F136" s="1046"/>
      <c r="G136" s="1046"/>
      <c r="H136" s="1046"/>
      <c r="I136" s="184"/>
      <c r="J136" s="184"/>
      <c r="K136" s="184"/>
      <c r="L136" s="184"/>
      <c r="M136" s="184"/>
      <c r="N136" s="184"/>
      <c r="O136" s="184"/>
      <c r="P136" s="184"/>
      <c r="Q136" s="184"/>
    </row>
    <row r="137" spans="1:17" ht="18" x14ac:dyDescent="0.2">
      <c r="A137" s="1045" t="s">
        <v>329</v>
      </c>
      <c r="B137" s="1045"/>
      <c r="C137" s="1045"/>
      <c r="D137" s="1045"/>
      <c r="E137" s="1045"/>
      <c r="F137" s="1045"/>
      <c r="G137" s="1045"/>
      <c r="H137" s="1045"/>
      <c r="I137" s="196"/>
      <c r="J137" s="196"/>
      <c r="K137" s="196"/>
      <c r="L137" s="196"/>
      <c r="M137" s="196"/>
      <c r="N137" s="196"/>
      <c r="O137" s="196"/>
      <c r="P137" s="196"/>
      <c r="Q137" s="196"/>
    </row>
    <row r="138" spans="1:17" ht="15.75" x14ac:dyDescent="0.25">
      <c r="A138" s="1062" t="s">
        <v>154</v>
      </c>
      <c r="B138" s="1063"/>
      <c r="C138" s="1063"/>
      <c r="D138" s="1063"/>
      <c r="E138" s="1063"/>
      <c r="F138" s="1063"/>
      <c r="G138" s="1063"/>
      <c r="H138" s="1063"/>
      <c r="I138" s="152"/>
      <c r="J138" s="152"/>
      <c r="K138" s="152"/>
      <c r="L138" s="152"/>
      <c r="M138" s="152"/>
      <c r="N138" s="152"/>
      <c r="O138" s="152"/>
      <c r="P138" s="152"/>
      <c r="Q138" s="152"/>
    </row>
    <row r="139" spans="1:17" ht="15.75" x14ac:dyDescent="0.25">
      <c r="A139" s="1062" t="s">
        <v>592</v>
      </c>
      <c r="B139" s="1063"/>
      <c r="C139" s="1063"/>
      <c r="D139" s="1063"/>
      <c r="E139" s="1063"/>
      <c r="F139" s="1063"/>
      <c r="G139" s="1063"/>
      <c r="H139" s="1063"/>
      <c r="I139" s="152"/>
      <c r="J139" s="152"/>
      <c r="K139" s="152"/>
      <c r="L139" s="152"/>
      <c r="M139" s="152"/>
      <c r="N139" s="152"/>
      <c r="O139" s="152"/>
      <c r="P139" s="152"/>
      <c r="Q139" s="152"/>
    </row>
    <row r="140" spans="1:17" ht="15" x14ac:dyDescent="0.2">
      <c r="A140" s="1076" t="s">
        <v>7</v>
      </c>
      <c r="B140" s="1077"/>
      <c r="C140" s="1077"/>
      <c r="D140" s="1077"/>
      <c r="E140" s="1077"/>
      <c r="F140" s="1077"/>
      <c r="G140" s="1077"/>
      <c r="H140" s="1077"/>
      <c r="I140" s="152"/>
      <c r="J140" s="152"/>
      <c r="K140" s="152"/>
      <c r="L140" s="152"/>
      <c r="M140" s="152"/>
      <c r="N140" s="152"/>
      <c r="O140" s="152"/>
      <c r="P140" s="152"/>
      <c r="Q140" s="152"/>
    </row>
    <row r="141" spans="1:17" ht="18" x14ac:dyDescent="0.25">
      <c r="A141" s="1080"/>
      <c r="B141" s="1081"/>
      <c r="C141" s="1081"/>
      <c r="D141" s="1081"/>
      <c r="E141" s="1081"/>
      <c r="F141" s="1081"/>
      <c r="G141" s="1081"/>
      <c r="H141" s="1081"/>
      <c r="I141" s="152"/>
      <c r="J141" s="152"/>
      <c r="K141" s="152"/>
      <c r="L141" s="152"/>
      <c r="M141" s="152"/>
      <c r="N141" s="152"/>
      <c r="O141" s="152"/>
      <c r="P141" s="152"/>
      <c r="Q141" s="152"/>
    </row>
    <row r="142" spans="1:17" ht="15" x14ac:dyDescent="0.25">
      <c r="A142" s="1082" t="s">
        <v>9</v>
      </c>
      <c r="B142" s="1082"/>
      <c r="C142" s="1082"/>
      <c r="D142" s="1082"/>
      <c r="E142" s="1082"/>
      <c r="F142" s="1082"/>
      <c r="G142" s="1082"/>
      <c r="H142" s="1082"/>
      <c r="I142" s="152"/>
      <c r="J142" s="152"/>
      <c r="K142" s="152"/>
      <c r="L142" s="152"/>
      <c r="M142" s="152"/>
      <c r="N142" s="152"/>
      <c r="O142" s="152"/>
      <c r="P142" s="152"/>
      <c r="Q142" s="152"/>
    </row>
    <row r="143" spans="1:17" ht="15.75" thickBot="1" x14ac:dyDescent="0.3">
      <c r="A143" s="1083" t="s">
        <v>595</v>
      </c>
      <c r="B143" s="1083"/>
      <c r="C143" s="1083"/>
      <c r="D143" s="1083"/>
      <c r="E143" s="1083"/>
      <c r="F143" s="1083"/>
      <c r="G143" s="1083"/>
      <c r="H143" s="1083"/>
      <c r="I143" s="152"/>
      <c r="J143" s="152"/>
      <c r="K143" s="152"/>
      <c r="L143" s="152"/>
      <c r="M143" s="152"/>
      <c r="N143" s="152"/>
      <c r="O143" s="152"/>
      <c r="P143" s="152"/>
      <c r="Q143" s="152"/>
    </row>
    <row r="144" spans="1:17" ht="13.5" thickBot="1" x14ac:dyDescent="0.25">
      <c r="A144" s="1070" t="s">
        <v>0</v>
      </c>
      <c r="B144" s="1071"/>
      <c r="C144" s="1071"/>
      <c r="D144" s="1071"/>
      <c r="E144" s="1071"/>
      <c r="F144" s="1071"/>
      <c r="G144" s="1072" t="s">
        <v>130</v>
      </c>
      <c r="H144" s="1074" t="s">
        <v>131</v>
      </c>
      <c r="I144" s="1074"/>
      <c r="J144" s="725"/>
      <c r="K144" s="725"/>
      <c r="L144" s="725"/>
      <c r="M144" s="725"/>
      <c r="N144" s="725"/>
      <c r="O144" s="725"/>
      <c r="P144" s="725"/>
      <c r="Q144" s="1074"/>
    </row>
    <row r="145" spans="1:18" ht="165.75" customHeight="1" thickBot="1" x14ac:dyDescent="0.25">
      <c r="A145" s="235" t="s">
        <v>124</v>
      </c>
      <c r="B145" s="236" t="s">
        <v>125</v>
      </c>
      <c r="C145" s="236" t="s">
        <v>104</v>
      </c>
      <c r="D145" s="236" t="s">
        <v>129</v>
      </c>
      <c r="E145" s="237" t="s">
        <v>127</v>
      </c>
      <c r="F145" s="238" t="s">
        <v>128</v>
      </c>
      <c r="G145" s="1073"/>
      <c r="H145" s="1075"/>
      <c r="I145" s="1075"/>
      <c r="J145" s="726"/>
      <c r="K145" s="726"/>
      <c r="L145" s="726"/>
      <c r="M145" s="726"/>
      <c r="N145" s="726"/>
      <c r="O145" s="726"/>
      <c r="P145" s="726"/>
      <c r="Q145" s="1075"/>
    </row>
    <row r="146" spans="1:18" s="596" customFormat="1" ht="15" x14ac:dyDescent="0.2">
      <c r="A146" s="597">
        <v>1</v>
      </c>
      <c r="B146" s="598" t="s">
        <v>193</v>
      </c>
      <c r="C146" s="598" t="s">
        <v>44</v>
      </c>
      <c r="D146" s="598" t="s">
        <v>46</v>
      </c>
      <c r="E146" s="592" t="s">
        <v>617</v>
      </c>
      <c r="F146" s="599" t="s">
        <v>30</v>
      </c>
      <c r="G146" s="600" t="s">
        <v>31</v>
      </c>
      <c r="H146" s="577">
        <f>'ok-Planillas 2023'!H90</f>
        <v>156318.75</v>
      </c>
      <c r="I146" s="577"/>
      <c r="J146" s="577"/>
      <c r="K146" s="577"/>
      <c r="L146" s="577"/>
      <c r="M146" s="577"/>
      <c r="N146" s="577"/>
      <c r="O146" s="577"/>
      <c r="P146" s="577"/>
      <c r="Q146" s="577"/>
    </row>
    <row r="147" spans="1:18" ht="15" x14ac:dyDescent="0.2">
      <c r="A147" s="8">
        <v>1</v>
      </c>
      <c r="B147" s="10" t="s">
        <v>193</v>
      </c>
      <c r="C147" s="1" t="s">
        <v>44</v>
      </c>
      <c r="D147" s="1" t="s">
        <v>46</v>
      </c>
      <c r="E147" s="52" t="s">
        <v>617</v>
      </c>
      <c r="F147" s="2">
        <v>51103</v>
      </c>
      <c r="G147" s="6" t="s">
        <v>32</v>
      </c>
      <c r="H147" s="15"/>
      <c r="I147" s="15"/>
      <c r="J147" s="15"/>
      <c r="K147" s="15"/>
      <c r="L147" s="15"/>
      <c r="M147" s="15"/>
      <c r="N147" s="15"/>
      <c r="O147" s="15"/>
      <c r="P147" s="15"/>
      <c r="Q147" s="15"/>
      <c r="R147" s="185"/>
    </row>
    <row r="148" spans="1:18" ht="15" x14ac:dyDescent="0.2">
      <c r="A148" s="8">
        <v>1</v>
      </c>
      <c r="B148" s="10" t="s">
        <v>193</v>
      </c>
      <c r="C148" s="1" t="s">
        <v>44</v>
      </c>
      <c r="D148" s="1" t="s">
        <v>46</v>
      </c>
      <c r="E148" s="52" t="s">
        <v>617</v>
      </c>
      <c r="F148" s="2">
        <v>51107</v>
      </c>
      <c r="G148" s="6" t="s">
        <v>476</v>
      </c>
      <c r="H148" s="13"/>
      <c r="I148" s="13"/>
      <c r="J148" s="13"/>
      <c r="K148" s="13"/>
      <c r="L148" s="13"/>
      <c r="M148" s="13"/>
      <c r="N148" s="13"/>
      <c r="O148" s="13"/>
      <c r="P148" s="13"/>
      <c r="Q148" s="13"/>
    </row>
    <row r="149" spans="1:18" ht="15" x14ac:dyDescent="0.2">
      <c r="A149" s="8">
        <v>1</v>
      </c>
      <c r="B149" s="10" t="s">
        <v>193</v>
      </c>
      <c r="C149" s="1" t="s">
        <v>44</v>
      </c>
      <c r="D149" s="1" t="s">
        <v>46</v>
      </c>
      <c r="E149" s="52" t="s">
        <v>617</v>
      </c>
      <c r="F149" s="2">
        <v>51201</v>
      </c>
      <c r="G149" s="6" t="s">
        <v>31</v>
      </c>
      <c r="H149" s="13"/>
      <c r="I149" s="13"/>
      <c r="J149" s="13"/>
      <c r="K149" s="13"/>
      <c r="L149" s="13"/>
      <c r="M149" s="13"/>
      <c r="N149" s="13"/>
      <c r="O149" s="13"/>
      <c r="P149" s="13"/>
      <c r="Q149" s="13"/>
    </row>
    <row r="150" spans="1:18" ht="15" x14ac:dyDescent="0.2">
      <c r="A150" s="8">
        <v>1</v>
      </c>
      <c r="B150" s="10" t="s">
        <v>193</v>
      </c>
      <c r="C150" s="1" t="s">
        <v>44</v>
      </c>
      <c r="D150" s="1" t="s">
        <v>46</v>
      </c>
      <c r="E150" s="52" t="s">
        <v>617</v>
      </c>
      <c r="F150" s="2">
        <v>51202</v>
      </c>
      <c r="G150" s="6" t="s">
        <v>134</v>
      </c>
      <c r="H150" s="13"/>
      <c r="I150" s="13"/>
      <c r="J150" s="13"/>
      <c r="K150" s="13"/>
      <c r="L150" s="13"/>
      <c r="M150" s="13"/>
      <c r="N150" s="13"/>
      <c r="O150" s="13"/>
      <c r="P150" s="13"/>
      <c r="Q150" s="13"/>
    </row>
    <row r="151" spans="1:18" s="596" customFormat="1" ht="15" x14ac:dyDescent="0.2">
      <c r="A151" s="590">
        <v>1</v>
      </c>
      <c r="B151" s="598" t="s">
        <v>193</v>
      </c>
      <c r="C151" s="591" t="s">
        <v>44</v>
      </c>
      <c r="D151" s="591" t="s">
        <v>46</v>
      </c>
      <c r="E151" s="592" t="s">
        <v>617</v>
      </c>
      <c r="F151" s="593">
        <v>51301</v>
      </c>
      <c r="G151" s="594" t="s">
        <v>622</v>
      </c>
      <c r="H151" s="595">
        <f>'ok-Planillas 2023'!D129</f>
        <v>1008</v>
      </c>
      <c r="I151" s="595"/>
      <c r="J151" s="595"/>
      <c r="K151" s="595"/>
      <c r="L151" s="595"/>
      <c r="M151" s="595"/>
      <c r="N151" s="595"/>
      <c r="O151" s="595"/>
      <c r="P151" s="595"/>
      <c r="Q151" s="595"/>
    </row>
    <row r="152" spans="1:18" ht="15" x14ac:dyDescent="0.2">
      <c r="A152" s="8">
        <v>1</v>
      </c>
      <c r="B152" s="10" t="s">
        <v>193</v>
      </c>
      <c r="C152" s="1" t="s">
        <v>44</v>
      </c>
      <c r="D152" s="1" t="s">
        <v>46</v>
      </c>
      <c r="E152" s="52" t="s">
        <v>617</v>
      </c>
      <c r="F152" s="2">
        <v>54101</v>
      </c>
      <c r="G152" s="6" t="s">
        <v>34</v>
      </c>
      <c r="H152" s="15"/>
      <c r="I152" s="15"/>
      <c r="J152" s="15"/>
      <c r="K152" s="15"/>
      <c r="L152" s="15"/>
      <c r="M152" s="15"/>
      <c r="N152" s="15"/>
      <c r="O152" s="15"/>
      <c r="P152" s="15"/>
      <c r="Q152" s="15"/>
    </row>
    <row r="153" spans="1:18" ht="15" x14ac:dyDescent="0.2">
      <c r="A153" s="8">
        <v>1</v>
      </c>
      <c r="B153" s="10" t="s">
        <v>193</v>
      </c>
      <c r="C153" s="1" t="s">
        <v>44</v>
      </c>
      <c r="D153" s="1" t="s">
        <v>46</v>
      </c>
      <c r="E153" s="52" t="s">
        <v>617</v>
      </c>
      <c r="F153" s="2">
        <v>54104</v>
      </c>
      <c r="G153" s="6" t="s">
        <v>135</v>
      </c>
      <c r="H153" s="15"/>
      <c r="I153" s="15"/>
      <c r="J153" s="15"/>
      <c r="K153" s="15"/>
      <c r="L153" s="15"/>
      <c r="M153" s="15"/>
      <c r="N153" s="15"/>
      <c r="O153" s="15"/>
      <c r="P153" s="15"/>
      <c r="Q153" s="15"/>
    </row>
    <row r="154" spans="1:18" ht="15" x14ac:dyDescent="0.2">
      <c r="A154" s="8">
        <v>1</v>
      </c>
      <c r="B154" s="10" t="s">
        <v>193</v>
      </c>
      <c r="C154" s="1" t="s">
        <v>44</v>
      </c>
      <c r="D154" s="1" t="s">
        <v>46</v>
      </c>
      <c r="E154" s="52" t="s">
        <v>617</v>
      </c>
      <c r="F154" s="2">
        <v>54105</v>
      </c>
      <c r="G154" s="6" t="s">
        <v>35</v>
      </c>
      <c r="H154" s="15"/>
      <c r="I154" s="15"/>
      <c r="J154" s="15"/>
      <c r="K154" s="15"/>
      <c r="L154" s="15"/>
      <c r="M154" s="15"/>
      <c r="N154" s="15"/>
      <c r="O154" s="15"/>
      <c r="P154" s="15"/>
      <c r="Q154" s="15"/>
    </row>
    <row r="155" spans="1:18" ht="15" x14ac:dyDescent="0.2">
      <c r="A155" s="8"/>
      <c r="B155" s="10" t="s">
        <v>193</v>
      </c>
      <c r="C155" s="1"/>
      <c r="D155" s="1"/>
      <c r="E155" s="52" t="s">
        <v>617</v>
      </c>
      <c r="F155" s="2">
        <v>54106</v>
      </c>
      <c r="G155" s="6" t="s">
        <v>323</v>
      </c>
      <c r="H155" s="15"/>
      <c r="I155" s="15"/>
      <c r="J155" s="15"/>
      <c r="K155" s="15"/>
      <c r="L155" s="15"/>
      <c r="M155" s="15"/>
      <c r="N155" s="15"/>
      <c r="O155" s="15"/>
      <c r="P155" s="15"/>
      <c r="Q155" s="15"/>
    </row>
    <row r="156" spans="1:18" ht="15" x14ac:dyDescent="0.2">
      <c r="A156" s="8">
        <v>1</v>
      </c>
      <c r="B156" s="10" t="s">
        <v>193</v>
      </c>
      <c r="C156" s="1" t="s">
        <v>44</v>
      </c>
      <c r="D156" s="1" t="s">
        <v>46</v>
      </c>
      <c r="E156" s="52" t="s">
        <v>617</v>
      </c>
      <c r="F156" s="2">
        <v>54109</v>
      </c>
      <c r="G156" s="6" t="s">
        <v>138</v>
      </c>
      <c r="H156" s="15"/>
      <c r="I156" s="15"/>
      <c r="J156" s="15"/>
      <c r="K156" s="15"/>
      <c r="L156" s="15"/>
      <c r="M156" s="15"/>
      <c r="N156" s="15"/>
      <c r="O156" s="15"/>
      <c r="P156" s="15"/>
      <c r="Q156" s="15"/>
    </row>
    <row r="157" spans="1:18" ht="15" x14ac:dyDescent="0.2">
      <c r="A157" s="8">
        <v>1</v>
      </c>
      <c r="B157" s="10" t="s">
        <v>193</v>
      </c>
      <c r="C157" s="1" t="s">
        <v>44</v>
      </c>
      <c r="D157" s="1" t="s">
        <v>46</v>
      </c>
      <c r="E157" s="52" t="s">
        <v>617</v>
      </c>
      <c r="F157" s="2">
        <v>54110</v>
      </c>
      <c r="G157" s="314" t="s">
        <v>36</v>
      </c>
      <c r="H157" s="15"/>
      <c r="I157" s="15"/>
      <c r="J157" s="15"/>
      <c r="K157" s="15"/>
      <c r="L157" s="15"/>
      <c r="M157" s="15"/>
      <c r="N157" s="15"/>
      <c r="O157" s="15"/>
      <c r="P157" s="15"/>
      <c r="Q157" s="15"/>
    </row>
    <row r="158" spans="1:18" ht="15" x14ac:dyDescent="0.2">
      <c r="A158" s="8">
        <v>1</v>
      </c>
      <c r="B158" s="10" t="s">
        <v>193</v>
      </c>
      <c r="C158" s="1" t="s">
        <v>44</v>
      </c>
      <c r="D158" s="1" t="s">
        <v>46</v>
      </c>
      <c r="E158" s="52" t="s">
        <v>617</v>
      </c>
      <c r="F158" s="2">
        <v>54111</v>
      </c>
      <c r="G158" s="6" t="s">
        <v>42</v>
      </c>
      <c r="H158" s="15"/>
      <c r="I158" s="15"/>
      <c r="J158" s="15"/>
      <c r="K158" s="15"/>
      <c r="L158" s="15"/>
      <c r="M158" s="15"/>
      <c r="N158" s="15"/>
      <c r="O158" s="15"/>
      <c r="P158" s="15"/>
      <c r="Q158" s="15"/>
    </row>
    <row r="159" spans="1:18" ht="15" x14ac:dyDescent="0.2">
      <c r="A159" s="8">
        <v>1</v>
      </c>
      <c r="B159" s="10" t="s">
        <v>193</v>
      </c>
      <c r="C159" s="1" t="s">
        <v>44</v>
      </c>
      <c r="D159" s="1" t="s">
        <v>46</v>
      </c>
      <c r="E159" s="52" t="s">
        <v>617</v>
      </c>
      <c r="F159" s="2">
        <v>54112</v>
      </c>
      <c r="G159" s="6" t="s">
        <v>41</v>
      </c>
      <c r="H159" s="15"/>
      <c r="I159" s="15"/>
      <c r="J159" s="15"/>
      <c r="K159" s="15"/>
      <c r="L159" s="15"/>
      <c r="M159" s="15"/>
      <c r="N159" s="15"/>
      <c r="O159" s="15"/>
      <c r="P159" s="15"/>
      <c r="Q159" s="15"/>
    </row>
    <row r="160" spans="1:18" ht="15" x14ac:dyDescent="0.2">
      <c r="A160" s="8">
        <v>1</v>
      </c>
      <c r="B160" s="10" t="s">
        <v>193</v>
      </c>
      <c r="C160" s="1" t="s">
        <v>44</v>
      </c>
      <c r="D160" s="1" t="s">
        <v>46</v>
      </c>
      <c r="E160" s="52" t="s">
        <v>617</v>
      </c>
      <c r="F160" s="2">
        <v>54114</v>
      </c>
      <c r="G160" s="6" t="s">
        <v>37</v>
      </c>
      <c r="H160" s="15"/>
      <c r="I160" s="15"/>
      <c r="J160" s="15"/>
      <c r="K160" s="15"/>
      <c r="L160" s="15"/>
      <c r="M160" s="15"/>
      <c r="N160" s="15"/>
      <c r="O160" s="15"/>
      <c r="P160" s="15"/>
      <c r="Q160" s="15"/>
    </row>
    <row r="161" spans="1:17" ht="15" x14ac:dyDescent="0.2">
      <c r="A161" s="8">
        <v>1</v>
      </c>
      <c r="B161" s="10" t="s">
        <v>193</v>
      </c>
      <c r="C161" s="1" t="s">
        <v>44</v>
      </c>
      <c r="D161" s="1" t="s">
        <v>46</v>
      </c>
      <c r="E161" s="52" t="s">
        <v>617</v>
      </c>
      <c r="F161" s="2">
        <v>54115</v>
      </c>
      <c r="G161" s="6" t="s">
        <v>68</v>
      </c>
      <c r="H161" s="15"/>
      <c r="I161" s="15"/>
      <c r="J161" s="15"/>
      <c r="K161" s="15"/>
      <c r="L161" s="15"/>
      <c r="M161" s="15"/>
      <c r="N161" s="15"/>
      <c r="O161" s="15"/>
      <c r="P161" s="15"/>
      <c r="Q161" s="15"/>
    </row>
    <row r="162" spans="1:17" ht="15" x14ac:dyDescent="0.2">
      <c r="A162" s="8">
        <v>1</v>
      </c>
      <c r="B162" s="10" t="s">
        <v>193</v>
      </c>
      <c r="C162" s="1" t="s">
        <v>44</v>
      </c>
      <c r="D162" s="1" t="s">
        <v>46</v>
      </c>
      <c r="E162" s="52" t="s">
        <v>617</v>
      </c>
      <c r="F162" s="2">
        <v>54118</v>
      </c>
      <c r="G162" s="6" t="s">
        <v>185</v>
      </c>
      <c r="H162" s="15"/>
      <c r="I162" s="15"/>
      <c r="J162" s="15"/>
      <c r="K162" s="15"/>
      <c r="L162" s="15"/>
      <c r="M162" s="15"/>
      <c r="N162" s="15"/>
      <c r="O162" s="15"/>
      <c r="P162" s="15"/>
      <c r="Q162" s="15"/>
    </row>
    <row r="163" spans="1:17" ht="15" x14ac:dyDescent="0.2">
      <c r="A163" s="8">
        <v>1</v>
      </c>
      <c r="B163" s="10" t="s">
        <v>193</v>
      </c>
      <c r="C163" s="1" t="s">
        <v>44</v>
      </c>
      <c r="D163" s="1" t="s">
        <v>46</v>
      </c>
      <c r="E163" s="52" t="s">
        <v>617</v>
      </c>
      <c r="F163" s="2">
        <v>54119</v>
      </c>
      <c r="G163" s="6" t="s">
        <v>79</v>
      </c>
      <c r="H163" s="15"/>
      <c r="I163" s="15"/>
      <c r="J163" s="15"/>
      <c r="K163" s="15"/>
      <c r="L163" s="15"/>
      <c r="M163" s="15"/>
      <c r="N163" s="15"/>
      <c r="O163" s="15"/>
      <c r="P163" s="15"/>
      <c r="Q163" s="15"/>
    </row>
    <row r="164" spans="1:17" ht="15" x14ac:dyDescent="0.2">
      <c r="A164" s="8">
        <v>1</v>
      </c>
      <c r="B164" s="10" t="s">
        <v>193</v>
      </c>
      <c r="C164" s="1" t="s">
        <v>44</v>
      </c>
      <c r="D164" s="1" t="s">
        <v>46</v>
      </c>
      <c r="E164" s="52" t="s">
        <v>617</v>
      </c>
      <c r="F164" s="2">
        <v>54121</v>
      </c>
      <c r="G164" s="6" t="s">
        <v>70</v>
      </c>
      <c r="H164" s="15"/>
      <c r="I164" s="15"/>
      <c r="J164" s="15"/>
      <c r="K164" s="15"/>
      <c r="L164" s="15"/>
      <c r="M164" s="15"/>
      <c r="N164" s="15"/>
      <c r="O164" s="15"/>
      <c r="P164" s="15"/>
      <c r="Q164" s="15"/>
    </row>
    <row r="165" spans="1:17" ht="15" x14ac:dyDescent="0.2">
      <c r="A165" s="8">
        <v>1</v>
      </c>
      <c r="B165" s="10" t="s">
        <v>193</v>
      </c>
      <c r="C165" s="1" t="s">
        <v>44</v>
      </c>
      <c r="D165" s="1" t="s">
        <v>46</v>
      </c>
      <c r="E165" s="52" t="s">
        <v>617</v>
      </c>
      <c r="F165" s="2">
        <v>54199</v>
      </c>
      <c r="G165" s="6" t="s">
        <v>190</v>
      </c>
      <c r="H165" s="15"/>
      <c r="I165" s="15"/>
      <c r="J165" s="15"/>
      <c r="K165" s="15"/>
      <c r="L165" s="15"/>
      <c r="M165" s="15"/>
      <c r="N165" s="15"/>
      <c r="O165" s="15"/>
      <c r="P165" s="15"/>
      <c r="Q165" s="15"/>
    </row>
    <row r="166" spans="1:17" ht="15" x14ac:dyDescent="0.2">
      <c r="A166" s="8">
        <v>1</v>
      </c>
      <c r="B166" s="10" t="s">
        <v>193</v>
      </c>
      <c r="C166" s="1" t="s">
        <v>44</v>
      </c>
      <c r="D166" s="1" t="s">
        <v>46</v>
      </c>
      <c r="E166" s="52" t="s">
        <v>617</v>
      </c>
      <c r="F166" s="2">
        <v>54204</v>
      </c>
      <c r="G166" s="6" t="s">
        <v>208</v>
      </c>
      <c r="H166" s="15"/>
      <c r="I166" s="15"/>
      <c r="J166" s="15"/>
      <c r="K166" s="15"/>
      <c r="L166" s="15"/>
      <c r="M166" s="15"/>
      <c r="N166" s="15"/>
      <c r="O166" s="15"/>
      <c r="P166" s="15"/>
      <c r="Q166" s="15"/>
    </row>
    <row r="167" spans="1:17" ht="15" x14ac:dyDescent="0.2">
      <c r="A167" s="8">
        <v>1</v>
      </c>
      <c r="B167" s="1" t="s">
        <v>193</v>
      </c>
      <c r="C167" s="1" t="s">
        <v>44</v>
      </c>
      <c r="D167" s="1" t="s">
        <v>46</v>
      </c>
      <c r="E167" s="52" t="s">
        <v>617</v>
      </c>
      <c r="F167" s="2">
        <v>54301</v>
      </c>
      <c r="G167" s="6" t="s">
        <v>188</v>
      </c>
      <c r="H167" s="15"/>
      <c r="I167" s="15"/>
      <c r="J167" s="15"/>
      <c r="K167" s="15"/>
      <c r="L167" s="15"/>
      <c r="M167" s="15"/>
      <c r="N167" s="15"/>
      <c r="O167" s="15"/>
      <c r="P167" s="15"/>
      <c r="Q167" s="15"/>
    </row>
    <row r="168" spans="1:17" ht="15" x14ac:dyDescent="0.2">
      <c r="A168" s="8">
        <v>1</v>
      </c>
      <c r="B168" s="1" t="s">
        <v>193</v>
      </c>
      <c r="C168" s="1" t="s">
        <v>44</v>
      </c>
      <c r="D168" s="1" t="s">
        <v>46</v>
      </c>
      <c r="E168" s="52" t="s">
        <v>617</v>
      </c>
      <c r="F168" s="2">
        <v>54302</v>
      </c>
      <c r="G168" s="6" t="s">
        <v>187</v>
      </c>
      <c r="H168" s="15"/>
      <c r="I168" s="15"/>
      <c r="J168" s="15"/>
      <c r="K168" s="15"/>
      <c r="L168" s="15"/>
      <c r="M168" s="15"/>
      <c r="N168" s="15"/>
      <c r="O168" s="15"/>
      <c r="P168" s="15"/>
      <c r="Q168" s="15"/>
    </row>
    <row r="169" spans="1:17" ht="15" x14ac:dyDescent="0.2">
      <c r="A169" s="8">
        <v>1</v>
      </c>
      <c r="B169" s="1" t="s">
        <v>193</v>
      </c>
      <c r="C169" s="1" t="s">
        <v>44</v>
      </c>
      <c r="D169" s="1" t="s">
        <v>46</v>
      </c>
      <c r="E169" s="52" t="s">
        <v>617</v>
      </c>
      <c r="F169" s="2">
        <v>54303</v>
      </c>
      <c r="G169" s="6" t="s">
        <v>186</v>
      </c>
      <c r="H169" s="15"/>
      <c r="I169" s="15"/>
      <c r="J169" s="15"/>
      <c r="K169" s="15"/>
      <c r="L169" s="15"/>
      <c r="M169" s="15"/>
      <c r="N169" s="15"/>
      <c r="O169" s="15"/>
      <c r="P169" s="15"/>
      <c r="Q169" s="15"/>
    </row>
    <row r="170" spans="1:17" ht="15" x14ac:dyDescent="0.2">
      <c r="A170" s="8">
        <v>1</v>
      </c>
      <c r="B170" s="1" t="s">
        <v>193</v>
      </c>
      <c r="C170" s="1" t="s">
        <v>44</v>
      </c>
      <c r="D170" s="1" t="s">
        <v>46</v>
      </c>
      <c r="E170" s="52" t="s">
        <v>617</v>
      </c>
      <c r="F170" s="2">
        <v>54304</v>
      </c>
      <c r="G170" s="6" t="s">
        <v>76</v>
      </c>
      <c r="H170" s="15"/>
      <c r="I170" s="15"/>
      <c r="J170" s="15"/>
      <c r="K170" s="15"/>
      <c r="L170" s="15"/>
      <c r="M170" s="15"/>
      <c r="N170" s="15"/>
      <c r="O170" s="15"/>
      <c r="P170" s="15"/>
      <c r="Q170" s="15"/>
    </row>
    <row r="171" spans="1:17" ht="15" x14ac:dyDescent="0.2">
      <c r="A171" s="8">
        <v>1</v>
      </c>
      <c r="B171" s="1" t="s">
        <v>193</v>
      </c>
      <c r="C171" s="1" t="s">
        <v>44</v>
      </c>
      <c r="D171" s="1" t="s">
        <v>46</v>
      </c>
      <c r="E171" s="52" t="s">
        <v>617</v>
      </c>
      <c r="F171" s="2">
        <v>54305</v>
      </c>
      <c r="G171" s="6" t="s">
        <v>65</v>
      </c>
      <c r="H171" s="15"/>
      <c r="I171" s="15"/>
      <c r="J171" s="15"/>
      <c r="K171" s="15"/>
      <c r="L171" s="15"/>
      <c r="M171" s="15"/>
      <c r="N171" s="15"/>
      <c r="O171" s="15"/>
      <c r="P171" s="15"/>
      <c r="Q171" s="15"/>
    </row>
    <row r="172" spans="1:17" ht="15" x14ac:dyDescent="0.2">
      <c r="A172" s="8">
        <v>1</v>
      </c>
      <c r="B172" s="1" t="s">
        <v>193</v>
      </c>
      <c r="C172" s="1" t="s">
        <v>44</v>
      </c>
      <c r="D172" s="1" t="s">
        <v>46</v>
      </c>
      <c r="E172" s="52" t="s">
        <v>617</v>
      </c>
      <c r="F172" s="2">
        <v>54699</v>
      </c>
      <c r="G172" s="6" t="s">
        <v>675</v>
      </c>
      <c r="H172" s="15"/>
      <c r="I172" s="15"/>
      <c r="J172" s="15"/>
      <c r="K172" s="15"/>
      <c r="L172" s="15"/>
      <c r="M172" s="15"/>
      <c r="N172" s="15"/>
      <c r="O172" s="15"/>
      <c r="P172" s="15"/>
      <c r="Q172" s="15"/>
    </row>
    <row r="173" spans="1:17" ht="15" x14ac:dyDescent="0.2">
      <c r="A173" s="8">
        <v>1</v>
      </c>
      <c r="B173" s="1" t="s">
        <v>193</v>
      </c>
      <c r="C173" s="1" t="s">
        <v>44</v>
      </c>
      <c r="D173" s="1" t="s">
        <v>46</v>
      </c>
      <c r="E173" s="52" t="s">
        <v>617</v>
      </c>
      <c r="F173" s="2">
        <v>54310</v>
      </c>
      <c r="G173" s="6" t="s">
        <v>146</v>
      </c>
      <c r="H173" s="15"/>
      <c r="I173" s="15"/>
      <c r="J173" s="15"/>
      <c r="K173" s="15"/>
      <c r="L173" s="15"/>
      <c r="M173" s="15"/>
      <c r="N173" s="15"/>
      <c r="O173" s="15"/>
      <c r="P173" s="15"/>
      <c r="Q173" s="15"/>
    </row>
    <row r="174" spans="1:17" ht="15" x14ac:dyDescent="0.2">
      <c r="A174" s="8">
        <v>1</v>
      </c>
      <c r="B174" s="1" t="s">
        <v>193</v>
      </c>
      <c r="C174" s="1" t="s">
        <v>44</v>
      </c>
      <c r="D174" s="1" t="s">
        <v>46</v>
      </c>
      <c r="E174" s="52" t="s">
        <v>617</v>
      </c>
      <c r="F174" s="2">
        <v>54313</v>
      </c>
      <c r="G174" s="6" t="s">
        <v>158</v>
      </c>
      <c r="H174" s="15"/>
      <c r="I174" s="15"/>
      <c r="J174" s="15"/>
      <c r="K174" s="15"/>
      <c r="L174" s="15"/>
      <c r="M174" s="15"/>
      <c r="N174" s="15"/>
      <c r="O174" s="15"/>
      <c r="P174" s="15"/>
      <c r="Q174" s="15"/>
    </row>
    <row r="175" spans="1:17" ht="15" x14ac:dyDescent="0.2">
      <c r="A175" s="8">
        <v>1</v>
      </c>
      <c r="B175" s="1" t="s">
        <v>193</v>
      </c>
      <c r="C175" s="1" t="s">
        <v>44</v>
      </c>
      <c r="D175" s="1" t="s">
        <v>46</v>
      </c>
      <c r="E175" s="52" t="s">
        <v>617</v>
      </c>
      <c r="F175" s="2">
        <v>54314</v>
      </c>
      <c r="G175" s="6" t="s">
        <v>71</v>
      </c>
      <c r="H175" s="15"/>
      <c r="I175" s="15"/>
      <c r="J175" s="15"/>
      <c r="K175" s="15"/>
      <c r="L175" s="15"/>
      <c r="M175" s="15"/>
      <c r="N175" s="15"/>
      <c r="O175" s="15"/>
      <c r="P175" s="15"/>
      <c r="Q175" s="15"/>
    </row>
    <row r="176" spans="1:17" ht="15" x14ac:dyDescent="0.2">
      <c r="A176" s="8"/>
      <c r="B176" s="1" t="s">
        <v>193</v>
      </c>
      <c r="C176" s="1"/>
      <c r="D176" s="1"/>
      <c r="E176" s="52" t="s">
        <v>617</v>
      </c>
      <c r="F176" s="2">
        <v>54316</v>
      </c>
      <c r="G176" s="6" t="s">
        <v>501</v>
      </c>
      <c r="H176" s="15"/>
      <c r="I176" s="15"/>
      <c r="J176" s="15"/>
      <c r="K176" s="15"/>
      <c r="L176" s="15"/>
      <c r="M176" s="15"/>
      <c r="N176" s="15"/>
      <c r="O176" s="15"/>
      <c r="P176" s="15"/>
      <c r="Q176" s="15"/>
    </row>
    <row r="177" spans="1:18" ht="15" x14ac:dyDescent="0.2">
      <c r="A177" s="8">
        <v>1</v>
      </c>
      <c r="B177" s="1" t="s">
        <v>193</v>
      </c>
      <c r="C177" s="1" t="s">
        <v>44</v>
      </c>
      <c r="D177" s="1" t="s">
        <v>46</v>
      </c>
      <c r="E177" s="52" t="s">
        <v>617</v>
      </c>
      <c r="F177" s="2">
        <v>54401</v>
      </c>
      <c r="G177" s="6" t="s">
        <v>189</v>
      </c>
      <c r="H177" s="15"/>
      <c r="I177" s="15"/>
      <c r="J177" s="15"/>
      <c r="K177" s="15"/>
      <c r="L177" s="15"/>
      <c r="M177" s="15"/>
      <c r="N177" s="15"/>
      <c r="O177" s="15"/>
      <c r="P177" s="15"/>
      <c r="Q177" s="15"/>
    </row>
    <row r="178" spans="1:18" ht="15" x14ac:dyDescent="0.2">
      <c r="A178" s="8">
        <v>1</v>
      </c>
      <c r="B178" s="1" t="s">
        <v>193</v>
      </c>
      <c r="C178" s="1" t="s">
        <v>44</v>
      </c>
      <c r="D178" s="1" t="s">
        <v>46</v>
      </c>
      <c r="E178" s="52" t="s">
        <v>617</v>
      </c>
      <c r="F178" s="2">
        <v>54403</v>
      </c>
      <c r="G178" s="6" t="s">
        <v>183</v>
      </c>
      <c r="H178" s="15"/>
      <c r="I178" s="15"/>
      <c r="J178" s="15"/>
      <c r="K178" s="15"/>
      <c r="L178" s="15"/>
      <c r="M178" s="15"/>
      <c r="N178" s="15"/>
      <c r="O178" s="15"/>
      <c r="P178" s="15"/>
      <c r="Q178" s="15"/>
    </row>
    <row r="179" spans="1:18" ht="15" x14ac:dyDescent="0.2">
      <c r="A179" s="8">
        <v>1</v>
      </c>
      <c r="B179" s="1" t="s">
        <v>193</v>
      </c>
      <c r="C179" s="1" t="s">
        <v>44</v>
      </c>
      <c r="D179" s="1" t="s">
        <v>46</v>
      </c>
      <c r="E179" s="52" t="s">
        <v>617</v>
      </c>
      <c r="F179" s="2">
        <v>54507</v>
      </c>
      <c r="G179" s="6" t="s">
        <v>209</v>
      </c>
      <c r="H179" s="15"/>
      <c r="I179" s="15"/>
      <c r="J179" s="15"/>
      <c r="K179" s="15"/>
      <c r="L179" s="15"/>
      <c r="M179" s="15"/>
      <c r="N179" s="15"/>
      <c r="O179" s="15"/>
      <c r="P179" s="15"/>
      <c r="Q179" s="15"/>
    </row>
    <row r="180" spans="1:18" ht="15" x14ac:dyDescent="0.2">
      <c r="A180" s="8">
        <v>1</v>
      </c>
      <c r="B180" s="1" t="s">
        <v>193</v>
      </c>
      <c r="C180" s="1" t="s">
        <v>44</v>
      </c>
      <c r="D180" s="1" t="s">
        <v>46</v>
      </c>
      <c r="E180" s="52" t="s">
        <v>617</v>
      </c>
      <c r="F180" s="2">
        <v>55601</v>
      </c>
      <c r="G180" s="6" t="s">
        <v>83</v>
      </c>
      <c r="H180" s="15"/>
      <c r="I180" s="15"/>
      <c r="J180" s="15"/>
      <c r="K180" s="15"/>
      <c r="L180" s="15"/>
      <c r="M180" s="15"/>
      <c r="N180" s="15"/>
      <c r="O180" s="15"/>
      <c r="P180" s="15"/>
      <c r="Q180" s="15"/>
    </row>
    <row r="181" spans="1:18" ht="15" x14ac:dyDescent="0.2">
      <c r="A181" s="8">
        <v>1</v>
      </c>
      <c r="B181" s="1" t="s">
        <v>193</v>
      </c>
      <c r="C181" s="1" t="s">
        <v>44</v>
      </c>
      <c r="D181" s="1" t="s">
        <v>46</v>
      </c>
      <c r="E181" s="52" t="s">
        <v>617</v>
      </c>
      <c r="F181" s="2">
        <v>55602</v>
      </c>
      <c r="G181" s="6" t="s">
        <v>211</v>
      </c>
      <c r="H181" s="15"/>
      <c r="I181" s="15"/>
      <c r="J181" s="15"/>
      <c r="K181" s="15"/>
      <c r="L181" s="15"/>
      <c r="M181" s="15"/>
      <c r="N181" s="15"/>
      <c r="O181" s="15"/>
      <c r="P181" s="15"/>
      <c r="Q181" s="15"/>
    </row>
    <row r="182" spans="1:18" ht="15" x14ac:dyDescent="0.2">
      <c r="A182" s="8">
        <v>1</v>
      </c>
      <c r="B182" s="1" t="s">
        <v>193</v>
      </c>
      <c r="C182" s="1" t="s">
        <v>44</v>
      </c>
      <c r="D182" s="1" t="s">
        <v>46</v>
      </c>
      <c r="E182" s="52" t="s">
        <v>617</v>
      </c>
      <c r="F182" s="2">
        <v>55603</v>
      </c>
      <c r="G182" s="6" t="s">
        <v>74</v>
      </c>
      <c r="H182" s="15"/>
      <c r="I182" s="15"/>
      <c r="J182" s="15"/>
      <c r="K182" s="15"/>
      <c r="L182" s="15"/>
      <c r="M182" s="15"/>
      <c r="N182" s="15"/>
      <c r="O182" s="15"/>
      <c r="P182" s="15"/>
      <c r="Q182" s="15"/>
    </row>
    <row r="183" spans="1:18" ht="15" x14ac:dyDescent="0.2">
      <c r="A183" s="8">
        <v>1</v>
      </c>
      <c r="B183" s="1" t="s">
        <v>193</v>
      </c>
      <c r="C183" s="1" t="s">
        <v>44</v>
      </c>
      <c r="D183" s="1" t="s">
        <v>46</v>
      </c>
      <c r="E183" s="52" t="s">
        <v>617</v>
      </c>
      <c r="F183" s="2">
        <v>55799</v>
      </c>
      <c r="G183" s="6" t="s">
        <v>191</v>
      </c>
      <c r="H183" s="15"/>
      <c r="I183" s="15"/>
      <c r="J183" s="15"/>
      <c r="K183" s="15"/>
      <c r="L183" s="15"/>
      <c r="M183" s="15"/>
      <c r="N183" s="15"/>
      <c r="O183" s="15"/>
      <c r="P183" s="15"/>
      <c r="Q183" s="15"/>
    </row>
    <row r="184" spans="1:18" ht="15" x14ac:dyDescent="0.2">
      <c r="A184" s="8">
        <v>1</v>
      </c>
      <c r="B184" s="1" t="s">
        <v>193</v>
      </c>
      <c r="C184" s="1" t="s">
        <v>44</v>
      </c>
      <c r="D184" s="1" t="s">
        <v>46</v>
      </c>
      <c r="E184" s="52" t="s">
        <v>617</v>
      </c>
      <c r="F184" s="2">
        <v>61101</v>
      </c>
      <c r="G184" s="7" t="s">
        <v>213</v>
      </c>
      <c r="H184" s="17"/>
      <c r="I184" s="17"/>
      <c r="J184" s="17"/>
      <c r="K184" s="17"/>
      <c r="L184" s="17"/>
      <c r="M184" s="17"/>
      <c r="N184" s="17"/>
      <c r="O184" s="17"/>
      <c r="P184" s="17"/>
      <c r="Q184" s="17"/>
    </row>
    <row r="185" spans="1:18" ht="15" x14ac:dyDescent="0.2">
      <c r="A185" s="8">
        <v>1</v>
      </c>
      <c r="B185" s="1" t="s">
        <v>193</v>
      </c>
      <c r="C185" s="1" t="s">
        <v>44</v>
      </c>
      <c r="D185" s="1" t="s">
        <v>46</v>
      </c>
      <c r="E185" s="52" t="s">
        <v>617</v>
      </c>
      <c r="F185" s="2">
        <v>61104</v>
      </c>
      <c r="G185" s="7" t="s">
        <v>214</v>
      </c>
      <c r="H185" s="17"/>
      <c r="I185" s="17"/>
      <c r="J185" s="17"/>
      <c r="K185" s="17"/>
      <c r="L185" s="17"/>
      <c r="M185" s="17"/>
      <c r="N185" s="17"/>
      <c r="O185" s="17"/>
      <c r="P185" s="17"/>
      <c r="Q185" s="17"/>
    </row>
    <row r="186" spans="1:18" ht="15" x14ac:dyDescent="0.2">
      <c r="A186" s="8">
        <v>1</v>
      </c>
      <c r="B186" s="1" t="s">
        <v>193</v>
      </c>
      <c r="C186" s="1" t="s">
        <v>44</v>
      </c>
      <c r="D186" s="1" t="s">
        <v>46</v>
      </c>
      <c r="E186" s="52" t="s">
        <v>617</v>
      </c>
      <c r="F186" s="2">
        <v>72101</v>
      </c>
      <c r="G186" s="7" t="s">
        <v>215</v>
      </c>
      <c r="H186" s="17"/>
      <c r="I186" s="17"/>
      <c r="J186" s="17"/>
      <c r="K186" s="17"/>
      <c r="L186" s="17"/>
      <c r="M186" s="17"/>
      <c r="N186" s="17"/>
      <c r="O186" s="17"/>
      <c r="P186" s="17"/>
      <c r="Q186" s="17"/>
    </row>
    <row r="187" spans="1:18" ht="15.75" thickBot="1" x14ac:dyDescent="0.25">
      <c r="A187" s="18"/>
      <c r="B187" s="16"/>
      <c r="C187" s="16"/>
      <c r="D187" s="16"/>
      <c r="E187" s="53"/>
      <c r="F187" s="3"/>
      <c r="G187" s="7"/>
      <c r="H187" s="17"/>
      <c r="I187" s="17"/>
      <c r="J187" s="17"/>
      <c r="K187" s="17"/>
      <c r="L187" s="17"/>
      <c r="M187" s="17"/>
      <c r="N187" s="17"/>
      <c r="O187" s="17"/>
      <c r="P187" s="17"/>
      <c r="Q187" s="17"/>
    </row>
    <row r="188" spans="1:18" ht="23.25" thickBot="1" x14ac:dyDescent="0.6">
      <c r="A188" s="1067"/>
      <c r="B188" s="1068"/>
      <c r="C188" s="1068"/>
      <c r="D188" s="1068"/>
      <c r="E188" s="1068"/>
      <c r="F188" s="1069"/>
      <c r="G188" s="342" t="s">
        <v>620</v>
      </c>
      <c r="H188" s="239">
        <f>SUM(H146:H187)</f>
        <v>157326.75</v>
      </c>
      <c r="I188" s="239"/>
      <c r="J188" s="239"/>
      <c r="K188" s="239"/>
      <c r="L188" s="239"/>
      <c r="M188" s="239"/>
      <c r="N188" s="239"/>
      <c r="O188" s="239"/>
      <c r="P188" s="239"/>
      <c r="Q188" s="239"/>
      <c r="R188" s="63"/>
    </row>
    <row r="189" spans="1:18" ht="39.75" thickBot="1" x14ac:dyDescent="0.3">
      <c r="G189" s="343" t="s">
        <v>621</v>
      </c>
      <c r="H189" s="344">
        <f>H188+H132+H72</f>
        <v>964408.19375000009</v>
      </c>
      <c r="I189" s="344"/>
      <c r="J189" s="344"/>
      <c r="K189" s="344"/>
      <c r="L189" s="344"/>
      <c r="M189" s="344"/>
      <c r="N189" s="344"/>
      <c r="O189" s="344"/>
      <c r="P189" s="344"/>
      <c r="Q189" s="344"/>
    </row>
    <row r="190" spans="1:18" x14ac:dyDescent="0.2">
      <c r="H190" s="387"/>
      <c r="I190" s="387"/>
      <c r="J190" s="387"/>
      <c r="K190" s="387"/>
      <c r="L190" s="387"/>
      <c r="M190" s="387"/>
      <c r="N190" s="387"/>
      <c r="O190" s="387"/>
      <c r="P190" s="387"/>
      <c r="Q190" s="387"/>
    </row>
    <row r="197" spans="7:7" x14ac:dyDescent="0.2">
      <c r="G197" s="4"/>
    </row>
  </sheetData>
  <mergeCells count="68">
    <mergeCell ref="R9:R10"/>
    <mergeCell ref="S9:S10"/>
    <mergeCell ref="AF9:AF10"/>
    <mergeCell ref="AG9:AG10"/>
    <mergeCell ref="Z9:Z10"/>
    <mergeCell ref="AA9:AA10"/>
    <mergeCell ref="AB9:AB10"/>
    <mergeCell ref="AC9:AC10"/>
    <mergeCell ref="AD9:AD10"/>
    <mergeCell ref="AE9:AE10"/>
    <mergeCell ref="T9:T10"/>
    <mergeCell ref="X9:X10"/>
    <mergeCell ref="Y9:Y10"/>
    <mergeCell ref="U9:U10"/>
    <mergeCell ref="V9:V10"/>
    <mergeCell ref="I144:I145"/>
    <mergeCell ref="Q9:Q10"/>
    <mergeCell ref="Q84:Q85"/>
    <mergeCell ref="Q144:Q145"/>
    <mergeCell ref="J9:J10"/>
    <mergeCell ref="L9:L10"/>
    <mergeCell ref="K9:K10"/>
    <mergeCell ref="M9:M10"/>
    <mergeCell ref="N9:N10"/>
    <mergeCell ref="O9:O10"/>
    <mergeCell ref="P9:P10"/>
    <mergeCell ref="A6:H6"/>
    <mergeCell ref="A7:H7"/>
    <mergeCell ref="A8:H8"/>
    <mergeCell ref="I9:I10"/>
    <mergeCell ref="I84:I85"/>
    <mergeCell ref="A81:H81"/>
    <mergeCell ref="A82:H82"/>
    <mergeCell ref="A1:D1"/>
    <mergeCell ref="E1:H1"/>
    <mergeCell ref="A5:H5"/>
    <mergeCell ref="A3:H3"/>
    <mergeCell ref="A4:H4"/>
    <mergeCell ref="A2:H2"/>
    <mergeCell ref="A139:H139"/>
    <mergeCell ref="W9:W10"/>
    <mergeCell ref="A188:F188"/>
    <mergeCell ref="A140:H140"/>
    <mergeCell ref="A141:H141"/>
    <mergeCell ref="A142:H142"/>
    <mergeCell ref="A143:H143"/>
    <mergeCell ref="A144:F144"/>
    <mergeCell ref="G144:G145"/>
    <mergeCell ref="H144:H145"/>
    <mergeCell ref="A137:H137"/>
    <mergeCell ref="A83:H83"/>
    <mergeCell ref="H9:H10"/>
    <mergeCell ref="A77:H77"/>
    <mergeCell ref="A9:F9"/>
    <mergeCell ref="G9:G10"/>
    <mergeCell ref="A136:D136"/>
    <mergeCell ref="E136:H136"/>
    <mergeCell ref="A138:H138"/>
    <mergeCell ref="A72:F72"/>
    <mergeCell ref="A76:D76"/>
    <mergeCell ref="E76:H76"/>
    <mergeCell ref="A132:F132"/>
    <mergeCell ref="A84:F84"/>
    <mergeCell ref="G84:G85"/>
    <mergeCell ref="H84:H85"/>
    <mergeCell ref="A78:H78"/>
    <mergeCell ref="A79:H79"/>
    <mergeCell ref="A80:H80"/>
  </mergeCells>
  <phoneticPr fontId="4" type="noConversion"/>
  <printOptions horizontalCentered="1"/>
  <pageMargins left="0.62992125984251968" right="0.59055118110236227" top="0.51181102362204722" bottom="0.6692913385826772" header="0" footer="0"/>
  <pageSetup scale="81" fitToHeight="0" orientation="portrait" r:id="rId1"/>
  <headerFooter scaleWithDoc="0" alignWithMargins="0">
    <oddFooter>&amp;C pagina &amp;P</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J60"/>
  <sheetViews>
    <sheetView topLeftCell="A19" zoomScaleNormal="100" workbookViewId="0">
      <selection activeCell="H23" sqref="H23"/>
    </sheetView>
  </sheetViews>
  <sheetFormatPr baseColWidth="10" defaultColWidth="11.42578125" defaultRowHeight="12.75" x14ac:dyDescent="0.2"/>
  <cols>
    <col min="1" max="1" width="4.5703125" style="30" customWidth="1"/>
    <col min="2" max="2" width="4.42578125" style="30" customWidth="1"/>
    <col min="3" max="4" width="4.5703125" style="30" customWidth="1"/>
    <col min="5" max="5" width="6.140625" style="30" customWidth="1"/>
    <col min="6" max="6" width="8.42578125" style="30" customWidth="1"/>
    <col min="7" max="7" width="42.140625" style="24" customWidth="1"/>
    <col min="8" max="8" width="23.7109375" style="278" customWidth="1"/>
    <col min="9" max="16384" width="11.42578125" style="25"/>
  </cols>
  <sheetData>
    <row r="1" spans="1:8" ht="20.25" x14ac:dyDescent="0.2">
      <c r="A1" s="1046"/>
      <c r="B1" s="1046"/>
      <c r="C1" s="1046"/>
      <c r="D1" s="1046"/>
      <c r="E1" s="1046"/>
      <c r="F1" s="1046"/>
      <c r="G1" s="1046"/>
      <c r="H1" s="1046"/>
    </row>
    <row r="2" spans="1:8" ht="18" x14ac:dyDescent="0.2">
      <c r="A2" s="1045" t="s">
        <v>329</v>
      </c>
      <c r="B2" s="1045"/>
      <c r="C2" s="1045"/>
      <c r="D2" s="1045"/>
      <c r="E2" s="1045"/>
      <c r="F2" s="1045"/>
      <c r="G2" s="1045"/>
      <c r="H2" s="1045"/>
    </row>
    <row r="3" spans="1:8" ht="15.75" x14ac:dyDescent="0.2">
      <c r="A3" s="939" t="s">
        <v>154</v>
      </c>
      <c r="B3" s="1049"/>
      <c r="C3" s="1049"/>
      <c r="D3" s="1049"/>
      <c r="E3" s="1049"/>
      <c r="F3" s="1049"/>
      <c r="G3" s="1049"/>
      <c r="H3" s="1049"/>
    </row>
    <row r="4" spans="1:8" ht="15.75" x14ac:dyDescent="0.2">
      <c r="A4" s="939" t="s">
        <v>856</v>
      </c>
      <c r="B4" s="1049"/>
      <c r="C4" s="1049"/>
      <c r="D4" s="1049"/>
      <c r="E4" s="1049"/>
      <c r="F4" s="1049"/>
      <c r="G4" s="1049"/>
      <c r="H4" s="1049"/>
    </row>
    <row r="5" spans="1:8" ht="15" x14ac:dyDescent="0.2">
      <c r="A5" s="1050" t="s">
        <v>7</v>
      </c>
      <c r="B5" s="1051"/>
      <c r="C5" s="1051"/>
      <c r="D5" s="1051"/>
      <c r="E5" s="1051"/>
      <c r="F5" s="1051"/>
      <c r="G5" s="1051"/>
      <c r="H5" s="1051"/>
    </row>
    <row r="6" spans="1:8" ht="15.75" x14ac:dyDescent="0.2">
      <c r="A6" s="1056" t="s">
        <v>9</v>
      </c>
      <c r="B6" s="1056"/>
      <c r="C6" s="1056"/>
      <c r="D6" s="1056"/>
      <c r="E6" s="1056"/>
      <c r="F6" s="1056"/>
      <c r="G6" s="1056"/>
      <c r="H6" s="1056"/>
    </row>
    <row r="7" spans="1:8" ht="16.5" thickBot="1" x14ac:dyDescent="0.25">
      <c r="A7" s="940" t="s">
        <v>884</v>
      </c>
      <c r="B7" s="940"/>
      <c r="C7" s="940"/>
      <c r="D7" s="940"/>
      <c r="E7" s="940"/>
      <c r="F7" s="940"/>
      <c r="G7" s="940"/>
      <c r="H7" s="940"/>
    </row>
    <row r="8" spans="1:8" ht="13.5" customHeight="1" thickBot="1" x14ac:dyDescent="0.25">
      <c r="A8" s="1052" t="s">
        <v>0</v>
      </c>
      <c r="B8" s="1053"/>
      <c r="C8" s="1053"/>
      <c r="D8" s="1053"/>
      <c r="E8" s="1053"/>
      <c r="F8" s="1053"/>
      <c r="G8" s="1054" t="s">
        <v>130</v>
      </c>
      <c r="H8" s="1041" t="s">
        <v>684</v>
      </c>
    </row>
    <row r="9" spans="1:8" ht="153" customHeight="1" thickBot="1" x14ac:dyDescent="0.25">
      <c r="A9" s="230" t="s">
        <v>124</v>
      </c>
      <c r="B9" s="231" t="s">
        <v>133</v>
      </c>
      <c r="C9" s="231" t="s">
        <v>104</v>
      </c>
      <c r="D9" s="231" t="s">
        <v>126</v>
      </c>
      <c r="E9" s="232" t="s">
        <v>132</v>
      </c>
      <c r="F9" s="233" t="s">
        <v>89</v>
      </c>
      <c r="G9" s="1055"/>
      <c r="H9" s="1042"/>
    </row>
    <row r="10" spans="1:8" s="589" customFormat="1" ht="15.75" customHeight="1" x14ac:dyDescent="0.2">
      <c r="A10" s="585">
        <v>1</v>
      </c>
      <c r="B10" s="586" t="s">
        <v>827</v>
      </c>
      <c r="C10" s="586" t="s">
        <v>44</v>
      </c>
      <c r="D10" s="586" t="s">
        <v>44</v>
      </c>
      <c r="E10" s="587" t="s">
        <v>885</v>
      </c>
      <c r="F10" s="615">
        <v>54201</v>
      </c>
      <c r="G10" s="616" t="s">
        <v>176</v>
      </c>
      <c r="H10" s="576">
        <f>FAM!F6</f>
        <v>8400</v>
      </c>
    </row>
    <row r="11" spans="1:8" s="589" customFormat="1" ht="15.75" customHeight="1" x14ac:dyDescent="0.2">
      <c r="A11" s="585">
        <v>1</v>
      </c>
      <c r="B11" s="586" t="s">
        <v>827</v>
      </c>
      <c r="C11" s="586" t="s">
        <v>193</v>
      </c>
      <c r="D11" s="586" t="s">
        <v>44</v>
      </c>
      <c r="E11" s="587" t="s">
        <v>885</v>
      </c>
      <c r="F11" s="615">
        <v>54202</v>
      </c>
      <c r="G11" s="616" t="s">
        <v>39</v>
      </c>
      <c r="H11" s="576">
        <f>FAM!F7</f>
        <v>3600</v>
      </c>
    </row>
    <row r="12" spans="1:8" s="589" customFormat="1" ht="15.75" customHeight="1" x14ac:dyDescent="0.2">
      <c r="A12" s="585">
        <v>1</v>
      </c>
      <c r="B12" s="586" t="s">
        <v>827</v>
      </c>
      <c r="C12" s="586" t="s">
        <v>47</v>
      </c>
      <c r="D12" s="586" t="s">
        <v>44</v>
      </c>
      <c r="E12" s="587" t="s">
        <v>885</v>
      </c>
      <c r="F12" s="615">
        <v>54203</v>
      </c>
      <c r="G12" s="616" t="s">
        <v>40</v>
      </c>
      <c r="H12" s="576">
        <f>FAM!F8</f>
        <v>6000</v>
      </c>
    </row>
    <row r="13" spans="1:8" s="589" customFormat="1" ht="15.75" customHeight="1" x14ac:dyDescent="0.2">
      <c r="A13" s="585">
        <v>1</v>
      </c>
      <c r="B13" s="586" t="s">
        <v>827</v>
      </c>
      <c r="C13" s="586" t="s">
        <v>348</v>
      </c>
      <c r="D13" s="586" t="s">
        <v>44</v>
      </c>
      <c r="E13" s="587" t="s">
        <v>885</v>
      </c>
      <c r="F13" s="615">
        <v>54205</v>
      </c>
      <c r="G13" s="584" t="s">
        <v>911</v>
      </c>
      <c r="H13" s="576">
        <f>FAM!F9</f>
        <v>78000</v>
      </c>
    </row>
    <row r="14" spans="1:8" s="589" customFormat="1" ht="15.75" customHeight="1" x14ac:dyDescent="0.2">
      <c r="A14" s="585">
        <v>1</v>
      </c>
      <c r="B14" s="586" t="s">
        <v>827</v>
      </c>
      <c r="C14" s="586" t="s">
        <v>886</v>
      </c>
      <c r="D14" s="586" t="s">
        <v>44</v>
      </c>
      <c r="E14" s="587" t="s">
        <v>885</v>
      </c>
      <c r="F14" s="588">
        <v>54699</v>
      </c>
      <c r="G14" s="752" t="s">
        <v>675</v>
      </c>
      <c r="H14" s="880">
        <f>FAM!P4</f>
        <v>125000</v>
      </c>
    </row>
    <row r="15" spans="1:8" s="589" customFormat="1" ht="15.75" customHeight="1" x14ac:dyDescent="0.2">
      <c r="A15" s="585">
        <v>1</v>
      </c>
      <c r="B15" s="586"/>
      <c r="C15" s="586"/>
      <c r="D15" s="586"/>
      <c r="E15" s="587"/>
      <c r="F15" s="588"/>
      <c r="G15" s="752"/>
      <c r="H15" s="753"/>
    </row>
    <row r="16" spans="1:8" s="589" customFormat="1" ht="15.75" customHeight="1" x14ac:dyDescent="0.2">
      <c r="A16" s="585">
        <v>1</v>
      </c>
      <c r="B16" s="586" t="s">
        <v>829</v>
      </c>
      <c r="C16" s="586" t="s">
        <v>47</v>
      </c>
      <c r="D16" s="586" t="s">
        <v>44</v>
      </c>
      <c r="E16" s="587" t="s">
        <v>885</v>
      </c>
      <c r="F16" s="615">
        <v>54399</v>
      </c>
      <c r="G16" s="616" t="s">
        <v>311</v>
      </c>
      <c r="H16" s="576">
        <f>FAM!F11</f>
        <v>10800</v>
      </c>
    </row>
    <row r="17" spans="1:10" s="589" customFormat="1" ht="15.6" customHeight="1" x14ac:dyDescent="0.2">
      <c r="A17" s="585">
        <v>1</v>
      </c>
      <c r="B17" s="586" t="s">
        <v>829</v>
      </c>
      <c r="C17" s="586" t="s">
        <v>47</v>
      </c>
      <c r="D17" s="586" t="s">
        <v>44</v>
      </c>
      <c r="E17" s="587" t="s">
        <v>885</v>
      </c>
      <c r="F17" s="615">
        <v>54199</v>
      </c>
      <c r="G17" s="616" t="s">
        <v>142</v>
      </c>
      <c r="H17" s="576">
        <v>1800</v>
      </c>
    </row>
    <row r="18" spans="1:10" s="589" customFormat="1" ht="15.75" customHeight="1" x14ac:dyDescent="0.2">
      <c r="A18" s="585">
        <v>1</v>
      </c>
      <c r="B18" s="586" t="s">
        <v>829</v>
      </c>
      <c r="C18" s="586" t="s">
        <v>47</v>
      </c>
      <c r="D18" s="586" t="s">
        <v>44</v>
      </c>
      <c r="E18" s="587" t="s">
        <v>885</v>
      </c>
      <c r="F18" s="615">
        <v>54101</v>
      </c>
      <c r="G18" s="616" t="s">
        <v>34</v>
      </c>
      <c r="H18" s="617">
        <f>FAM!F13</f>
        <v>3399.9999600000001</v>
      </c>
    </row>
    <row r="19" spans="1:10" ht="15.75" customHeight="1" x14ac:dyDescent="0.2">
      <c r="A19" s="585">
        <v>1</v>
      </c>
      <c r="B19" s="586"/>
      <c r="C19" s="586"/>
      <c r="D19" s="586"/>
      <c r="E19" s="587"/>
      <c r="F19" s="615"/>
      <c r="G19" s="616"/>
      <c r="H19" s="346"/>
    </row>
    <row r="20" spans="1:10" s="589" customFormat="1" ht="15.75" customHeight="1" x14ac:dyDescent="0.2">
      <c r="A20" s="585">
        <v>1</v>
      </c>
      <c r="B20" s="586" t="s">
        <v>829</v>
      </c>
      <c r="C20" s="586" t="s">
        <v>741</v>
      </c>
      <c r="D20" s="586" t="s">
        <v>44</v>
      </c>
      <c r="E20" s="587" t="s">
        <v>885</v>
      </c>
      <c r="F20" s="615">
        <v>54106</v>
      </c>
      <c r="G20" s="616" t="s">
        <v>136</v>
      </c>
      <c r="H20" s="617">
        <f>FAM!F15</f>
        <v>5000</v>
      </c>
    </row>
    <row r="21" spans="1:10" s="589" customFormat="1" ht="15.75" customHeight="1" x14ac:dyDescent="0.2">
      <c r="A21" s="585">
        <v>1</v>
      </c>
      <c r="B21" s="586" t="s">
        <v>829</v>
      </c>
      <c r="C21" s="586" t="s">
        <v>741</v>
      </c>
      <c r="D21" s="586" t="s">
        <v>44</v>
      </c>
      <c r="E21" s="587" t="s">
        <v>885</v>
      </c>
      <c r="F21" s="615">
        <v>54104</v>
      </c>
      <c r="G21" s="616" t="s">
        <v>135</v>
      </c>
      <c r="H21" s="617">
        <f>FAM!F16</f>
        <v>3000</v>
      </c>
    </row>
    <row r="22" spans="1:10" s="589" customFormat="1" ht="15.75" customHeight="1" x14ac:dyDescent="0.2">
      <c r="A22" s="585">
        <v>1</v>
      </c>
      <c r="B22" s="586" t="s">
        <v>829</v>
      </c>
      <c r="C22" s="586" t="s">
        <v>741</v>
      </c>
      <c r="D22" s="586" t="s">
        <v>44</v>
      </c>
      <c r="E22" s="587" t="s">
        <v>885</v>
      </c>
      <c r="F22" s="615">
        <v>54112</v>
      </c>
      <c r="G22" s="616" t="s">
        <v>140</v>
      </c>
      <c r="H22" s="617">
        <f>FAM!F17</f>
        <v>2000</v>
      </c>
    </row>
    <row r="23" spans="1:10" s="589" customFormat="1" ht="15.75" customHeight="1" x14ac:dyDescent="0.2">
      <c r="A23" s="585">
        <v>1</v>
      </c>
      <c r="B23" s="586" t="s">
        <v>829</v>
      </c>
      <c r="C23" s="586" t="s">
        <v>741</v>
      </c>
      <c r="D23" s="586" t="s">
        <v>44</v>
      </c>
      <c r="E23" s="587" t="s">
        <v>885</v>
      </c>
      <c r="F23" s="615">
        <v>54399</v>
      </c>
      <c r="G23" s="616" t="s">
        <v>311</v>
      </c>
      <c r="H23" s="617">
        <f>FAM!F18</f>
        <v>30560</v>
      </c>
    </row>
    <row r="24" spans="1:10" s="589" customFormat="1" ht="15.75" customHeight="1" x14ac:dyDescent="0.2">
      <c r="A24" s="585">
        <v>1</v>
      </c>
      <c r="B24" s="586" t="s">
        <v>829</v>
      </c>
      <c r="C24" s="586" t="s">
        <v>741</v>
      </c>
      <c r="D24" s="586" t="s">
        <v>44</v>
      </c>
      <c r="E24" s="587" t="s">
        <v>885</v>
      </c>
      <c r="F24" s="615">
        <v>51201</v>
      </c>
      <c r="G24" s="616" t="s">
        <v>910</v>
      </c>
      <c r="H24" s="617">
        <f>FAM!F19</f>
        <v>3000</v>
      </c>
      <c r="I24" s="617"/>
      <c r="J24" s="617"/>
    </row>
    <row r="25" spans="1:10" s="589" customFormat="1" ht="15.75" customHeight="1" x14ac:dyDescent="0.2">
      <c r="A25" s="585">
        <v>1</v>
      </c>
      <c r="B25" s="586" t="s">
        <v>829</v>
      </c>
      <c r="C25" s="586" t="s">
        <v>741</v>
      </c>
      <c r="D25" s="586" t="s">
        <v>44</v>
      </c>
      <c r="E25" s="587" t="s">
        <v>885</v>
      </c>
      <c r="F25" s="615">
        <v>54199</v>
      </c>
      <c r="G25" s="616" t="s">
        <v>142</v>
      </c>
      <c r="H25" s="617">
        <f>FAM!F20</f>
        <v>7000</v>
      </c>
    </row>
    <row r="26" spans="1:10" ht="15.75" customHeight="1" x14ac:dyDescent="0.2">
      <c r="A26" s="585">
        <v>1</v>
      </c>
      <c r="B26" s="586"/>
      <c r="C26" s="33"/>
      <c r="D26" s="586"/>
      <c r="E26" s="587"/>
      <c r="F26" s="615"/>
      <c r="G26" s="616"/>
      <c r="H26" s="346"/>
    </row>
    <row r="27" spans="1:10" ht="15.75" customHeight="1" x14ac:dyDescent="0.2">
      <c r="A27" s="585">
        <v>1</v>
      </c>
      <c r="B27" s="586" t="s">
        <v>829</v>
      </c>
      <c r="C27" s="586" t="s">
        <v>741</v>
      </c>
      <c r="D27" s="586" t="s">
        <v>44</v>
      </c>
      <c r="E27" s="587" t="s">
        <v>885</v>
      </c>
      <c r="F27" s="615">
        <v>54106</v>
      </c>
      <c r="G27" s="616" t="s">
        <v>136</v>
      </c>
      <c r="H27" s="617">
        <f>FAM!F22</f>
        <v>5000</v>
      </c>
    </row>
    <row r="28" spans="1:10" ht="15.75" customHeight="1" x14ac:dyDescent="0.2">
      <c r="A28" s="585">
        <v>1</v>
      </c>
      <c r="B28" s="586" t="s">
        <v>829</v>
      </c>
      <c r="C28" s="586" t="s">
        <v>741</v>
      </c>
      <c r="D28" s="586" t="s">
        <v>44</v>
      </c>
      <c r="E28" s="587" t="s">
        <v>885</v>
      </c>
      <c r="F28" s="615">
        <v>54104</v>
      </c>
      <c r="G28" s="616" t="s">
        <v>135</v>
      </c>
      <c r="H28" s="617">
        <f>FAM!F23</f>
        <v>20000</v>
      </c>
    </row>
    <row r="29" spans="1:10" ht="15.75" customHeight="1" x14ac:dyDescent="0.2">
      <c r="A29" s="585">
        <v>1</v>
      </c>
      <c r="B29" s="586" t="s">
        <v>829</v>
      </c>
      <c r="C29" s="586" t="s">
        <v>741</v>
      </c>
      <c r="D29" s="586" t="s">
        <v>44</v>
      </c>
      <c r="E29" s="587" t="s">
        <v>885</v>
      </c>
      <c r="F29" s="615">
        <v>54112</v>
      </c>
      <c r="G29" s="616" t="s">
        <v>140</v>
      </c>
      <c r="H29" s="617">
        <f>FAM!F24</f>
        <v>11440</v>
      </c>
    </row>
    <row r="30" spans="1:10" ht="15.75" customHeight="1" x14ac:dyDescent="0.2">
      <c r="A30" s="585">
        <v>1</v>
      </c>
      <c r="B30" s="586" t="s">
        <v>829</v>
      </c>
      <c r="C30" s="586" t="s">
        <v>741</v>
      </c>
      <c r="D30" s="586" t="s">
        <v>44</v>
      </c>
      <c r="E30" s="587" t="s">
        <v>885</v>
      </c>
      <c r="F30" s="615">
        <v>54399</v>
      </c>
      <c r="G30" s="616" t="s">
        <v>311</v>
      </c>
      <c r="H30" s="617">
        <f>FAM!F25</f>
        <v>10000</v>
      </c>
    </row>
    <row r="31" spans="1:10" ht="15.75" customHeight="1" x14ac:dyDescent="0.2">
      <c r="A31" s="585">
        <v>1</v>
      </c>
      <c r="B31" s="586" t="s">
        <v>829</v>
      </c>
      <c r="C31" s="586" t="s">
        <v>741</v>
      </c>
      <c r="D31" s="586" t="s">
        <v>44</v>
      </c>
      <c r="E31" s="587" t="s">
        <v>885</v>
      </c>
      <c r="F31" s="615">
        <v>51201</v>
      </c>
      <c r="G31" s="616" t="s">
        <v>910</v>
      </c>
      <c r="H31" s="617">
        <f>FAM!F26</f>
        <v>16000</v>
      </c>
    </row>
    <row r="32" spans="1:10" ht="15.75" customHeight="1" x14ac:dyDescent="0.2">
      <c r="A32" s="585">
        <v>1</v>
      </c>
      <c r="B32" s="586" t="s">
        <v>829</v>
      </c>
      <c r="C32" s="586" t="s">
        <v>741</v>
      </c>
      <c r="D32" s="586" t="s">
        <v>44</v>
      </c>
      <c r="E32" s="587" t="s">
        <v>885</v>
      </c>
      <c r="F32" s="615">
        <v>54199</v>
      </c>
      <c r="G32" s="616" t="s">
        <v>142</v>
      </c>
      <c r="H32" s="617">
        <f>FAM!F27</f>
        <v>7000</v>
      </c>
    </row>
    <row r="33" spans="1:8" ht="15.75" customHeight="1" x14ac:dyDescent="0.2">
      <c r="A33" s="585">
        <v>1</v>
      </c>
      <c r="B33" s="586"/>
      <c r="C33" s="33"/>
      <c r="D33" s="586"/>
      <c r="E33" s="587"/>
      <c r="F33" s="615"/>
      <c r="G33" s="616"/>
      <c r="H33" s="346"/>
    </row>
    <row r="34" spans="1:8" ht="15.75" customHeight="1" x14ac:dyDescent="0.2">
      <c r="A34" s="585">
        <v>1</v>
      </c>
      <c r="B34" s="586" t="s">
        <v>829</v>
      </c>
      <c r="C34" s="586" t="s">
        <v>741</v>
      </c>
      <c r="D34" s="586" t="s">
        <v>44</v>
      </c>
      <c r="E34" s="587" t="s">
        <v>885</v>
      </c>
      <c r="F34" s="615">
        <v>54104</v>
      </c>
      <c r="G34" s="616" t="s">
        <v>135</v>
      </c>
      <c r="H34" s="617">
        <f>FAM!F29</f>
        <v>2000</v>
      </c>
    </row>
    <row r="35" spans="1:8" ht="15.75" customHeight="1" x14ac:dyDescent="0.2">
      <c r="A35" s="585">
        <v>1</v>
      </c>
      <c r="B35" s="586" t="s">
        <v>829</v>
      </c>
      <c r="C35" s="586" t="s">
        <v>741</v>
      </c>
      <c r="D35" s="586" t="s">
        <v>44</v>
      </c>
      <c r="E35" s="587" t="s">
        <v>885</v>
      </c>
      <c r="F35" s="615">
        <v>54112</v>
      </c>
      <c r="G35" s="616" t="s">
        <v>140</v>
      </c>
      <c r="H35" s="617">
        <f>FAM!F30</f>
        <v>2000</v>
      </c>
    </row>
    <row r="36" spans="1:8" ht="15.75" customHeight="1" x14ac:dyDescent="0.2">
      <c r="A36" s="585">
        <v>1</v>
      </c>
      <c r="B36" s="586" t="s">
        <v>829</v>
      </c>
      <c r="C36" s="586" t="s">
        <v>741</v>
      </c>
      <c r="D36" s="586" t="s">
        <v>44</v>
      </c>
      <c r="E36" s="587" t="s">
        <v>885</v>
      </c>
      <c r="F36" s="615">
        <v>54399</v>
      </c>
      <c r="G36" s="616" t="s">
        <v>311</v>
      </c>
      <c r="H36" s="617">
        <f>FAM!F31</f>
        <v>10000</v>
      </c>
    </row>
    <row r="37" spans="1:8" ht="15.75" customHeight="1" x14ac:dyDescent="0.2">
      <c r="A37" s="585">
        <v>1</v>
      </c>
      <c r="B37" s="586" t="s">
        <v>829</v>
      </c>
      <c r="C37" s="586" t="s">
        <v>741</v>
      </c>
      <c r="D37" s="586" t="s">
        <v>44</v>
      </c>
      <c r="E37" s="587" t="s">
        <v>885</v>
      </c>
      <c r="F37" s="615">
        <v>51201</v>
      </c>
      <c r="G37" s="616" t="s">
        <v>910</v>
      </c>
      <c r="H37" s="617">
        <f>FAM!F32</f>
        <v>4000</v>
      </c>
    </row>
    <row r="38" spans="1:8" ht="15.75" customHeight="1" x14ac:dyDescent="0.2">
      <c r="A38" s="585">
        <v>1</v>
      </c>
      <c r="B38" s="586" t="s">
        <v>829</v>
      </c>
      <c r="C38" s="586" t="s">
        <v>741</v>
      </c>
      <c r="D38" s="586" t="s">
        <v>44</v>
      </c>
      <c r="E38" s="587" t="s">
        <v>885</v>
      </c>
      <c r="F38" s="615">
        <v>54118</v>
      </c>
      <c r="G38" s="616" t="s">
        <v>141</v>
      </c>
      <c r="H38" s="617">
        <f>FAM!F33</f>
        <v>2000</v>
      </c>
    </row>
    <row r="39" spans="1:8" ht="15.75" customHeight="1" x14ac:dyDescent="0.2">
      <c r="A39" s="585">
        <v>1</v>
      </c>
      <c r="B39" s="586"/>
      <c r="C39" s="586"/>
      <c r="D39" s="586"/>
      <c r="E39" s="587"/>
      <c r="F39" s="615"/>
      <c r="G39" s="616"/>
      <c r="H39" s="617"/>
    </row>
    <row r="40" spans="1:8" ht="15.75" customHeight="1" x14ac:dyDescent="0.2">
      <c r="A40" s="585">
        <v>1</v>
      </c>
      <c r="B40" s="586" t="s">
        <v>829</v>
      </c>
      <c r="C40" s="586" t="s">
        <v>886</v>
      </c>
      <c r="D40" s="586" t="s">
        <v>44</v>
      </c>
      <c r="E40" s="587" t="s">
        <v>885</v>
      </c>
      <c r="F40" s="615">
        <v>54199</v>
      </c>
      <c r="G40" s="616" t="s">
        <v>142</v>
      </c>
      <c r="H40" s="617">
        <f>FAM!F35</f>
        <v>17000</v>
      </c>
    </row>
    <row r="41" spans="1:8" ht="15.75" customHeight="1" x14ac:dyDescent="0.2">
      <c r="A41" s="585">
        <v>1</v>
      </c>
      <c r="B41" s="586" t="s">
        <v>829</v>
      </c>
      <c r="C41" s="586" t="s">
        <v>886</v>
      </c>
      <c r="D41" s="586" t="s">
        <v>44</v>
      </c>
      <c r="E41" s="587" t="s">
        <v>885</v>
      </c>
      <c r="F41" s="615">
        <v>54101</v>
      </c>
      <c r="G41" s="616" t="s">
        <v>34</v>
      </c>
      <c r="H41" s="617">
        <f>FAM!F36</f>
        <v>25000</v>
      </c>
    </row>
    <row r="42" spans="1:8" ht="15.75" customHeight="1" x14ac:dyDescent="0.2">
      <c r="A42" s="585">
        <v>1</v>
      </c>
      <c r="B42" s="586" t="s">
        <v>829</v>
      </c>
      <c r="C42" s="586" t="s">
        <v>886</v>
      </c>
      <c r="D42" s="586" t="s">
        <v>44</v>
      </c>
      <c r="E42" s="587" t="s">
        <v>885</v>
      </c>
      <c r="F42" s="615">
        <v>54118</v>
      </c>
      <c r="G42" s="616" t="s">
        <v>141</v>
      </c>
      <c r="H42" s="617">
        <f>FAM!F37</f>
        <v>9000</v>
      </c>
    </row>
    <row r="43" spans="1:8" ht="15.75" customHeight="1" x14ac:dyDescent="0.2">
      <c r="A43" s="585">
        <v>1</v>
      </c>
      <c r="B43" s="586"/>
      <c r="C43" s="586"/>
      <c r="D43" s="586"/>
      <c r="E43" s="587"/>
      <c r="F43" s="615"/>
      <c r="G43" s="616"/>
      <c r="H43" s="616"/>
    </row>
    <row r="44" spans="1:8" ht="15.75" customHeight="1" x14ac:dyDescent="0.2">
      <c r="A44" s="585">
        <v>1</v>
      </c>
      <c r="B44" s="586" t="s">
        <v>829</v>
      </c>
      <c r="C44" s="586" t="s">
        <v>747</v>
      </c>
      <c r="D44" s="586" t="s">
        <v>44</v>
      </c>
      <c r="E44" s="587" t="s">
        <v>885</v>
      </c>
      <c r="F44" s="615">
        <v>54112</v>
      </c>
      <c r="G44" s="616" t="s">
        <v>140</v>
      </c>
      <c r="H44" s="617">
        <f>FAM!F38</f>
        <v>20000</v>
      </c>
    </row>
    <row r="45" spans="1:8" ht="15.75" customHeight="1" x14ac:dyDescent="0.2">
      <c r="A45" s="585">
        <v>1</v>
      </c>
      <c r="B45" s="586" t="s">
        <v>829</v>
      </c>
      <c r="C45" s="586" t="s">
        <v>747</v>
      </c>
      <c r="D45" s="586" t="s">
        <v>44</v>
      </c>
      <c r="E45" s="587" t="s">
        <v>885</v>
      </c>
      <c r="F45" s="615">
        <v>54111</v>
      </c>
      <c r="G45" s="616" t="s">
        <v>913</v>
      </c>
      <c r="H45" s="617">
        <f>FAM!F39</f>
        <v>20000</v>
      </c>
    </row>
    <row r="46" spans="1:8" ht="15.75" customHeight="1" x14ac:dyDescent="0.2">
      <c r="A46" s="585">
        <v>1</v>
      </c>
      <c r="B46" s="586" t="s">
        <v>829</v>
      </c>
      <c r="C46" s="586" t="s">
        <v>747</v>
      </c>
      <c r="D46" s="586" t="s">
        <v>44</v>
      </c>
      <c r="E46" s="587" t="s">
        <v>885</v>
      </c>
      <c r="F46" s="615">
        <v>54399</v>
      </c>
      <c r="G46" s="616" t="s">
        <v>311</v>
      </c>
      <c r="H46" s="617">
        <f>FAM!F40</f>
        <v>20000</v>
      </c>
    </row>
    <row r="47" spans="1:8" ht="15.75" customHeight="1" x14ac:dyDescent="0.2">
      <c r="A47" s="585">
        <v>1</v>
      </c>
      <c r="B47" s="586"/>
      <c r="C47" s="586"/>
      <c r="D47" s="586"/>
      <c r="E47" s="587"/>
      <c r="F47" s="615"/>
      <c r="G47" s="616"/>
      <c r="H47" s="616"/>
    </row>
    <row r="48" spans="1:8" ht="15.75" customHeight="1" x14ac:dyDescent="0.2">
      <c r="A48" s="585">
        <v>1</v>
      </c>
      <c r="B48" s="586" t="s">
        <v>829</v>
      </c>
      <c r="C48" s="586" t="s">
        <v>747</v>
      </c>
      <c r="D48" s="586" t="s">
        <v>44</v>
      </c>
      <c r="E48" s="587" t="s">
        <v>885</v>
      </c>
      <c r="F48" s="615">
        <v>54106</v>
      </c>
      <c r="G48" s="616" t="s">
        <v>136</v>
      </c>
      <c r="H48" s="617">
        <f>FAM!F42</f>
        <v>3000</v>
      </c>
    </row>
    <row r="49" spans="1:8" ht="15.75" customHeight="1" x14ac:dyDescent="0.2">
      <c r="A49" s="585">
        <v>1</v>
      </c>
      <c r="B49" s="586" t="s">
        <v>829</v>
      </c>
      <c r="C49" s="586" t="s">
        <v>747</v>
      </c>
      <c r="D49" s="586" t="s">
        <v>44</v>
      </c>
      <c r="E49" s="587" t="s">
        <v>885</v>
      </c>
      <c r="F49" s="615">
        <v>54104</v>
      </c>
      <c r="G49" s="616" t="s">
        <v>135</v>
      </c>
      <c r="H49" s="617">
        <f>FAM!F43</f>
        <v>5000</v>
      </c>
    </row>
    <row r="50" spans="1:8" ht="15.75" customHeight="1" x14ac:dyDescent="0.2">
      <c r="A50" s="585">
        <v>1</v>
      </c>
      <c r="B50" s="586" t="s">
        <v>829</v>
      </c>
      <c r="C50" s="586" t="s">
        <v>747</v>
      </c>
      <c r="D50" s="586" t="s">
        <v>44</v>
      </c>
      <c r="E50" s="587" t="s">
        <v>885</v>
      </c>
      <c r="F50" s="615">
        <v>54112</v>
      </c>
      <c r="G50" s="616" t="s">
        <v>140</v>
      </c>
      <c r="H50" s="617">
        <f>FAM!F44</f>
        <v>5000</v>
      </c>
    </row>
    <row r="51" spans="1:8" ht="15.75" customHeight="1" x14ac:dyDescent="0.2">
      <c r="A51" s="585">
        <v>1</v>
      </c>
      <c r="B51" s="586" t="s">
        <v>829</v>
      </c>
      <c r="C51" s="586" t="s">
        <v>747</v>
      </c>
      <c r="D51" s="586" t="s">
        <v>44</v>
      </c>
      <c r="E51" s="587" t="s">
        <v>885</v>
      </c>
      <c r="F51" s="615">
        <v>54399</v>
      </c>
      <c r="G51" s="616" t="s">
        <v>311</v>
      </c>
      <c r="H51" s="617">
        <f>FAM!F45</f>
        <v>5000</v>
      </c>
    </row>
    <row r="52" spans="1:8" ht="15.75" customHeight="1" x14ac:dyDescent="0.2">
      <c r="A52" s="585">
        <v>1</v>
      </c>
      <c r="B52" s="586" t="s">
        <v>829</v>
      </c>
      <c r="C52" s="586" t="s">
        <v>747</v>
      </c>
      <c r="D52" s="586" t="s">
        <v>44</v>
      </c>
      <c r="E52" s="587" t="s">
        <v>885</v>
      </c>
      <c r="F52" s="615">
        <v>51201</v>
      </c>
      <c r="G52" s="616" t="s">
        <v>910</v>
      </c>
      <c r="H52" s="617">
        <f>FAM!F46</f>
        <v>6000</v>
      </c>
    </row>
    <row r="53" spans="1:8" ht="15.75" customHeight="1" x14ac:dyDescent="0.2">
      <c r="A53" s="585">
        <v>1</v>
      </c>
      <c r="B53" s="586" t="s">
        <v>829</v>
      </c>
      <c r="C53" s="586" t="s">
        <v>747</v>
      </c>
      <c r="D53" s="586" t="s">
        <v>44</v>
      </c>
      <c r="E53" s="587" t="s">
        <v>885</v>
      </c>
      <c r="F53" s="615">
        <v>54399</v>
      </c>
      <c r="G53" s="616" t="s">
        <v>311</v>
      </c>
      <c r="H53" s="617">
        <f>FAM!P49</f>
        <v>37535.82</v>
      </c>
    </row>
    <row r="54" spans="1:8" s="589" customFormat="1" ht="15.75" customHeight="1" x14ac:dyDescent="0.2">
      <c r="A54" s="585">
        <v>1</v>
      </c>
      <c r="B54" s="586" t="s">
        <v>44</v>
      </c>
      <c r="C54" s="587" t="s">
        <v>44</v>
      </c>
      <c r="D54" s="586" t="s">
        <v>44</v>
      </c>
      <c r="E54" s="587" t="s">
        <v>49</v>
      </c>
      <c r="F54" s="615">
        <v>56305</v>
      </c>
      <c r="G54" s="616" t="s">
        <v>703</v>
      </c>
      <c r="H54" s="617">
        <f>FAM!F53</f>
        <v>61000</v>
      </c>
    </row>
    <row r="55" spans="1:8" ht="15.75" customHeight="1" thickBot="1" x14ac:dyDescent="0.25">
      <c r="A55" s="50"/>
      <c r="B55" s="49"/>
      <c r="C55" s="49"/>
      <c r="D55" s="49"/>
      <c r="E55" s="51"/>
      <c r="F55" s="49"/>
      <c r="G55" s="48"/>
      <c r="H55" s="275"/>
    </row>
    <row r="56" spans="1:8" ht="31.5" customHeight="1" thickBot="1" x14ac:dyDescent="0.6">
      <c r="A56" s="1059"/>
      <c r="B56" s="1060"/>
      <c r="C56" s="1060"/>
      <c r="D56" s="1060"/>
      <c r="E56" s="1060"/>
      <c r="F56" s="1061"/>
      <c r="G56" s="264" t="s">
        <v>206</v>
      </c>
      <c r="H56" s="276">
        <f>SUM(H10:H55)</f>
        <v>610535.81995999999</v>
      </c>
    </row>
    <row r="57" spans="1:8" x14ac:dyDescent="0.2">
      <c r="A57" s="28"/>
      <c r="B57" s="28"/>
      <c r="C57" s="28"/>
      <c r="D57" s="28"/>
      <c r="E57" s="28"/>
      <c r="F57" s="28"/>
      <c r="H57" s="277"/>
    </row>
    <row r="58" spans="1:8" x14ac:dyDescent="0.2">
      <c r="A58" s="28"/>
      <c r="B58" s="28"/>
      <c r="C58" s="28"/>
      <c r="D58" s="28"/>
      <c r="E58" s="28"/>
      <c r="F58" s="28"/>
      <c r="H58" s="277"/>
    </row>
    <row r="59" spans="1:8" x14ac:dyDescent="0.2">
      <c r="A59" s="937"/>
      <c r="B59" s="937"/>
      <c r="C59" s="937"/>
      <c r="D59" s="937"/>
      <c r="E59" s="937"/>
      <c r="F59" s="937"/>
      <c r="G59" s="937"/>
    </row>
    <row r="60" spans="1:8" x14ac:dyDescent="0.2">
      <c r="A60" s="28"/>
      <c r="B60" s="28"/>
      <c r="C60" s="28"/>
      <c r="D60" s="28"/>
      <c r="E60" s="28"/>
      <c r="F60" s="28"/>
    </row>
  </sheetData>
  <autoFilter ref="A9:H54" xr:uid="{00000000-0001-0000-0600-000000000000}"/>
  <mergeCells count="13">
    <mergeCell ref="A4:H4"/>
    <mergeCell ref="A1:D1"/>
    <mergeCell ref="E1:H1"/>
    <mergeCell ref="A2:H2"/>
    <mergeCell ref="A3:H3"/>
    <mergeCell ref="A56:F56"/>
    <mergeCell ref="A59:G59"/>
    <mergeCell ref="A5:H5"/>
    <mergeCell ref="A6:H6"/>
    <mergeCell ref="A7:H7"/>
    <mergeCell ref="A8:F8"/>
    <mergeCell ref="G8:G9"/>
    <mergeCell ref="H8:H9"/>
  </mergeCells>
  <phoneticPr fontId="48" type="noConversion"/>
  <pageMargins left="0.70866141732283472" right="0.31496062992125984" top="0.35433070866141736" bottom="0.74803149606299213" header="0.31496062992125984" footer="0.31496062992125984"/>
  <pageSetup paperSize="5" scale="9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29</vt:i4>
      </vt:variant>
    </vt:vector>
  </HeadingPairs>
  <TitlesOfParts>
    <vt:vector size="54" baseType="lpstr">
      <vt:lpstr>Estructura</vt:lpstr>
      <vt:lpstr>Rubros</vt:lpstr>
      <vt:lpstr>Ingresos</vt:lpstr>
      <vt:lpstr>PROYECCION UATM</vt:lpstr>
      <vt:lpstr>Egresos</vt:lpstr>
      <vt:lpstr>SALDO DE CUENTAS BANCARIAS</vt:lpstr>
      <vt:lpstr>EGRE FONDO COMUN</vt:lpstr>
      <vt:lpstr>Egr. FODES LIBRE DISPONIBILIDAD</vt:lpstr>
      <vt:lpstr>FONDOS FAM</vt:lpstr>
      <vt:lpstr>FAM</vt:lpstr>
      <vt:lpstr>DONACIONES</vt:lpstr>
      <vt:lpstr>FONDOS GOES</vt:lpstr>
      <vt:lpstr>ISNA</vt:lpstr>
      <vt:lpstr>FISDL</vt:lpstr>
      <vt:lpstr>ok-Planillas 2023</vt:lpstr>
      <vt:lpstr> Egrs75%FODES- PROY.SOCIALES</vt:lpstr>
      <vt:lpstr>PROY-FODES75% QUE VIENEN 2021</vt:lpstr>
      <vt:lpstr>PROYECTOS GOES ESPECIFICOS </vt:lpstr>
      <vt:lpstr>PRESTAMOS</vt:lpstr>
      <vt:lpstr>Egr.FODES 2%</vt:lpstr>
      <vt:lpstr>Dietas</vt:lpstr>
      <vt:lpstr>Salarios</vt:lpstr>
      <vt:lpstr>PLANILLA </vt:lpstr>
      <vt:lpstr>Planillas</vt:lpstr>
      <vt:lpstr>MORA TRIBUTARIA A 2021</vt:lpstr>
      <vt:lpstr>' Egrs75%FODES- PROY.SOCIALES'!Área_de_impresión</vt:lpstr>
      <vt:lpstr>Dietas!Área_de_impresión</vt:lpstr>
      <vt:lpstr>DONACIONES!Área_de_impresión</vt:lpstr>
      <vt:lpstr>'Egr. FODES LIBRE DISPONIBILIDAD'!Área_de_impresión</vt:lpstr>
      <vt:lpstr>'Egr.FODES 2%'!Área_de_impresión</vt:lpstr>
      <vt:lpstr>'EGRE FONDO COMUN'!Área_de_impresión</vt:lpstr>
      <vt:lpstr>Egresos!Área_de_impresión</vt:lpstr>
      <vt:lpstr>Estructura!Área_de_impresión</vt:lpstr>
      <vt:lpstr>FAM!Área_de_impresión</vt:lpstr>
      <vt:lpstr>FISDL!Área_de_impresión</vt:lpstr>
      <vt:lpstr>'FONDOS GOES'!Área_de_impresión</vt:lpstr>
      <vt:lpstr>Ingresos!Área_de_impresión</vt:lpstr>
      <vt:lpstr>'MORA TRIBUTARIA A 2021'!Área_de_impresión</vt:lpstr>
      <vt:lpstr>'ok-Planillas 2023'!Área_de_impresión</vt:lpstr>
      <vt:lpstr>PRESTAMOS!Área_de_impresión</vt:lpstr>
      <vt:lpstr>'PROYECTOS GOES ESPECIFICOS '!Área_de_impresión</vt:lpstr>
      <vt:lpstr>'PROY-FODES75% QUE VIENEN 2021'!Área_de_impresión</vt:lpstr>
      <vt:lpstr>Rubros!Área_de_impresión</vt:lpstr>
      <vt:lpstr>'SALDO DE CUENTAS BANCARIAS'!Área_de_impresión</vt:lpstr>
      <vt:lpstr>' Egrs75%FODES- PROY.SOCIALES'!Títulos_a_imprimir</vt:lpstr>
      <vt:lpstr>Dietas!Títulos_a_imprimir</vt:lpstr>
      <vt:lpstr>DONACIONES!Títulos_a_imprimir</vt:lpstr>
      <vt:lpstr>'Egr.FODES 2%'!Títulos_a_imprimir</vt:lpstr>
      <vt:lpstr>'EGRE FONDO COMUN'!Títulos_a_imprimir</vt:lpstr>
      <vt:lpstr>Egresos!Títulos_a_imprimir</vt:lpstr>
      <vt:lpstr>FISDL!Títulos_a_imprimir</vt:lpstr>
      <vt:lpstr>'FONDOS GOES'!Títulos_a_imprimir</vt:lpstr>
      <vt:lpstr>Ingresos!Títulos_a_imprimir</vt:lpstr>
      <vt:lpstr>'ok-Planillas 2023'!Títulos_a_imprimir</vt:lpstr>
    </vt:vector>
  </TitlesOfParts>
  <Company>SUBDERE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Estructura de Presupuesto Municipal</dc:title>
  <dc:creator>Gastón Collao</dc:creator>
  <cp:lastModifiedBy>UAIP-</cp:lastModifiedBy>
  <cp:lastPrinted>2023-03-17T19:32:14Z</cp:lastPrinted>
  <dcterms:created xsi:type="dcterms:W3CDTF">2007-07-18T15:13:44Z</dcterms:created>
  <dcterms:modified xsi:type="dcterms:W3CDTF">2023-05-04T14:38:36Z</dcterms:modified>
</cp:coreProperties>
</file>